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ur policies" sheetId="2" state="visible" r:id="rId2"/>
    <sheet xmlns:r="http://schemas.openxmlformats.org/officeDocument/2006/relationships" name="Vendor COI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Import to ExpiryEdge" sheetId="5" state="visible" r:id="rId5"/>
    <sheet xmlns:r="http://schemas.openxmlformats.org/officeDocument/2006/relationships" name="Lists" sheetId="6" state="visible" r:id="rId6"/>
    <sheet xmlns:r="http://schemas.openxmlformats.org/officeDocument/2006/relationships" name="_calc" sheetId="7" state="hidden" r:id="rId7"/>
  </sheets>
  <definedNames>
    <definedName name="_xlnm.Print_Area" localSheetId="0">'Start here'!$A$1:$C$73</definedName>
    <definedName name="_xlnm.Print_Area" localSheetId="1">OFFSET('Our policies'!$A$1,0,0,MAX(4,COUNTA('Our policies'!$A$1:$A$503)),19)</definedName>
    <definedName name="_xlnm.Print_Titles" localSheetId="1">'Our policies'!$3:$3</definedName>
    <definedName name="_xlnm.Print_Area" localSheetId="2">OFFSET('Vendor COIs'!$A$1,0,0,MAX(4,COUNTA('Vendor COIs'!$A$1:$A$503)),16)</definedName>
    <definedName name="_xlnm.Print_Titles" localSheetId="2">'Vendor COIs'!$3:$3</definedName>
    <definedName name="_xlnm.Print_Area" localSheetId="3">'Dashboard'!$A$1:$H$37</definedName>
    <definedName name="_xlnm.Print_Area" localSheetId="4">OFFSET('Import to ExpiryEdge'!$A$1,0,0,MAX(2,COUNTIF('Import to ExpiryEdge'!$A$1:$A$1001,"?*")),11)</definedName>
    <definedName name="_xlnm.Print_Titles" localSheetId="4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3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3" fontId="3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A name you will recognise, e.g. "Public liability, all sites". (Required for import.)</t>
      </text>
    </comment>
    <comment ref="B3" authorId="0" shapeId="0">
      <text>
        <t>Pick from the list; add your own on the Lists sheet.</t>
      </text>
    </comment>
    <comment ref="C3" authorId="0" shapeId="0">
      <text>
        <t>The insurer on the schedule.</t>
      </text>
    </comment>
    <comment ref="D3" authorId="0" shapeId="0">
      <text>
        <t>Your broker, if you use one.</t>
      </text>
    </comment>
    <comment ref="E3" authorId="0" shapeId="0">
      <text>
        <t>As printed on the schedule.</t>
      </text>
    </comment>
    <comment ref="F3" authorId="0" shapeId="0">
      <text>
        <t>Limit of indemnity or cover amount.</t>
      </text>
    </comment>
    <comment ref="G3" authorId="0" shapeId="0">
      <text>
        <t>Annual premium.</t>
      </text>
    </comment>
    <comment ref="H3" authorId="0" shapeId="0">
      <text>
        <t>ISO code.</t>
      </text>
    </comment>
    <comment ref="I3" authorId="0" shapeId="0">
      <text>
        <t>Inception or last renewal date.</t>
      </text>
    </comment>
    <comment ref="J3" authorId="0" shapeId="0">
      <text>
        <t>Expiry (renewal) date on the schedule. (Required for import.)</t>
      </text>
    </comment>
    <comment ref="K3" authorId="0" shapeId="0">
      <text>
        <t>How many days before the date you want to start acting. Leave blank for 30.</t>
      </text>
    </comment>
    <comment ref="L3" authorId="0" shapeId="0">
      <text>
        <t>Calculated. Expiry minus lead time: start the renewal before this.</t>
      </text>
    </comment>
    <comment ref="M3" authorId="0" shapeId="0">
      <text>
        <t>Calculated. Days until the date; negative once it has passed.</t>
      </text>
    </comment>
    <comment ref="N3" authorId="0" shapeId="0">
      <text>
        <t>Calculated. Expired, Due ≤30 days, Due ≤90 days or OK.</t>
      </text>
    </comment>
    <comment ref="O3" authorId="0" shapeId="0">
      <text>
        <t>Who handles the renewal.</t>
      </text>
    </comment>
    <comment ref="P3" authorId="0" shapeId="0">
      <text>
        <t>Who should be reminded. Becomes notification_email on import.</t>
      </text>
    </comment>
    <comment ref="Q3" authorId="0" shapeId="0">
      <text>
        <t>Low, Medium or High. Matches the ExpiryEdge priority field.</t>
      </text>
    </comment>
    <comment ref="R3" authorId="0" shapeId="0">
      <text>
        <t>Link to the policy schedule.</t>
      </text>
    </comment>
    <comment ref="S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3" authorId="0" shapeId="0">
      <text>
        <t>Who gave you the certificate. (Required for import.)</t>
      </text>
    </comment>
    <comment ref="B3" authorId="0" shapeId="0">
      <text>
        <t>What the certificate evidences.</t>
      </text>
    </comment>
    <comment ref="C3" authorId="0" shapeId="0">
      <text>
        <t>Insurer named on the certificate.</t>
      </text>
    </comment>
    <comment ref="D3" authorId="0" shapeId="0">
      <text>
        <t>As printed on the certificate.</t>
      </text>
    </comment>
    <comment ref="E3" authorId="0" shapeId="0">
      <text>
        <t>Limit shown on the certificate.</t>
      </text>
    </comment>
    <comment ref="F3" authorId="0" shapeId="0">
      <text>
        <t>Does the limit meet what your contract with them requires?</t>
      </text>
    </comment>
    <comment ref="G3" authorId="0" shapeId="0">
      <text>
        <t>If your contract requires you to be named as additional insured, is it shown?</t>
      </text>
    </comment>
    <comment ref="H3" authorId="0" shapeId="0">
      <text>
        <t>Policy expiry shown on the certificate. (Required for import.)</t>
      </text>
    </comment>
    <comment ref="I3" authorId="0" shapeId="0">
      <text>
        <t>How many days before the date you want to start acting. Leave blank for 30.</t>
      </text>
    </comment>
    <comment ref="J3" authorId="0" shapeId="0">
      <text>
        <t>Calculated. Ask the vendor for the renewed certificate before this.</t>
      </text>
    </comment>
    <comment ref="K3" authorId="0" shapeId="0">
      <text>
        <t>Calculated. Days until the date; negative once it has passed.</t>
      </text>
    </comment>
    <comment ref="L3" authorId="0" shapeId="0">
      <text>
        <t>Calculated. Expired, Due ≤30 days, Due ≤90 days or OK.</t>
      </text>
    </comment>
    <comment ref="M3" authorId="0" shapeId="0">
      <text>
        <t>Where to send the request for a new certificate.</t>
      </text>
    </comment>
    <comment ref="N3" authorId="0" shapeId="0">
      <text>
        <t>Who should be reminded. Becomes notification_email on import.</t>
      </text>
    </comment>
    <comment ref="O3" authorId="0" shapeId="0">
      <text>
        <t>Link to the certificate PDF.</t>
      </text>
    </comment>
    <comment ref="P3" authorId="0" shapeId="0">
      <text>
        <t>Anything the next person needs to know.</t>
      </text>
    </comment>
  </commentList>
</comments>
</file>

<file path=xl/comments/comment3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OurPolicies" displayName="tblOurPolicies" ref="A3:S503" headerRowCount="1">
  <autoFilter ref="A3:S503"/>
  <tableColumns count="19">
    <tableColumn id="1" name="Policy"/>
    <tableColumn id="2" name="Cover type"/>
    <tableColumn id="3" name="Insurer"/>
    <tableColumn id="4" name="Broker"/>
    <tableColumn id="5" name="Policy number"/>
    <tableColumn id="6" name="Limit"/>
    <tableColumn id="7" name="Premium / yr"/>
    <tableColumn id="8" name="Currency"/>
    <tableColumn id="9" name="Start date"/>
    <tableColumn id="10" name="Expiry date"/>
    <tableColumn id="11" name="Lead time (days)"/>
    <tableColumn id="12" name="Renew-by date"/>
    <tableColumn id="13" name="Days left"/>
    <tableColumn id="14" name="Status"/>
    <tableColumn id="15" name="Owner"/>
    <tableColumn id="16" name="Owner email"/>
    <tableColumn id="17" name="Priority"/>
    <tableColumn id="18" name="Schedule link"/>
    <tableColumn id="19" name="Note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VendorCois" displayName="tblVendorCois" ref="A3:P503" headerRowCount="1">
  <autoFilter ref="A3:P503"/>
  <tableColumns count="16">
    <tableColumn id="1" name="Vendor / contractor"/>
    <tableColumn id="2" name="Cover type"/>
    <tableColumn id="3" name="Insurer"/>
    <tableColumn id="4" name="Policy number"/>
    <tableColumn id="5" name="Limit"/>
    <tableColumn id="6" name="Meets our minimum?"/>
    <tableColumn id="7" name="Additional insured?"/>
    <tableColumn id="8" name="Expiry date"/>
    <tableColumn id="9" name="Lead time (days)"/>
    <tableColumn id="10" name="Request-by date"/>
    <tableColumn id="11" name="Days left"/>
    <tableColumn id="12" name="Status"/>
    <tableColumn id="13" name="Vendor contact email"/>
    <tableColumn id="14" name="Internal owner email"/>
    <tableColumn id="15" name="Certificate link"/>
    <tableColumn id="16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insurance-coi-track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73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Insurance policy &amp; COI tracker</t>
        </is>
      </c>
    </row>
    <row r="3">
      <c r="B3" s="2" t="inlineStr">
        <is>
          <t>The policies you hold and the certificates of insurance you collect from vendors, each with its own renewal date.</t>
        </is>
      </c>
    </row>
    <row r="4">
      <c r="B4" s="3" t="inlineStr">
        <is>
          <t>Free template · September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"Our policies"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"Our policies"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Policy *</t>
        </is>
      </c>
      <c r="C21" s="15" t="inlineStr">
        <is>
          <t>A name you will recognise, e.g. "Public liability, all sites".</t>
        </is>
      </c>
    </row>
    <row r="22" ht="18" customHeight="1">
      <c r="B22" s="14" t="inlineStr">
        <is>
          <t>Cover type</t>
        </is>
      </c>
      <c r="C22" s="15" t="inlineStr">
        <is>
          <t>Pick from the list; add your own on the Lists sheet.</t>
        </is>
      </c>
    </row>
    <row r="23" ht="18" customHeight="1">
      <c r="B23" s="14" t="inlineStr">
        <is>
          <t>Insurer</t>
        </is>
      </c>
      <c r="C23" s="15" t="inlineStr">
        <is>
          <t>The insurer on the schedule.</t>
        </is>
      </c>
    </row>
    <row r="24" ht="18" customHeight="1">
      <c r="B24" s="14" t="inlineStr">
        <is>
          <t>Broker</t>
        </is>
      </c>
      <c r="C24" s="15" t="inlineStr">
        <is>
          <t>Your broker, if you use one.</t>
        </is>
      </c>
    </row>
    <row r="25" ht="18" customHeight="1">
      <c r="B25" s="14" t="inlineStr">
        <is>
          <t>Policy number</t>
        </is>
      </c>
      <c r="C25" s="15" t="inlineStr">
        <is>
          <t>As printed on the schedule.</t>
        </is>
      </c>
    </row>
    <row r="26" ht="18" customHeight="1">
      <c r="B26" s="14" t="inlineStr">
        <is>
          <t>Limit</t>
        </is>
      </c>
      <c r="C26" s="15" t="inlineStr">
        <is>
          <t>Limit of indemnity or cover amount.</t>
        </is>
      </c>
    </row>
    <row r="27" ht="18" customHeight="1">
      <c r="B27" s="14" t="inlineStr">
        <is>
          <t>Premium / yr</t>
        </is>
      </c>
      <c r="C27" s="15" t="inlineStr">
        <is>
          <t>Annual premium.</t>
        </is>
      </c>
    </row>
    <row r="28" ht="18" customHeight="1">
      <c r="B28" s="14" t="inlineStr">
        <is>
          <t>Currency</t>
        </is>
      </c>
      <c r="C28" s="15" t="inlineStr">
        <is>
          <t>ISO code.</t>
        </is>
      </c>
    </row>
    <row r="29" ht="18" customHeight="1">
      <c r="B29" s="14" t="inlineStr">
        <is>
          <t>Start date</t>
        </is>
      </c>
      <c r="C29" s="15" t="inlineStr">
        <is>
          <t>Inception or last renewal date.</t>
        </is>
      </c>
    </row>
    <row r="30" ht="18" customHeight="1">
      <c r="B30" s="14" t="inlineStr">
        <is>
          <t>Expiry date *</t>
        </is>
      </c>
      <c r="C30" s="15" t="inlineStr">
        <is>
          <t>Expiry (renewal) date on the schedule.</t>
        </is>
      </c>
    </row>
    <row r="31" ht="18" customHeight="1">
      <c r="B31" s="14" t="inlineStr">
        <is>
          <t>Lead time (days)</t>
        </is>
      </c>
      <c r="C31" s="15" t="inlineStr">
        <is>
          <t>How many days before the date you want to start acting. Leave blank for 30.</t>
        </is>
      </c>
    </row>
    <row r="32" ht="18" customHeight="1">
      <c r="B32" s="16" t="inlineStr">
        <is>
          <t>Renew-by date</t>
        </is>
      </c>
      <c r="C32" s="15" t="inlineStr">
        <is>
          <t>Calculated. Expiry minus lead time: start the renewal before this.</t>
        </is>
      </c>
    </row>
    <row r="33" ht="18" customHeight="1">
      <c r="B33" s="16" t="inlineStr">
        <is>
          <t>Days left</t>
        </is>
      </c>
      <c r="C33" s="15" t="inlineStr">
        <is>
          <t>Calculated. Days until the date; negative once it has passed.</t>
        </is>
      </c>
    </row>
    <row r="34" ht="18" customHeight="1">
      <c r="B34" s="16" t="inlineStr">
        <is>
          <t>Status</t>
        </is>
      </c>
      <c r="C34" s="15" t="inlineStr">
        <is>
          <t>Calculated. Expired, Due ≤30 days, Due ≤90 days or OK.</t>
        </is>
      </c>
    </row>
    <row r="35" ht="18" customHeight="1">
      <c r="B35" s="14" t="inlineStr">
        <is>
          <t>Owner</t>
        </is>
      </c>
      <c r="C35" s="15" t="inlineStr">
        <is>
          <t>Who handles the renewal.</t>
        </is>
      </c>
    </row>
    <row r="36" ht="18" customHeight="1">
      <c r="B36" s="14" t="inlineStr">
        <is>
          <t>Owner email</t>
        </is>
      </c>
      <c r="C36" s="15" t="inlineStr">
        <is>
          <t>Who should be reminded. Becomes notification_email on import.</t>
        </is>
      </c>
    </row>
    <row r="37" ht="18" customHeight="1">
      <c r="B37" s="14" t="inlineStr">
        <is>
          <t>Priority</t>
        </is>
      </c>
      <c r="C37" s="15" t="inlineStr">
        <is>
          <t>Low, Medium or High. Matches the ExpiryEdge priority field.</t>
        </is>
      </c>
    </row>
    <row r="38" ht="18" customHeight="1">
      <c r="B38" s="14" t="inlineStr">
        <is>
          <t>Schedule link</t>
        </is>
      </c>
      <c r="C38" s="15" t="inlineStr">
        <is>
          <t>Link to the policy schedule.</t>
        </is>
      </c>
    </row>
    <row r="39" ht="18" customHeight="1">
      <c r="B39" s="14" t="inlineStr">
        <is>
          <t>Notes</t>
        </is>
      </c>
      <c r="C39" s="15" t="inlineStr">
        <is>
          <t>Anything the next person needs to know.</t>
        </is>
      </c>
    </row>
    <row r="40">
      <c r="B40" s="3" t="inlineStr">
        <is>
          <t>* needed for the import sheet.</t>
        </is>
      </c>
    </row>
    <row r="42">
      <c r="B42" s="4" t="inlineStr">
        <is>
          <t>Columns on "Vendor COIs"</t>
        </is>
      </c>
    </row>
    <row r="43">
      <c r="B43" s="13" t="inlineStr">
        <is>
          <t>Column</t>
        </is>
      </c>
      <c r="C43" s="13" t="inlineStr">
        <is>
          <t>What to enter</t>
        </is>
      </c>
    </row>
    <row r="44" ht="18" customHeight="1">
      <c r="B44" s="14" t="inlineStr">
        <is>
          <t>Vendor / contractor *</t>
        </is>
      </c>
      <c r="C44" s="15" t="inlineStr">
        <is>
          <t>Who gave you the certificate.</t>
        </is>
      </c>
    </row>
    <row r="45" ht="18" customHeight="1">
      <c r="B45" s="14" t="inlineStr">
        <is>
          <t>Cover type</t>
        </is>
      </c>
      <c r="C45" s="15" t="inlineStr">
        <is>
          <t>What the certificate evidences.</t>
        </is>
      </c>
    </row>
    <row r="46" ht="18" customHeight="1">
      <c r="B46" s="14" t="inlineStr">
        <is>
          <t>Insurer</t>
        </is>
      </c>
      <c r="C46" s="15" t="inlineStr">
        <is>
          <t>Insurer named on the certificate.</t>
        </is>
      </c>
    </row>
    <row r="47" ht="18" customHeight="1">
      <c r="B47" s="14" t="inlineStr">
        <is>
          <t>Policy number</t>
        </is>
      </c>
      <c r="C47" s="15" t="inlineStr">
        <is>
          <t>As printed on the certificate.</t>
        </is>
      </c>
    </row>
    <row r="48" ht="18" customHeight="1">
      <c r="B48" s="14" t="inlineStr">
        <is>
          <t>Limit</t>
        </is>
      </c>
      <c r="C48" s="15" t="inlineStr">
        <is>
          <t>Limit shown on the certificate.</t>
        </is>
      </c>
    </row>
    <row r="49" ht="18" customHeight="1">
      <c r="B49" s="14" t="inlineStr">
        <is>
          <t>Meets our minimum?</t>
        </is>
      </c>
      <c r="C49" s="15" t="inlineStr">
        <is>
          <t>Does the limit meet what your contract with them requires?</t>
        </is>
      </c>
    </row>
    <row r="50" ht="18" customHeight="1">
      <c r="B50" s="14" t="inlineStr">
        <is>
          <t>Additional insured?</t>
        </is>
      </c>
      <c r="C50" s="15" t="inlineStr">
        <is>
          <t>If your contract requires you to be named as additional insured, is it shown?</t>
        </is>
      </c>
    </row>
    <row r="51" ht="18" customHeight="1">
      <c r="B51" s="14" t="inlineStr">
        <is>
          <t>Expiry date *</t>
        </is>
      </c>
      <c r="C51" s="15" t="inlineStr">
        <is>
          <t>Policy expiry shown on the certificate.</t>
        </is>
      </c>
    </row>
    <row r="52" ht="18" customHeight="1">
      <c r="B52" s="14" t="inlineStr">
        <is>
          <t>Lead time (days)</t>
        </is>
      </c>
      <c r="C52" s="15" t="inlineStr">
        <is>
          <t>How many days before the date you want to start acting. Leave blank for 30.</t>
        </is>
      </c>
    </row>
    <row r="53" ht="18" customHeight="1">
      <c r="B53" s="16" t="inlineStr">
        <is>
          <t>Request-by date</t>
        </is>
      </c>
      <c r="C53" s="15" t="inlineStr">
        <is>
          <t>Calculated. Ask the vendor for the renewed certificate before this.</t>
        </is>
      </c>
    </row>
    <row r="54" ht="18" customHeight="1">
      <c r="B54" s="16" t="inlineStr">
        <is>
          <t>Days left</t>
        </is>
      </c>
      <c r="C54" s="15" t="inlineStr">
        <is>
          <t>Calculated. Days until the date; negative once it has passed.</t>
        </is>
      </c>
    </row>
    <row r="55" ht="18" customHeight="1">
      <c r="B55" s="16" t="inlineStr">
        <is>
          <t>Status</t>
        </is>
      </c>
      <c r="C55" s="15" t="inlineStr">
        <is>
          <t>Calculated. Expired, Due ≤30 days, Due ≤90 days or OK.</t>
        </is>
      </c>
    </row>
    <row r="56" ht="18" customHeight="1">
      <c r="B56" s="14" t="inlineStr">
        <is>
          <t>Vendor contact email</t>
        </is>
      </c>
      <c r="C56" s="15" t="inlineStr">
        <is>
          <t>Where to send the request for a new certificate.</t>
        </is>
      </c>
    </row>
    <row r="57" ht="18" customHeight="1">
      <c r="B57" s="14" t="inlineStr">
        <is>
          <t>Internal owner email</t>
        </is>
      </c>
      <c r="C57" s="15" t="inlineStr">
        <is>
          <t>Who should be reminded. Becomes notification_email on import.</t>
        </is>
      </c>
    </row>
    <row r="58" ht="18" customHeight="1">
      <c r="B58" s="14" t="inlineStr">
        <is>
          <t>Certificate link</t>
        </is>
      </c>
      <c r="C58" s="15" t="inlineStr">
        <is>
          <t>Link to the certificate PDF.</t>
        </is>
      </c>
    </row>
    <row r="59" ht="18" customHeight="1">
      <c r="B59" s="14" t="inlineStr">
        <is>
          <t>Notes</t>
        </is>
      </c>
      <c r="C59" s="15" t="inlineStr">
        <is>
          <t>Anything the next person needs to know.</t>
        </is>
      </c>
    </row>
    <row r="60">
      <c r="B60" s="3" t="inlineStr">
        <is>
          <t>* needed for the import sheet.</t>
        </is>
      </c>
    </row>
    <row r="62">
      <c r="B62" s="4" t="inlineStr">
        <is>
          <t>Other sheets</t>
        </is>
      </c>
    </row>
    <row r="63" ht="18" customHeight="1">
      <c r="B63" s="5" t="inlineStr">
        <is>
          <t>Dashboard</t>
        </is>
      </c>
      <c r="C63" s="6" t="inlineStr">
        <is>
          <t>Counts by status and the next 10 dates, always as of today.</t>
        </is>
      </c>
    </row>
    <row r="64" ht="48" customHeight="1">
      <c r="B64" s="5" t="inlineStr">
        <is>
          <t>Import to ExpiryEdge</t>
        </is>
      </c>
      <c r="C64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65" ht="18" customHeight="1">
      <c r="B65" s="5" t="inlineStr">
        <is>
          <t>Lists</t>
        </is>
      </c>
      <c r="C65" s="6" t="inlineStr">
        <is>
          <t>The options behind the dropdowns. Add your own there.</t>
        </is>
      </c>
    </row>
    <row r="67">
      <c r="B67" s="4" t="inlineStr">
        <is>
          <t>Good to know</t>
        </is>
      </c>
    </row>
    <row r="68">
      <c r="B68" s="8" t="inlineStr">
        <is>
          <t>·  Formulas are filled down for 500 rows. Need more? Copy the last row down.</t>
        </is>
      </c>
    </row>
    <row r="69">
      <c r="B69" s="8" t="inlineStr">
        <is>
          <t>·  Dates must be real dates, not text. If a status says "Check date", retype that date.</t>
        </is>
      </c>
    </row>
    <row r="70">
      <c r="B70" s="8" t="inlineStr">
        <is>
          <t>·  The file only changes when someone opens it. It cannot send reminders on its own.</t>
        </is>
      </c>
    </row>
    <row r="71">
      <c r="B71" s="8" t="inlineStr">
        <is>
          <t>·  This is a free template, not legal advice. Check dates and requirements against the official source for your situation.</t>
        </is>
      </c>
    </row>
    <row r="73">
      <c r="B73" s="17" t="inlineStr">
        <is>
          <t>Made by ExpiryEdge · expiryedge.com</t>
        </is>
      </c>
    </row>
  </sheetData>
  <hyperlinks>
    <hyperlink xmlns:r="http://schemas.openxmlformats.org/officeDocument/2006/relationships" ref="B73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S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20" customWidth="1" min="3" max="3"/>
    <col width="18" customWidth="1" min="4" max="4"/>
    <col width="16" customWidth="1" min="5" max="5"/>
    <col width="13" customWidth="1" min="6" max="6"/>
    <col width="12" customWidth="1" min="7" max="7"/>
    <col width="10" customWidth="1" min="8" max="8"/>
    <col width="13" customWidth="1" min="9" max="9"/>
    <col width="13" customWidth="1" min="10" max="10"/>
    <col width="11" customWidth="1" min="11" max="11"/>
    <col width="13" customWidth="1" min="12" max="12"/>
    <col width="10" customWidth="1" min="13" max="13"/>
    <col width="14" customWidth="1" min="14" max="14"/>
    <col width="16" customWidth="1" min="15" max="15"/>
    <col width="26" customWidth="1" min="16" max="16"/>
    <col width="10" customWidth="1" min="17" max="17"/>
    <col width="26" customWidth="1" min="18" max="18"/>
    <col width="36" customWidth="1" min="19" max="19"/>
  </cols>
  <sheetData>
    <row r="1" ht="24" customHeight="1">
      <c r="A1" s="18" t="inlineStr">
        <is>
          <t>Policies we hold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Policy</t>
        </is>
      </c>
      <c r="B3" s="19" t="inlineStr">
        <is>
          <t>Cover type</t>
        </is>
      </c>
      <c r="C3" s="19" t="inlineStr">
        <is>
          <t>Insurer</t>
        </is>
      </c>
      <c r="D3" s="19" t="inlineStr">
        <is>
          <t>Broker</t>
        </is>
      </c>
      <c r="E3" s="19" t="inlineStr">
        <is>
          <t>Policy number</t>
        </is>
      </c>
      <c r="F3" s="19" t="inlineStr">
        <is>
          <t>Limit</t>
        </is>
      </c>
      <c r="G3" s="19" t="inlineStr">
        <is>
          <t>Premium / yr</t>
        </is>
      </c>
      <c r="H3" s="19" t="inlineStr">
        <is>
          <t>Currency</t>
        </is>
      </c>
      <c r="I3" s="19" t="inlineStr">
        <is>
          <t>Start date</t>
        </is>
      </c>
      <c r="J3" s="19" t="inlineStr">
        <is>
          <t>Expiry date</t>
        </is>
      </c>
      <c r="K3" s="19" t="inlineStr">
        <is>
          <t>Lead time (days)</t>
        </is>
      </c>
      <c r="L3" s="20" t="inlineStr">
        <is>
          <t>Renew-by date</t>
        </is>
      </c>
      <c r="M3" s="20" t="inlineStr">
        <is>
          <t>Days left</t>
        </is>
      </c>
      <c r="N3" s="20" t="inlineStr">
        <is>
          <t>Status</t>
        </is>
      </c>
      <c r="O3" s="19" t="inlineStr">
        <is>
          <t>Owner</t>
        </is>
      </c>
      <c r="P3" s="19" t="inlineStr">
        <is>
          <t>Owner email</t>
        </is>
      </c>
      <c r="Q3" s="19" t="inlineStr">
        <is>
          <t>Priority</t>
        </is>
      </c>
      <c r="R3" s="19" t="inlineStr">
        <is>
          <t>Schedule link</t>
        </is>
      </c>
      <c r="S3" s="19" t="inlineStr">
        <is>
          <t>Notes</t>
        </is>
      </c>
    </row>
    <row r="4">
      <c r="A4" s="21" t="inlineStr">
        <is>
          <t>Example – Public liability, all sites</t>
        </is>
      </c>
      <c r="B4" s="21" t="inlineStr">
        <is>
          <t>Public liability</t>
        </is>
      </c>
      <c r="C4" s="21" t="inlineStr">
        <is>
          <t>Example Insurance plc</t>
        </is>
      </c>
      <c r="D4" s="21" t="inlineStr">
        <is>
          <t>Example Brokers</t>
        </is>
      </c>
      <c r="E4" s="21" t="inlineStr">
        <is>
          <t>PL-000123</t>
        </is>
      </c>
      <c r="F4" s="22" t="n">
        <v>5000000</v>
      </c>
      <c r="G4" s="22" t="n">
        <v>1850</v>
      </c>
      <c r="H4" s="21" t="inlineStr">
        <is>
          <t>GBP</t>
        </is>
      </c>
      <c r="I4" s="23" t="n">
        <v>45942</v>
      </c>
      <c r="J4" s="23" t="n">
        <v>46306</v>
      </c>
      <c r="K4" s="24" t="n">
        <v>45</v>
      </c>
      <c r="L4" s="25">
        <f>IF(ISNUMBER(J4),J4-IF(ISNUMBER(K4),K4,30),"")</f>
        <v/>
      </c>
      <c r="M4" s="26">
        <f>IF(J4="","",IF(ISNUMBER(J4),J4-TODAY(),"Check date"))</f>
        <v/>
      </c>
      <c r="N4" s="27">
        <f>IF(M4="","",IF(ISNUMBER(M4),IF(M4&lt;0,"Expired",IF(M4&lt;=30,"Due ≤30 days",IF(M4&lt;=90,"Due ≤90 days","OK"))),"Check date"))</f>
        <v/>
      </c>
      <c r="O4" s="21" t="inlineStr">
        <is>
          <t>Alex Sample</t>
        </is>
      </c>
      <c r="P4" s="21" t="inlineStr">
        <is>
          <t>alex@example.com</t>
        </is>
      </c>
      <c r="Q4" s="21" t="inlineStr">
        <is>
          <t>High</t>
        </is>
      </c>
      <c r="R4" s="21" t="n"/>
      <c r="S4" s="21" t="n"/>
    </row>
    <row r="5">
      <c r="A5" s="21" t="inlineStr">
        <is>
          <t>Example – Employers' liability</t>
        </is>
      </c>
      <c r="B5" s="21" t="inlineStr">
        <is>
          <t>Employers' liability</t>
        </is>
      </c>
      <c r="C5" s="21" t="inlineStr">
        <is>
          <t>Example Insurance plc</t>
        </is>
      </c>
      <c r="D5" s="21" t="inlineStr">
        <is>
          <t>Example Brokers</t>
        </is>
      </c>
      <c r="E5" s="21" t="inlineStr">
        <is>
          <t>EL-000456</t>
        </is>
      </c>
      <c r="F5" s="22" t="n">
        <v>10000000</v>
      </c>
      <c r="G5" s="22" t="n">
        <v>2300</v>
      </c>
      <c r="H5" s="21" t="inlineStr">
        <is>
          <t>GBP</t>
        </is>
      </c>
      <c r="I5" s="23" t="n">
        <v>45942</v>
      </c>
      <c r="J5" s="23" t="n">
        <v>46306</v>
      </c>
      <c r="K5" s="24" t="n">
        <v>45</v>
      </c>
      <c r="L5" s="25">
        <f>IF(ISNUMBER(J5),J5-IF(ISNUMBER(K5),K5,30),"")</f>
        <v/>
      </c>
      <c r="M5" s="26">
        <f>IF(J5="","",IF(ISNUMBER(J5),J5-TODAY(),"Check date"))</f>
        <v/>
      </c>
      <c r="N5" s="27">
        <f>IF(M5="","",IF(ISNUMBER(M5),IF(M5&lt;0,"Expired",IF(M5&lt;=30,"Due ≤30 days",IF(M5&lt;=90,"Due ≤90 days","OK"))),"Check date"))</f>
        <v/>
      </c>
      <c r="O5" s="21" t="inlineStr">
        <is>
          <t>Alex Sample</t>
        </is>
      </c>
      <c r="P5" s="21" t="inlineStr">
        <is>
          <t>alex@example.com</t>
        </is>
      </c>
      <c r="Q5" s="21" t="inlineStr">
        <is>
          <t>High</t>
        </is>
      </c>
      <c r="R5" s="21" t="n"/>
      <c r="S5" s="21" t="n"/>
    </row>
    <row r="6">
      <c r="A6" s="21" t="inlineStr">
        <is>
          <t>Example – Professional indemnity</t>
        </is>
      </c>
      <c r="B6" s="21" t="inlineStr">
        <is>
          <t>Professional indemnity</t>
        </is>
      </c>
      <c r="C6" s="21" t="inlineStr">
        <is>
          <t>Example Mutual</t>
        </is>
      </c>
      <c r="D6" s="21" t="n"/>
      <c r="E6" s="21" t="inlineStr">
        <is>
          <t>PI-000789</t>
        </is>
      </c>
      <c r="F6" s="22" t="n">
        <v>1000000</v>
      </c>
      <c r="G6" s="22" t="n">
        <v>1200</v>
      </c>
      <c r="H6" s="21" t="inlineStr">
        <is>
          <t>GBP</t>
        </is>
      </c>
      <c r="I6" s="23" t="n">
        <v>46023</v>
      </c>
      <c r="J6" s="23" t="n">
        <v>46387</v>
      </c>
      <c r="K6" s="24" t="n">
        <v>60</v>
      </c>
      <c r="L6" s="25">
        <f>IF(ISNUMBER(J6),J6-IF(ISNUMBER(K6),K6,30),"")</f>
        <v/>
      </c>
      <c r="M6" s="26">
        <f>IF(J6="","",IF(ISNUMBER(J6),J6-TODAY(),"Check date"))</f>
        <v/>
      </c>
      <c r="N6" s="27">
        <f>IF(M6="","",IF(ISNUMBER(M6),IF(M6&lt;0,"Expired",IF(M6&lt;=30,"Due ≤30 days",IF(M6&lt;=90,"Due ≤90 days","OK"))),"Check date"))</f>
        <v/>
      </c>
      <c r="O6" s="21" t="inlineStr">
        <is>
          <t>Jo Placeholder</t>
        </is>
      </c>
      <c r="P6" s="21" t="inlineStr">
        <is>
          <t>jo@example.com</t>
        </is>
      </c>
      <c r="Q6" s="21" t="inlineStr">
        <is>
          <t>Medium</t>
        </is>
      </c>
      <c r="R6" s="21" t="n"/>
      <c r="S6" s="21" t="n"/>
    </row>
    <row r="7">
      <c r="A7" s="21" t="inlineStr">
        <is>
          <t>Example – Commercial vehicles (3)</t>
        </is>
      </c>
      <c r="B7" s="21" t="inlineStr">
        <is>
          <t>Motor / fleet</t>
        </is>
      </c>
      <c r="C7" s="21" t="inlineStr">
        <is>
          <t>Example Motor Insurance</t>
        </is>
      </c>
      <c r="D7" s="21" t="inlineStr">
        <is>
          <t>Example Brokers</t>
        </is>
      </c>
      <c r="E7" s="21" t="inlineStr">
        <is>
          <t>MF-000321</t>
        </is>
      </c>
      <c r="F7" s="22" t="n">
        <v>0</v>
      </c>
      <c r="G7" s="22" t="n">
        <v>3900</v>
      </c>
      <c r="H7" s="21" t="inlineStr">
        <is>
          <t>GBP</t>
        </is>
      </c>
      <c r="I7" s="23" t="n">
        <v>45901</v>
      </c>
      <c r="J7" s="23" t="n">
        <v>46265</v>
      </c>
      <c r="K7" s="24" t="n">
        <v>30</v>
      </c>
      <c r="L7" s="25">
        <f>IF(ISNUMBER(J7),J7-IF(ISNUMBER(K7),K7,30),"")</f>
        <v/>
      </c>
      <c r="M7" s="26">
        <f>IF(J7="","",IF(ISNUMBER(J7),J7-TODAY(),"Check date"))</f>
        <v/>
      </c>
      <c r="N7" s="27">
        <f>IF(M7="","",IF(ISNUMBER(M7),IF(M7&lt;0,"Expired",IF(M7&lt;=30,"Due ≤30 days",IF(M7&lt;=90,"Due ≤90 days","OK"))),"Check date"))</f>
        <v/>
      </c>
      <c r="O7" s="21" t="inlineStr">
        <is>
          <t>Chris Demo</t>
        </is>
      </c>
      <c r="P7" s="21" t="inlineStr">
        <is>
          <t>chris@example.com</t>
        </is>
      </c>
      <c r="Q7" s="21" t="inlineStr">
        <is>
          <t>High</t>
        </is>
      </c>
      <c r="R7" s="21" t="n"/>
      <c r="S7" s="21" t="n"/>
    </row>
    <row r="8">
      <c r="A8" s="21" t="inlineStr">
        <is>
          <t>Example – Cyber liability</t>
        </is>
      </c>
      <c r="B8" s="21" t="inlineStr">
        <is>
          <t>Cyber</t>
        </is>
      </c>
      <c r="C8" s="21" t="inlineStr">
        <is>
          <t>Example Specialty</t>
        </is>
      </c>
      <c r="D8" s="21" t="n"/>
      <c r="E8" s="21" t="inlineStr">
        <is>
          <t>CY-000654</t>
        </is>
      </c>
      <c r="F8" s="22" t="n">
        <v>500000</v>
      </c>
      <c r="G8" s="22" t="n">
        <v>950</v>
      </c>
      <c r="H8" s="21" t="inlineStr">
        <is>
          <t>GBP</t>
        </is>
      </c>
      <c r="I8" s="23" t="n">
        <v>46113</v>
      </c>
      <c r="J8" s="23" t="n">
        <v>46477</v>
      </c>
      <c r="K8" s="24" t="n">
        <v>60</v>
      </c>
      <c r="L8" s="25">
        <f>IF(ISNUMBER(J8),J8-IF(ISNUMBER(K8),K8,30),"")</f>
        <v/>
      </c>
      <c r="M8" s="26">
        <f>IF(J8="","",IF(ISNUMBER(J8),J8-TODAY(),"Check date"))</f>
        <v/>
      </c>
      <c r="N8" s="27">
        <f>IF(M8="","",IF(ISNUMBER(M8),IF(M8&lt;0,"Expired",IF(M8&lt;=30,"Due ≤30 days",IF(M8&lt;=90,"Due ≤90 days","OK"))),"Check date"))</f>
        <v/>
      </c>
      <c r="O8" s="21" t="inlineStr">
        <is>
          <t>Jo Placeholder</t>
        </is>
      </c>
      <c r="P8" s="21" t="inlineStr">
        <is>
          <t>jo@example.com</t>
        </is>
      </c>
      <c r="Q8" s="21" t="inlineStr">
        <is>
          <t>Medium</t>
        </is>
      </c>
      <c r="R8" s="21" t="n"/>
      <c r="S8" s="21" t="n"/>
    </row>
    <row r="9">
      <c r="A9" s="21" t="n"/>
      <c r="B9" s="21" t="n"/>
      <c r="C9" s="21" t="n"/>
      <c r="D9" s="21" t="n"/>
      <c r="E9" s="21" t="n"/>
      <c r="F9" s="22" t="n"/>
      <c r="G9" s="22" t="n"/>
      <c r="H9" s="21" t="n"/>
      <c r="I9" s="23" t="n"/>
      <c r="J9" s="23" t="n"/>
      <c r="K9" s="24" t="n"/>
      <c r="L9" s="25">
        <f>IF(ISNUMBER(J9),J9-IF(ISNUMBER(K9),K9,30),"")</f>
        <v/>
      </c>
      <c r="M9" s="26">
        <f>IF(J9="","",IF(ISNUMBER(J9),J9-TODAY(),"Check date"))</f>
        <v/>
      </c>
      <c r="N9" s="27">
        <f>IF(M9="","",IF(ISNUMBER(M9),IF(M9&lt;0,"Expired",IF(M9&lt;=30,"Due ≤30 days",IF(M9&lt;=90,"Due ≤90 days","OK"))),"Check date"))</f>
        <v/>
      </c>
      <c r="O9" s="21" t="n"/>
      <c r="P9" s="21" t="n"/>
      <c r="Q9" s="21" t="n"/>
      <c r="R9" s="21" t="n"/>
      <c r="S9" s="21" t="n"/>
    </row>
    <row r="10">
      <c r="A10" s="21" t="n"/>
      <c r="B10" s="21" t="n"/>
      <c r="C10" s="21" t="n"/>
      <c r="D10" s="21" t="n"/>
      <c r="E10" s="21" t="n"/>
      <c r="F10" s="22" t="n"/>
      <c r="G10" s="22" t="n"/>
      <c r="H10" s="21" t="n"/>
      <c r="I10" s="23" t="n"/>
      <c r="J10" s="23" t="n"/>
      <c r="K10" s="24" t="n"/>
      <c r="L10" s="25">
        <f>IF(ISNUMBER(J10),J10-IF(ISNUMBER(K10),K10,30),"")</f>
        <v/>
      </c>
      <c r="M10" s="26">
        <f>IF(J10="","",IF(ISNUMBER(J10),J10-TODAY(),"Check date"))</f>
        <v/>
      </c>
      <c r="N10" s="27">
        <f>IF(M10="","",IF(ISNUMBER(M10),IF(M10&lt;0,"Expired",IF(M10&lt;=30,"Due ≤30 days",IF(M10&lt;=90,"Due ≤90 days","OK"))),"Check date"))</f>
        <v/>
      </c>
      <c r="O10" s="21" t="n"/>
      <c r="P10" s="21" t="n"/>
      <c r="Q10" s="21" t="n"/>
      <c r="R10" s="21" t="n"/>
      <c r="S10" s="21" t="n"/>
    </row>
    <row r="11">
      <c r="A11" s="21" t="n"/>
      <c r="B11" s="21" t="n"/>
      <c r="C11" s="21" t="n"/>
      <c r="D11" s="21" t="n"/>
      <c r="E11" s="21" t="n"/>
      <c r="F11" s="22" t="n"/>
      <c r="G11" s="22" t="n"/>
      <c r="H11" s="21" t="n"/>
      <c r="I11" s="23" t="n"/>
      <c r="J11" s="23" t="n"/>
      <c r="K11" s="24" t="n"/>
      <c r="L11" s="25">
        <f>IF(ISNUMBER(J11),J11-IF(ISNUMBER(K11),K11,30),"")</f>
        <v/>
      </c>
      <c r="M11" s="26">
        <f>IF(J11="","",IF(ISNUMBER(J11),J11-TODAY(),"Check date"))</f>
        <v/>
      </c>
      <c r="N11" s="27">
        <f>IF(M11="","",IF(ISNUMBER(M11),IF(M11&lt;0,"Expired",IF(M11&lt;=30,"Due ≤30 days",IF(M11&lt;=90,"Due ≤90 days","OK"))),"Check date"))</f>
        <v/>
      </c>
      <c r="O11" s="21" t="n"/>
      <c r="P11" s="21" t="n"/>
      <c r="Q11" s="21" t="n"/>
      <c r="R11" s="21" t="n"/>
      <c r="S11" s="21" t="n"/>
    </row>
    <row r="12">
      <c r="A12" s="21" t="n"/>
      <c r="B12" s="21" t="n"/>
      <c r="C12" s="21" t="n"/>
      <c r="D12" s="21" t="n"/>
      <c r="E12" s="21" t="n"/>
      <c r="F12" s="22" t="n"/>
      <c r="G12" s="22" t="n"/>
      <c r="H12" s="21" t="n"/>
      <c r="I12" s="23" t="n"/>
      <c r="J12" s="23" t="n"/>
      <c r="K12" s="24" t="n"/>
      <c r="L12" s="25">
        <f>IF(ISNUMBER(J12),J12-IF(ISNUMBER(K12),K12,30),"")</f>
        <v/>
      </c>
      <c r="M12" s="26">
        <f>IF(J12="","",IF(ISNUMBER(J12),J12-TODAY(),"Check date"))</f>
        <v/>
      </c>
      <c r="N12" s="27">
        <f>IF(M12="","",IF(ISNUMBER(M12),IF(M12&lt;0,"Expired",IF(M12&lt;=30,"Due ≤30 days",IF(M12&lt;=90,"Due ≤90 days","OK"))),"Check date"))</f>
        <v/>
      </c>
      <c r="O12" s="21" t="n"/>
      <c r="P12" s="21" t="n"/>
      <c r="Q12" s="21" t="n"/>
      <c r="R12" s="21" t="n"/>
      <c r="S12" s="21" t="n"/>
    </row>
    <row r="13">
      <c r="A13" s="21" t="n"/>
      <c r="B13" s="21" t="n"/>
      <c r="C13" s="21" t="n"/>
      <c r="D13" s="21" t="n"/>
      <c r="E13" s="21" t="n"/>
      <c r="F13" s="22" t="n"/>
      <c r="G13" s="22" t="n"/>
      <c r="H13" s="21" t="n"/>
      <c r="I13" s="23" t="n"/>
      <c r="J13" s="23" t="n"/>
      <c r="K13" s="24" t="n"/>
      <c r="L13" s="25">
        <f>IF(ISNUMBER(J13),J13-IF(ISNUMBER(K13),K13,30),"")</f>
        <v/>
      </c>
      <c r="M13" s="26">
        <f>IF(J13="","",IF(ISNUMBER(J13),J13-TODAY(),"Check date"))</f>
        <v/>
      </c>
      <c r="N13" s="27">
        <f>IF(M13="","",IF(ISNUMBER(M13),IF(M13&lt;0,"Expired",IF(M13&lt;=30,"Due ≤30 days",IF(M13&lt;=90,"Due ≤90 days","OK"))),"Check date"))</f>
        <v/>
      </c>
      <c r="O13" s="21" t="n"/>
      <c r="P13" s="21" t="n"/>
      <c r="Q13" s="21" t="n"/>
      <c r="R13" s="21" t="n"/>
      <c r="S13" s="21" t="n"/>
    </row>
    <row r="14">
      <c r="A14" s="21" t="n"/>
      <c r="B14" s="21" t="n"/>
      <c r="C14" s="21" t="n"/>
      <c r="D14" s="21" t="n"/>
      <c r="E14" s="21" t="n"/>
      <c r="F14" s="22" t="n"/>
      <c r="G14" s="22" t="n"/>
      <c r="H14" s="21" t="n"/>
      <c r="I14" s="23" t="n"/>
      <c r="J14" s="23" t="n"/>
      <c r="K14" s="24" t="n"/>
      <c r="L14" s="25">
        <f>IF(ISNUMBER(J14),J14-IF(ISNUMBER(K14),K14,30),"")</f>
        <v/>
      </c>
      <c r="M14" s="26">
        <f>IF(J14="","",IF(ISNUMBER(J14),J14-TODAY(),"Check date"))</f>
        <v/>
      </c>
      <c r="N14" s="27">
        <f>IF(M14="","",IF(ISNUMBER(M14),IF(M14&lt;0,"Expired",IF(M14&lt;=30,"Due ≤30 days",IF(M14&lt;=90,"Due ≤90 days","OK"))),"Check date"))</f>
        <v/>
      </c>
      <c r="O14" s="21" t="n"/>
      <c r="P14" s="21" t="n"/>
      <c r="Q14" s="21" t="n"/>
      <c r="R14" s="21" t="n"/>
      <c r="S14" s="21" t="n"/>
    </row>
    <row r="15">
      <c r="A15" s="21" t="n"/>
      <c r="B15" s="21" t="n"/>
      <c r="C15" s="21" t="n"/>
      <c r="D15" s="21" t="n"/>
      <c r="E15" s="21" t="n"/>
      <c r="F15" s="22" t="n"/>
      <c r="G15" s="22" t="n"/>
      <c r="H15" s="21" t="n"/>
      <c r="I15" s="23" t="n"/>
      <c r="J15" s="23" t="n"/>
      <c r="K15" s="24" t="n"/>
      <c r="L15" s="25">
        <f>IF(ISNUMBER(J15),J15-IF(ISNUMBER(K15),K15,30),"")</f>
        <v/>
      </c>
      <c r="M15" s="26">
        <f>IF(J15="","",IF(ISNUMBER(J15),J15-TODAY(),"Check date"))</f>
        <v/>
      </c>
      <c r="N15" s="27">
        <f>IF(M15="","",IF(ISNUMBER(M15),IF(M15&lt;0,"Expired",IF(M15&lt;=30,"Due ≤30 days",IF(M15&lt;=90,"Due ≤90 days","OK"))),"Check date"))</f>
        <v/>
      </c>
      <c r="O15" s="21" t="n"/>
      <c r="P15" s="21" t="n"/>
      <c r="Q15" s="21" t="n"/>
      <c r="R15" s="21" t="n"/>
      <c r="S15" s="21" t="n"/>
    </row>
    <row r="16">
      <c r="A16" s="21" t="n"/>
      <c r="B16" s="21" t="n"/>
      <c r="C16" s="21" t="n"/>
      <c r="D16" s="21" t="n"/>
      <c r="E16" s="21" t="n"/>
      <c r="F16" s="22" t="n"/>
      <c r="G16" s="22" t="n"/>
      <c r="H16" s="21" t="n"/>
      <c r="I16" s="23" t="n"/>
      <c r="J16" s="23" t="n"/>
      <c r="K16" s="24" t="n"/>
      <c r="L16" s="25">
        <f>IF(ISNUMBER(J16),J16-IF(ISNUMBER(K16),K16,30),"")</f>
        <v/>
      </c>
      <c r="M16" s="26">
        <f>IF(J16="","",IF(ISNUMBER(J16),J16-TODAY(),"Check date"))</f>
        <v/>
      </c>
      <c r="N16" s="27">
        <f>IF(M16="","",IF(ISNUMBER(M16),IF(M16&lt;0,"Expired",IF(M16&lt;=30,"Due ≤30 days",IF(M16&lt;=90,"Due ≤90 days","OK"))),"Check date"))</f>
        <v/>
      </c>
      <c r="O16" s="21" t="n"/>
      <c r="P16" s="21" t="n"/>
      <c r="Q16" s="21" t="n"/>
      <c r="R16" s="21" t="n"/>
      <c r="S16" s="21" t="n"/>
    </row>
    <row r="17">
      <c r="A17" s="21" t="n"/>
      <c r="B17" s="21" t="n"/>
      <c r="C17" s="21" t="n"/>
      <c r="D17" s="21" t="n"/>
      <c r="E17" s="21" t="n"/>
      <c r="F17" s="22" t="n"/>
      <c r="G17" s="22" t="n"/>
      <c r="H17" s="21" t="n"/>
      <c r="I17" s="23" t="n"/>
      <c r="J17" s="23" t="n"/>
      <c r="K17" s="24" t="n"/>
      <c r="L17" s="25">
        <f>IF(ISNUMBER(J17),J17-IF(ISNUMBER(K17),K17,30),"")</f>
        <v/>
      </c>
      <c r="M17" s="26">
        <f>IF(J17="","",IF(ISNUMBER(J17),J17-TODAY(),"Check date"))</f>
        <v/>
      </c>
      <c r="N17" s="27">
        <f>IF(M17="","",IF(ISNUMBER(M17),IF(M17&lt;0,"Expired",IF(M17&lt;=30,"Due ≤30 days",IF(M17&lt;=90,"Due ≤90 days","OK"))),"Check date"))</f>
        <v/>
      </c>
      <c r="O17" s="21" t="n"/>
      <c r="P17" s="21" t="n"/>
      <c r="Q17" s="21" t="n"/>
      <c r="R17" s="21" t="n"/>
      <c r="S17" s="21" t="n"/>
    </row>
    <row r="18">
      <c r="A18" s="21" t="n"/>
      <c r="B18" s="21" t="n"/>
      <c r="C18" s="21" t="n"/>
      <c r="D18" s="21" t="n"/>
      <c r="E18" s="21" t="n"/>
      <c r="F18" s="22" t="n"/>
      <c r="G18" s="22" t="n"/>
      <c r="H18" s="21" t="n"/>
      <c r="I18" s="23" t="n"/>
      <c r="J18" s="23" t="n"/>
      <c r="K18" s="24" t="n"/>
      <c r="L18" s="25">
        <f>IF(ISNUMBER(J18),J18-IF(ISNUMBER(K18),K18,30),"")</f>
        <v/>
      </c>
      <c r="M18" s="26">
        <f>IF(J18="","",IF(ISNUMBER(J18),J18-TODAY(),"Check date"))</f>
        <v/>
      </c>
      <c r="N18" s="27">
        <f>IF(M18="","",IF(ISNUMBER(M18),IF(M18&lt;0,"Expired",IF(M18&lt;=30,"Due ≤30 days",IF(M18&lt;=90,"Due ≤90 days","OK"))),"Check date"))</f>
        <v/>
      </c>
      <c r="O18" s="21" t="n"/>
      <c r="P18" s="21" t="n"/>
      <c r="Q18" s="21" t="n"/>
      <c r="R18" s="21" t="n"/>
      <c r="S18" s="21" t="n"/>
    </row>
    <row r="19">
      <c r="A19" s="21" t="n"/>
      <c r="B19" s="21" t="n"/>
      <c r="C19" s="21" t="n"/>
      <c r="D19" s="21" t="n"/>
      <c r="E19" s="21" t="n"/>
      <c r="F19" s="22" t="n"/>
      <c r="G19" s="22" t="n"/>
      <c r="H19" s="21" t="n"/>
      <c r="I19" s="23" t="n"/>
      <c r="J19" s="23" t="n"/>
      <c r="K19" s="24" t="n"/>
      <c r="L19" s="25">
        <f>IF(ISNUMBER(J19),J19-IF(ISNUMBER(K19),K19,30),"")</f>
        <v/>
      </c>
      <c r="M19" s="26">
        <f>IF(J19="","",IF(ISNUMBER(J19),J19-TODAY(),"Check date"))</f>
        <v/>
      </c>
      <c r="N19" s="27">
        <f>IF(M19="","",IF(ISNUMBER(M19),IF(M19&lt;0,"Expired",IF(M19&lt;=30,"Due ≤30 days",IF(M19&lt;=90,"Due ≤90 days","OK"))),"Check date"))</f>
        <v/>
      </c>
      <c r="O19" s="21" t="n"/>
      <c r="P19" s="21" t="n"/>
      <c r="Q19" s="21" t="n"/>
      <c r="R19" s="21" t="n"/>
      <c r="S19" s="21" t="n"/>
    </row>
    <row r="20">
      <c r="A20" s="21" t="n"/>
      <c r="B20" s="21" t="n"/>
      <c r="C20" s="21" t="n"/>
      <c r="D20" s="21" t="n"/>
      <c r="E20" s="21" t="n"/>
      <c r="F20" s="22" t="n"/>
      <c r="G20" s="22" t="n"/>
      <c r="H20" s="21" t="n"/>
      <c r="I20" s="23" t="n"/>
      <c r="J20" s="23" t="n"/>
      <c r="K20" s="24" t="n"/>
      <c r="L20" s="25">
        <f>IF(ISNUMBER(J20),J20-IF(ISNUMBER(K20),K20,30),"")</f>
        <v/>
      </c>
      <c r="M20" s="26">
        <f>IF(J20="","",IF(ISNUMBER(J20),J20-TODAY(),"Check date"))</f>
        <v/>
      </c>
      <c r="N20" s="27">
        <f>IF(M20="","",IF(ISNUMBER(M20),IF(M20&lt;0,"Expired",IF(M20&lt;=30,"Due ≤30 days",IF(M20&lt;=90,"Due ≤90 days","OK"))),"Check date"))</f>
        <v/>
      </c>
      <c r="O20" s="21" t="n"/>
      <c r="P20" s="21" t="n"/>
      <c r="Q20" s="21" t="n"/>
      <c r="R20" s="21" t="n"/>
      <c r="S20" s="21" t="n"/>
    </row>
    <row r="21">
      <c r="A21" s="21" t="n"/>
      <c r="B21" s="21" t="n"/>
      <c r="C21" s="21" t="n"/>
      <c r="D21" s="21" t="n"/>
      <c r="E21" s="21" t="n"/>
      <c r="F21" s="22" t="n"/>
      <c r="G21" s="22" t="n"/>
      <c r="H21" s="21" t="n"/>
      <c r="I21" s="23" t="n"/>
      <c r="J21" s="23" t="n"/>
      <c r="K21" s="24" t="n"/>
      <c r="L21" s="25">
        <f>IF(ISNUMBER(J21),J21-IF(ISNUMBER(K21),K21,30),"")</f>
        <v/>
      </c>
      <c r="M21" s="26">
        <f>IF(J21="","",IF(ISNUMBER(J21),J21-TODAY(),"Check date"))</f>
        <v/>
      </c>
      <c r="N21" s="27">
        <f>IF(M21="","",IF(ISNUMBER(M21),IF(M21&lt;0,"Expired",IF(M21&lt;=30,"Due ≤30 days",IF(M21&lt;=90,"Due ≤90 days","OK"))),"Check date"))</f>
        <v/>
      </c>
      <c r="O21" s="21" t="n"/>
      <c r="P21" s="21" t="n"/>
      <c r="Q21" s="21" t="n"/>
      <c r="R21" s="21" t="n"/>
      <c r="S21" s="21" t="n"/>
    </row>
    <row r="22">
      <c r="A22" s="21" t="n"/>
      <c r="B22" s="21" t="n"/>
      <c r="C22" s="21" t="n"/>
      <c r="D22" s="21" t="n"/>
      <c r="E22" s="21" t="n"/>
      <c r="F22" s="22" t="n"/>
      <c r="G22" s="22" t="n"/>
      <c r="H22" s="21" t="n"/>
      <c r="I22" s="23" t="n"/>
      <c r="J22" s="23" t="n"/>
      <c r="K22" s="24" t="n"/>
      <c r="L22" s="25">
        <f>IF(ISNUMBER(J22),J22-IF(ISNUMBER(K22),K22,30),"")</f>
        <v/>
      </c>
      <c r="M22" s="26">
        <f>IF(J22="","",IF(ISNUMBER(J22),J22-TODAY(),"Check date"))</f>
        <v/>
      </c>
      <c r="N22" s="27">
        <f>IF(M22="","",IF(ISNUMBER(M22),IF(M22&lt;0,"Expired",IF(M22&lt;=30,"Due ≤30 days",IF(M22&lt;=90,"Due ≤90 days","OK"))),"Check date"))</f>
        <v/>
      </c>
      <c r="O22" s="21" t="n"/>
      <c r="P22" s="21" t="n"/>
      <c r="Q22" s="21" t="n"/>
      <c r="R22" s="21" t="n"/>
      <c r="S22" s="21" t="n"/>
    </row>
    <row r="23">
      <c r="A23" s="21" t="n"/>
      <c r="B23" s="21" t="n"/>
      <c r="C23" s="21" t="n"/>
      <c r="D23" s="21" t="n"/>
      <c r="E23" s="21" t="n"/>
      <c r="F23" s="22" t="n"/>
      <c r="G23" s="22" t="n"/>
      <c r="H23" s="21" t="n"/>
      <c r="I23" s="23" t="n"/>
      <c r="J23" s="23" t="n"/>
      <c r="K23" s="24" t="n"/>
      <c r="L23" s="25">
        <f>IF(ISNUMBER(J23),J23-IF(ISNUMBER(K23),K23,30),"")</f>
        <v/>
      </c>
      <c r="M23" s="26">
        <f>IF(J23="","",IF(ISNUMBER(J23),J23-TODAY(),"Check date"))</f>
        <v/>
      </c>
      <c r="N23" s="27">
        <f>IF(M23="","",IF(ISNUMBER(M23),IF(M23&lt;0,"Expired",IF(M23&lt;=30,"Due ≤30 days",IF(M23&lt;=90,"Due ≤90 days","OK"))),"Check date"))</f>
        <v/>
      </c>
      <c r="O23" s="21" t="n"/>
      <c r="P23" s="21" t="n"/>
      <c r="Q23" s="21" t="n"/>
      <c r="R23" s="21" t="n"/>
      <c r="S23" s="21" t="n"/>
    </row>
    <row r="24">
      <c r="A24" s="21" t="n"/>
      <c r="B24" s="21" t="n"/>
      <c r="C24" s="21" t="n"/>
      <c r="D24" s="21" t="n"/>
      <c r="E24" s="21" t="n"/>
      <c r="F24" s="22" t="n"/>
      <c r="G24" s="22" t="n"/>
      <c r="H24" s="21" t="n"/>
      <c r="I24" s="23" t="n"/>
      <c r="J24" s="23" t="n"/>
      <c r="K24" s="24" t="n"/>
      <c r="L24" s="25">
        <f>IF(ISNUMBER(J24),J24-IF(ISNUMBER(K24),K24,30),"")</f>
        <v/>
      </c>
      <c r="M24" s="26">
        <f>IF(J24="","",IF(ISNUMBER(J24),J24-TODAY(),"Check date"))</f>
        <v/>
      </c>
      <c r="N24" s="27">
        <f>IF(M24="","",IF(ISNUMBER(M24),IF(M24&lt;0,"Expired",IF(M24&lt;=30,"Due ≤30 days",IF(M24&lt;=90,"Due ≤90 days","OK"))),"Check date"))</f>
        <v/>
      </c>
      <c r="O24" s="21" t="n"/>
      <c r="P24" s="21" t="n"/>
      <c r="Q24" s="21" t="n"/>
      <c r="R24" s="21" t="n"/>
      <c r="S24" s="21" t="n"/>
    </row>
    <row r="25">
      <c r="A25" s="21" t="n"/>
      <c r="B25" s="21" t="n"/>
      <c r="C25" s="21" t="n"/>
      <c r="D25" s="21" t="n"/>
      <c r="E25" s="21" t="n"/>
      <c r="F25" s="22" t="n"/>
      <c r="G25" s="22" t="n"/>
      <c r="H25" s="21" t="n"/>
      <c r="I25" s="23" t="n"/>
      <c r="J25" s="23" t="n"/>
      <c r="K25" s="24" t="n"/>
      <c r="L25" s="25">
        <f>IF(ISNUMBER(J25),J25-IF(ISNUMBER(K25),K25,30),"")</f>
        <v/>
      </c>
      <c r="M25" s="26">
        <f>IF(J25="","",IF(ISNUMBER(J25),J25-TODAY(),"Check date"))</f>
        <v/>
      </c>
      <c r="N25" s="27">
        <f>IF(M25="","",IF(ISNUMBER(M25),IF(M25&lt;0,"Expired",IF(M25&lt;=30,"Due ≤30 days",IF(M25&lt;=90,"Due ≤90 days","OK"))),"Check date"))</f>
        <v/>
      </c>
      <c r="O25" s="21" t="n"/>
      <c r="P25" s="21" t="n"/>
      <c r="Q25" s="21" t="n"/>
      <c r="R25" s="21" t="n"/>
      <c r="S25" s="21" t="n"/>
    </row>
    <row r="26">
      <c r="A26" s="21" t="n"/>
      <c r="B26" s="21" t="n"/>
      <c r="C26" s="21" t="n"/>
      <c r="D26" s="21" t="n"/>
      <c r="E26" s="21" t="n"/>
      <c r="F26" s="22" t="n"/>
      <c r="G26" s="22" t="n"/>
      <c r="H26" s="21" t="n"/>
      <c r="I26" s="23" t="n"/>
      <c r="J26" s="23" t="n"/>
      <c r="K26" s="24" t="n"/>
      <c r="L26" s="25">
        <f>IF(ISNUMBER(J26),J26-IF(ISNUMBER(K26),K26,30),"")</f>
        <v/>
      </c>
      <c r="M26" s="26">
        <f>IF(J26="","",IF(ISNUMBER(J26),J26-TODAY(),"Check date"))</f>
        <v/>
      </c>
      <c r="N26" s="27">
        <f>IF(M26="","",IF(ISNUMBER(M26),IF(M26&lt;0,"Expired",IF(M26&lt;=30,"Due ≤30 days",IF(M26&lt;=90,"Due ≤90 days","OK"))),"Check date"))</f>
        <v/>
      </c>
      <c r="O26" s="21" t="n"/>
      <c r="P26" s="21" t="n"/>
      <c r="Q26" s="21" t="n"/>
      <c r="R26" s="21" t="n"/>
      <c r="S26" s="21" t="n"/>
    </row>
    <row r="27">
      <c r="A27" s="21" t="n"/>
      <c r="B27" s="21" t="n"/>
      <c r="C27" s="21" t="n"/>
      <c r="D27" s="21" t="n"/>
      <c r="E27" s="21" t="n"/>
      <c r="F27" s="22" t="n"/>
      <c r="G27" s="22" t="n"/>
      <c r="H27" s="21" t="n"/>
      <c r="I27" s="23" t="n"/>
      <c r="J27" s="23" t="n"/>
      <c r="K27" s="24" t="n"/>
      <c r="L27" s="25">
        <f>IF(ISNUMBER(J27),J27-IF(ISNUMBER(K27),K27,30),"")</f>
        <v/>
      </c>
      <c r="M27" s="26">
        <f>IF(J27="","",IF(ISNUMBER(J27),J27-TODAY(),"Check date"))</f>
        <v/>
      </c>
      <c r="N27" s="27">
        <f>IF(M27="","",IF(ISNUMBER(M27),IF(M27&lt;0,"Expired",IF(M27&lt;=30,"Due ≤30 days",IF(M27&lt;=90,"Due ≤90 days","OK"))),"Check date"))</f>
        <v/>
      </c>
      <c r="O27" s="21" t="n"/>
      <c r="P27" s="21" t="n"/>
      <c r="Q27" s="21" t="n"/>
      <c r="R27" s="21" t="n"/>
      <c r="S27" s="21" t="n"/>
    </row>
    <row r="28">
      <c r="A28" s="21" t="n"/>
      <c r="B28" s="21" t="n"/>
      <c r="C28" s="21" t="n"/>
      <c r="D28" s="21" t="n"/>
      <c r="E28" s="21" t="n"/>
      <c r="F28" s="22" t="n"/>
      <c r="G28" s="22" t="n"/>
      <c r="H28" s="21" t="n"/>
      <c r="I28" s="23" t="n"/>
      <c r="J28" s="23" t="n"/>
      <c r="K28" s="24" t="n"/>
      <c r="L28" s="25">
        <f>IF(ISNUMBER(J28),J28-IF(ISNUMBER(K28),K28,30),"")</f>
        <v/>
      </c>
      <c r="M28" s="26">
        <f>IF(J28="","",IF(ISNUMBER(J28),J28-TODAY(),"Check date"))</f>
        <v/>
      </c>
      <c r="N28" s="27">
        <f>IF(M28="","",IF(ISNUMBER(M28),IF(M28&lt;0,"Expired",IF(M28&lt;=30,"Due ≤30 days",IF(M28&lt;=90,"Due ≤90 days","OK"))),"Check date"))</f>
        <v/>
      </c>
      <c r="O28" s="21" t="n"/>
      <c r="P28" s="21" t="n"/>
      <c r="Q28" s="21" t="n"/>
      <c r="R28" s="21" t="n"/>
      <c r="S28" s="21" t="n"/>
    </row>
    <row r="29">
      <c r="A29" s="21" t="n"/>
      <c r="B29" s="21" t="n"/>
      <c r="C29" s="21" t="n"/>
      <c r="D29" s="21" t="n"/>
      <c r="E29" s="21" t="n"/>
      <c r="F29" s="22" t="n"/>
      <c r="G29" s="22" t="n"/>
      <c r="H29" s="21" t="n"/>
      <c r="I29" s="23" t="n"/>
      <c r="J29" s="23" t="n"/>
      <c r="K29" s="24" t="n"/>
      <c r="L29" s="25">
        <f>IF(ISNUMBER(J29),J29-IF(ISNUMBER(K29),K29,30),"")</f>
        <v/>
      </c>
      <c r="M29" s="26">
        <f>IF(J29="","",IF(ISNUMBER(J29),J29-TODAY(),"Check date"))</f>
        <v/>
      </c>
      <c r="N29" s="27">
        <f>IF(M29="","",IF(ISNUMBER(M29),IF(M29&lt;0,"Expired",IF(M29&lt;=30,"Due ≤30 days",IF(M29&lt;=90,"Due ≤90 days","OK"))),"Check date"))</f>
        <v/>
      </c>
      <c r="O29" s="21" t="n"/>
      <c r="P29" s="21" t="n"/>
      <c r="Q29" s="21" t="n"/>
      <c r="R29" s="21" t="n"/>
      <c r="S29" s="21" t="n"/>
    </row>
    <row r="30">
      <c r="A30" s="21" t="n"/>
      <c r="B30" s="21" t="n"/>
      <c r="C30" s="21" t="n"/>
      <c r="D30" s="21" t="n"/>
      <c r="E30" s="21" t="n"/>
      <c r="F30" s="22" t="n"/>
      <c r="G30" s="22" t="n"/>
      <c r="H30" s="21" t="n"/>
      <c r="I30" s="23" t="n"/>
      <c r="J30" s="23" t="n"/>
      <c r="K30" s="24" t="n"/>
      <c r="L30" s="25">
        <f>IF(ISNUMBER(J30),J30-IF(ISNUMBER(K30),K30,30),"")</f>
        <v/>
      </c>
      <c r="M30" s="26">
        <f>IF(J30="","",IF(ISNUMBER(J30),J30-TODAY(),"Check date"))</f>
        <v/>
      </c>
      <c r="N30" s="27">
        <f>IF(M30="","",IF(ISNUMBER(M30),IF(M30&lt;0,"Expired",IF(M30&lt;=30,"Due ≤30 days",IF(M30&lt;=90,"Due ≤90 days","OK"))),"Check date"))</f>
        <v/>
      </c>
      <c r="O30" s="21" t="n"/>
      <c r="P30" s="21" t="n"/>
      <c r="Q30" s="21" t="n"/>
      <c r="R30" s="21" t="n"/>
      <c r="S30" s="21" t="n"/>
    </row>
    <row r="31">
      <c r="A31" s="21" t="n"/>
      <c r="B31" s="21" t="n"/>
      <c r="C31" s="21" t="n"/>
      <c r="D31" s="21" t="n"/>
      <c r="E31" s="21" t="n"/>
      <c r="F31" s="22" t="n"/>
      <c r="G31" s="22" t="n"/>
      <c r="H31" s="21" t="n"/>
      <c r="I31" s="23" t="n"/>
      <c r="J31" s="23" t="n"/>
      <c r="K31" s="24" t="n"/>
      <c r="L31" s="25">
        <f>IF(ISNUMBER(J31),J31-IF(ISNUMBER(K31),K31,30),"")</f>
        <v/>
      </c>
      <c r="M31" s="26">
        <f>IF(J31="","",IF(ISNUMBER(J31),J31-TODAY(),"Check date"))</f>
        <v/>
      </c>
      <c r="N31" s="27">
        <f>IF(M31="","",IF(ISNUMBER(M31),IF(M31&lt;0,"Expired",IF(M31&lt;=30,"Due ≤30 days",IF(M31&lt;=90,"Due ≤90 days","OK"))),"Check date"))</f>
        <v/>
      </c>
      <c r="O31" s="21" t="n"/>
      <c r="P31" s="21" t="n"/>
      <c r="Q31" s="21" t="n"/>
      <c r="R31" s="21" t="n"/>
      <c r="S31" s="21" t="n"/>
    </row>
    <row r="32">
      <c r="A32" s="21" t="n"/>
      <c r="B32" s="21" t="n"/>
      <c r="C32" s="21" t="n"/>
      <c r="D32" s="21" t="n"/>
      <c r="E32" s="21" t="n"/>
      <c r="F32" s="22" t="n"/>
      <c r="G32" s="22" t="n"/>
      <c r="H32" s="21" t="n"/>
      <c r="I32" s="23" t="n"/>
      <c r="J32" s="23" t="n"/>
      <c r="K32" s="24" t="n"/>
      <c r="L32" s="25">
        <f>IF(ISNUMBER(J32),J32-IF(ISNUMBER(K32),K32,30),"")</f>
        <v/>
      </c>
      <c r="M32" s="26">
        <f>IF(J32="","",IF(ISNUMBER(J32),J32-TODAY(),"Check date"))</f>
        <v/>
      </c>
      <c r="N32" s="27">
        <f>IF(M32="","",IF(ISNUMBER(M32),IF(M32&lt;0,"Expired",IF(M32&lt;=30,"Due ≤30 days",IF(M32&lt;=90,"Due ≤90 days","OK"))),"Check date"))</f>
        <v/>
      </c>
      <c r="O32" s="21" t="n"/>
      <c r="P32" s="21" t="n"/>
      <c r="Q32" s="21" t="n"/>
      <c r="R32" s="21" t="n"/>
      <c r="S32" s="21" t="n"/>
    </row>
    <row r="33">
      <c r="A33" s="21" t="n"/>
      <c r="B33" s="21" t="n"/>
      <c r="C33" s="21" t="n"/>
      <c r="D33" s="21" t="n"/>
      <c r="E33" s="21" t="n"/>
      <c r="F33" s="22" t="n"/>
      <c r="G33" s="22" t="n"/>
      <c r="H33" s="21" t="n"/>
      <c r="I33" s="23" t="n"/>
      <c r="J33" s="23" t="n"/>
      <c r="K33" s="24" t="n"/>
      <c r="L33" s="25">
        <f>IF(ISNUMBER(J33),J33-IF(ISNUMBER(K33),K33,30),"")</f>
        <v/>
      </c>
      <c r="M33" s="26">
        <f>IF(J33="","",IF(ISNUMBER(J33),J33-TODAY(),"Check date"))</f>
        <v/>
      </c>
      <c r="N33" s="27">
        <f>IF(M33="","",IF(ISNUMBER(M33),IF(M33&lt;0,"Expired",IF(M33&lt;=30,"Due ≤30 days",IF(M33&lt;=90,"Due ≤90 days","OK"))),"Check date"))</f>
        <v/>
      </c>
      <c r="O33" s="21" t="n"/>
      <c r="P33" s="21" t="n"/>
      <c r="Q33" s="21" t="n"/>
      <c r="R33" s="21" t="n"/>
      <c r="S33" s="21" t="n"/>
    </row>
    <row r="34">
      <c r="A34" s="21" t="n"/>
      <c r="B34" s="21" t="n"/>
      <c r="C34" s="21" t="n"/>
      <c r="D34" s="21" t="n"/>
      <c r="E34" s="21" t="n"/>
      <c r="F34" s="22" t="n"/>
      <c r="G34" s="22" t="n"/>
      <c r="H34" s="21" t="n"/>
      <c r="I34" s="23" t="n"/>
      <c r="J34" s="23" t="n"/>
      <c r="K34" s="24" t="n"/>
      <c r="L34" s="25">
        <f>IF(ISNUMBER(J34),J34-IF(ISNUMBER(K34),K34,30),"")</f>
        <v/>
      </c>
      <c r="M34" s="26">
        <f>IF(J34="","",IF(ISNUMBER(J34),J34-TODAY(),"Check date"))</f>
        <v/>
      </c>
      <c r="N34" s="27">
        <f>IF(M34="","",IF(ISNUMBER(M34),IF(M34&lt;0,"Expired",IF(M34&lt;=30,"Due ≤30 days",IF(M34&lt;=90,"Due ≤90 days","OK"))),"Check date"))</f>
        <v/>
      </c>
      <c r="O34" s="21" t="n"/>
      <c r="P34" s="21" t="n"/>
      <c r="Q34" s="21" t="n"/>
      <c r="R34" s="21" t="n"/>
      <c r="S34" s="21" t="n"/>
    </row>
    <row r="35">
      <c r="A35" s="21" t="n"/>
      <c r="B35" s="21" t="n"/>
      <c r="C35" s="21" t="n"/>
      <c r="D35" s="21" t="n"/>
      <c r="E35" s="21" t="n"/>
      <c r="F35" s="22" t="n"/>
      <c r="G35" s="22" t="n"/>
      <c r="H35" s="21" t="n"/>
      <c r="I35" s="23" t="n"/>
      <c r="J35" s="23" t="n"/>
      <c r="K35" s="24" t="n"/>
      <c r="L35" s="25">
        <f>IF(ISNUMBER(J35),J35-IF(ISNUMBER(K35),K35,30),"")</f>
        <v/>
      </c>
      <c r="M35" s="26">
        <f>IF(J35="","",IF(ISNUMBER(J35),J35-TODAY(),"Check date"))</f>
        <v/>
      </c>
      <c r="N35" s="27">
        <f>IF(M35="","",IF(ISNUMBER(M35),IF(M35&lt;0,"Expired",IF(M35&lt;=30,"Due ≤30 days",IF(M35&lt;=90,"Due ≤90 days","OK"))),"Check date"))</f>
        <v/>
      </c>
      <c r="O35" s="21" t="n"/>
      <c r="P35" s="21" t="n"/>
      <c r="Q35" s="21" t="n"/>
      <c r="R35" s="21" t="n"/>
      <c r="S35" s="21" t="n"/>
    </row>
    <row r="36">
      <c r="A36" s="21" t="n"/>
      <c r="B36" s="21" t="n"/>
      <c r="C36" s="21" t="n"/>
      <c r="D36" s="21" t="n"/>
      <c r="E36" s="21" t="n"/>
      <c r="F36" s="22" t="n"/>
      <c r="G36" s="22" t="n"/>
      <c r="H36" s="21" t="n"/>
      <c r="I36" s="23" t="n"/>
      <c r="J36" s="23" t="n"/>
      <c r="K36" s="24" t="n"/>
      <c r="L36" s="25">
        <f>IF(ISNUMBER(J36),J36-IF(ISNUMBER(K36),K36,30),"")</f>
        <v/>
      </c>
      <c r="M36" s="26">
        <f>IF(J36="","",IF(ISNUMBER(J36),J36-TODAY(),"Check date"))</f>
        <v/>
      </c>
      <c r="N36" s="27">
        <f>IF(M36="","",IF(ISNUMBER(M36),IF(M36&lt;0,"Expired",IF(M36&lt;=30,"Due ≤30 days",IF(M36&lt;=90,"Due ≤90 days","OK"))),"Check date"))</f>
        <v/>
      </c>
      <c r="O36" s="21" t="n"/>
      <c r="P36" s="21" t="n"/>
      <c r="Q36" s="21" t="n"/>
      <c r="R36" s="21" t="n"/>
      <c r="S36" s="21" t="n"/>
    </row>
    <row r="37">
      <c r="A37" s="21" t="n"/>
      <c r="B37" s="21" t="n"/>
      <c r="C37" s="21" t="n"/>
      <c r="D37" s="21" t="n"/>
      <c r="E37" s="21" t="n"/>
      <c r="F37" s="22" t="n"/>
      <c r="G37" s="22" t="n"/>
      <c r="H37" s="21" t="n"/>
      <c r="I37" s="23" t="n"/>
      <c r="J37" s="23" t="n"/>
      <c r="K37" s="24" t="n"/>
      <c r="L37" s="25">
        <f>IF(ISNUMBER(J37),J37-IF(ISNUMBER(K37),K37,30),"")</f>
        <v/>
      </c>
      <c r="M37" s="26">
        <f>IF(J37="","",IF(ISNUMBER(J37),J37-TODAY(),"Check date"))</f>
        <v/>
      </c>
      <c r="N37" s="27">
        <f>IF(M37="","",IF(ISNUMBER(M37),IF(M37&lt;0,"Expired",IF(M37&lt;=30,"Due ≤30 days",IF(M37&lt;=90,"Due ≤90 days","OK"))),"Check date"))</f>
        <v/>
      </c>
      <c r="O37" s="21" t="n"/>
      <c r="P37" s="21" t="n"/>
      <c r="Q37" s="21" t="n"/>
      <c r="R37" s="21" t="n"/>
      <c r="S37" s="21" t="n"/>
    </row>
    <row r="38">
      <c r="A38" s="21" t="n"/>
      <c r="B38" s="21" t="n"/>
      <c r="C38" s="21" t="n"/>
      <c r="D38" s="21" t="n"/>
      <c r="E38" s="21" t="n"/>
      <c r="F38" s="22" t="n"/>
      <c r="G38" s="22" t="n"/>
      <c r="H38" s="21" t="n"/>
      <c r="I38" s="23" t="n"/>
      <c r="J38" s="23" t="n"/>
      <c r="K38" s="24" t="n"/>
      <c r="L38" s="25">
        <f>IF(ISNUMBER(J38),J38-IF(ISNUMBER(K38),K38,30),"")</f>
        <v/>
      </c>
      <c r="M38" s="26">
        <f>IF(J38="","",IF(ISNUMBER(J38),J38-TODAY(),"Check date"))</f>
        <v/>
      </c>
      <c r="N38" s="27">
        <f>IF(M38="","",IF(ISNUMBER(M38),IF(M38&lt;0,"Expired",IF(M38&lt;=30,"Due ≤30 days",IF(M38&lt;=90,"Due ≤90 days","OK"))),"Check date"))</f>
        <v/>
      </c>
      <c r="O38" s="21" t="n"/>
      <c r="P38" s="21" t="n"/>
      <c r="Q38" s="21" t="n"/>
      <c r="R38" s="21" t="n"/>
      <c r="S38" s="21" t="n"/>
    </row>
    <row r="39">
      <c r="A39" s="21" t="n"/>
      <c r="B39" s="21" t="n"/>
      <c r="C39" s="21" t="n"/>
      <c r="D39" s="21" t="n"/>
      <c r="E39" s="21" t="n"/>
      <c r="F39" s="22" t="n"/>
      <c r="G39" s="22" t="n"/>
      <c r="H39" s="21" t="n"/>
      <c r="I39" s="23" t="n"/>
      <c r="J39" s="23" t="n"/>
      <c r="K39" s="24" t="n"/>
      <c r="L39" s="25">
        <f>IF(ISNUMBER(J39),J39-IF(ISNUMBER(K39),K39,30),"")</f>
        <v/>
      </c>
      <c r="M39" s="26">
        <f>IF(J39="","",IF(ISNUMBER(J39),J39-TODAY(),"Check date"))</f>
        <v/>
      </c>
      <c r="N39" s="27">
        <f>IF(M39="","",IF(ISNUMBER(M39),IF(M39&lt;0,"Expired",IF(M39&lt;=30,"Due ≤30 days",IF(M39&lt;=90,"Due ≤90 days","OK"))),"Check date"))</f>
        <v/>
      </c>
      <c r="O39" s="21" t="n"/>
      <c r="P39" s="21" t="n"/>
      <c r="Q39" s="21" t="n"/>
      <c r="R39" s="21" t="n"/>
      <c r="S39" s="21" t="n"/>
    </row>
    <row r="40">
      <c r="A40" s="21" t="n"/>
      <c r="B40" s="21" t="n"/>
      <c r="C40" s="21" t="n"/>
      <c r="D40" s="21" t="n"/>
      <c r="E40" s="21" t="n"/>
      <c r="F40" s="22" t="n"/>
      <c r="G40" s="22" t="n"/>
      <c r="H40" s="21" t="n"/>
      <c r="I40" s="23" t="n"/>
      <c r="J40" s="23" t="n"/>
      <c r="K40" s="24" t="n"/>
      <c r="L40" s="25">
        <f>IF(ISNUMBER(J40),J40-IF(ISNUMBER(K40),K40,30),"")</f>
        <v/>
      </c>
      <c r="M40" s="26">
        <f>IF(J40="","",IF(ISNUMBER(J40),J40-TODAY(),"Check date"))</f>
        <v/>
      </c>
      <c r="N40" s="27">
        <f>IF(M40="","",IF(ISNUMBER(M40),IF(M40&lt;0,"Expired",IF(M40&lt;=30,"Due ≤30 days",IF(M40&lt;=90,"Due ≤90 days","OK"))),"Check date"))</f>
        <v/>
      </c>
      <c r="O40" s="21" t="n"/>
      <c r="P40" s="21" t="n"/>
      <c r="Q40" s="21" t="n"/>
      <c r="R40" s="21" t="n"/>
      <c r="S40" s="21" t="n"/>
    </row>
    <row r="41">
      <c r="A41" s="21" t="n"/>
      <c r="B41" s="21" t="n"/>
      <c r="C41" s="21" t="n"/>
      <c r="D41" s="21" t="n"/>
      <c r="E41" s="21" t="n"/>
      <c r="F41" s="22" t="n"/>
      <c r="G41" s="22" t="n"/>
      <c r="H41" s="21" t="n"/>
      <c r="I41" s="23" t="n"/>
      <c r="J41" s="23" t="n"/>
      <c r="K41" s="24" t="n"/>
      <c r="L41" s="25">
        <f>IF(ISNUMBER(J41),J41-IF(ISNUMBER(K41),K41,30),"")</f>
        <v/>
      </c>
      <c r="M41" s="26">
        <f>IF(J41="","",IF(ISNUMBER(J41),J41-TODAY(),"Check date"))</f>
        <v/>
      </c>
      <c r="N41" s="27">
        <f>IF(M41="","",IF(ISNUMBER(M41),IF(M41&lt;0,"Expired",IF(M41&lt;=30,"Due ≤30 days",IF(M41&lt;=90,"Due ≤90 days","OK"))),"Check date"))</f>
        <v/>
      </c>
      <c r="O41" s="21" t="n"/>
      <c r="P41" s="21" t="n"/>
      <c r="Q41" s="21" t="n"/>
      <c r="R41" s="21" t="n"/>
      <c r="S41" s="21" t="n"/>
    </row>
    <row r="42">
      <c r="A42" s="21" t="n"/>
      <c r="B42" s="21" t="n"/>
      <c r="C42" s="21" t="n"/>
      <c r="D42" s="21" t="n"/>
      <c r="E42" s="21" t="n"/>
      <c r="F42" s="22" t="n"/>
      <c r="G42" s="22" t="n"/>
      <c r="H42" s="21" t="n"/>
      <c r="I42" s="23" t="n"/>
      <c r="J42" s="23" t="n"/>
      <c r="K42" s="24" t="n"/>
      <c r="L42" s="25">
        <f>IF(ISNUMBER(J42),J42-IF(ISNUMBER(K42),K42,30),"")</f>
        <v/>
      </c>
      <c r="M42" s="26">
        <f>IF(J42="","",IF(ISNUMBER(J42),J42-TODAY(),"Check date"))</f>
        <v/>
      </c>
      <c r="N42" s="27">
        <f>IF(M42="","",IF(ISNUMBER(M42),IF(M42&lt;0,"Expired",IF(M42&lt;=30,"Due ≤30 days",IF(M42&lt;=90,"Due ≤90 days","OK"))),"Check date"))</f>
        <v/>
      </c>
      <c r="O42" s="21" t="n"/>
      <c r="P42" s="21" t="n"/>
      <c r="Q42" s="21" t="n"/>
      <c r="R42" s="21" t="n"/>
      <c r="S42" s="21" t="n"/>
    </row>
    <row r="43">
      <c r="A43" s="21" t="n"/>
      <c r="B43" s="21" t="n"/>
      <c r="C43" s="21" t="n"/>
      <c r="D43" s="21" t="n"/>
      <c r="E43" s="21" t="n"/>
      <c r="F43" s="22" t="n"/>
      <c r="G43" s="22" t="n"/>
      <c r="H43" s="21" t="n"/>
      <c r="I43" s="23" t="n"/>
      <c r="J43" s="23" t="n"/>
      <c r="K43" s="24" t="n"/>
      <c r="L43" s="25">
        <f>IF(ISNUMBER(J43),J43-IF(ISNUMBER(K43),K43,30),"")</f>
        <v/>
      </c>
      <c r="M43" s="26">
        <f>IF(J43="","",IF(ISNUMBER(J43),J43-TODAY(),"Check date"))</f>
        <v/>
      </c>
      <c r="N43" s="27">
        <f>IF(M43="","",IF(ISNUMBER(M43),IF(M43&lt;0,"Expired",IF(M43&lt;=30,"Due ≤30 days",IF(M43&lt;=90,"Due ≤90 days","OK"))),"Check date"))</f>
        <v/>
      </c>
      <c r="O43" s="21" t="n"/>
      <c r="P43" s="21" t="n"/>
      <c r="Q43" s="21" t="n"/>
      <c r="R43" s="21" t="n"/>
      <c r="S43" s="21" t="n"/>
    </row>
    <row r="44">
      <c r="A44" s="21" t="n"/>
      <c r="B44" s="21" t="n"/>
      <c r="C44" s="21" t="n"/>
      <c r="D44" s="21" t="n"/>
      <c r="E44" s="21" t="n"/>
      <c r="F44" s="22" t="n"/>
      <c r="G44" s="22" t="n"/>
      <c r="H44" s="21" t="n"/>
      <c r="I44" s="23" t="n"/>
      <c r="J44" s="23" t="n"/>
      <c r="K44" s="24" t="n"/>
      <c r="L44" s="25">
        <f>IF(ISNUMBER(J44),J44-IF(ISNUMBER(K44),K44,30),"")</f>
        <v/>
      </c>
      <c r="M44" s="26">
        <f>IF(J44="","",IF(ISNUMBER(J44),J44-TODAY(),"Check date"))</f>
        <v/>
      </c>
      <c r="N44" s="27">
        <f>IF(M44="","",IF(ISNUMBER(M44),IF(M44&lt;0,"Expired",IF(M44&lt;=30,"Due ≤30 days",IF(M44&lt;=90,"Due ≤90 days","OK"))),"Check date"))</f>
        <v/>
      </c>
      <c r="O44" s="21" t="n"/>
      <c r="P44" s="21" t="n"/>
      <c r="Q44" s="21" t="n"/>
      <c r="R44" s="21" t="n"/>
      <c r="S44" s="21" t="n"/>
    </row>
    <row r="45">
      <c r="A45" s="21" t="n"/>
      <c r="B45" s="21" t="n"/>
      <c r="C45" s="21" t="n"/>
      <c r="D45" s="21" t="n"/>
      <c r="E45" s="21" t="n"/>
      <c r="F45" s="22" t="n"/>
      <c r="G45" s="22" t="n"/>
      <c r="H45" s="21" t="n"/>
      <c r="I45" s="23" t="n"/>
      <c r="J45" s="23" t="n"/>
      <c r="K45" s="24" t="n"/>
      <c r="L45" s="25">
        <f>IF(ISNUMBER(J45),J45-IF(ISNUMBER(K45),K45,30),"")</f>
        <v/>
      </c>
      <c r="M45" s="26">
        <f>IF(J45="","",IF(ISNUMBER(J45),J45-TODAY(),"Check date"))</f>
        <v/>
      </c>
      <c r="N45" s="27">
        <f>IF(M45="","",IF(ISNUMBER(M45),IF(M45&lt;0,"Expired",IF(M45&lt;=30,"Due ≤30 days",IF(M45&lt;=90,"Due ≤90 days","OK"))),"Check date"))</f>
        <v/>
      </c>
      <c r="O45" s="21" t="n"/>
      <c r="P45" s="21" t="n"/>
      <c r="Q45" s="21" t="n"/>
      <c r="R45" s="21" t="n"/>
      <c r="S45" s="21" t="n"/>
    </row>
    <row r="46">
      <c r="A46" s="21" t="n"/>
      <c r="B46" s="21" t="n"/>
      <c r="C46" s="21" t="n"/>
      <c r="D46" s="21" t="n"/>
      <c r="E46" s="21" t="n"/>
      <c r="F46" s="22" t="n"/>
      <c r="G46" s="22" t="n"/>
      <c r="H46" s="21" t="n"/>
      <c r="I46" s="23" t="n"/>
      <c r="J46" s="23" t="n"/>
      <c r="K46" s="24" t="n"/>
      <c r="L46" s="25">
        <f>IF(ISNUMBER(J46),J46-IF(ISNUMBER(K46),K46,30),"")</f>
        <v/>
      </c>
      <c r="M46" s="26">
        <f>IF(J46="","",IF(ISNUMBER(J46),J46-TODAY(),"Check date"))</f>
        <v/>
      </c>
      <c r="N46" s="27">
        <f>IF(M46="","",IF(ISNUMBER(M46),IF(M46&lt;0,"Expired",IF(M46&lt;=30,"Due ≤30 days",IF(M46&lt;=90,"Due ≤90 days","OK"))),"Check date"))</f>
        <v/>
      </c>
      <c r="O46" s="21" t="n"/>
      <c r="P46" s="21" t="n"/>
      <c r="Q46" s="21" t="n"/>
      <c r="R46" s="21" t="n"/>
      <c r="S46" s="21" t="n"/>
    </row>
    <row r="47">
      <c r="A47" s="21" t="n"/>
      <c r="B47" s="21" t="n"/>
      <c r="C47" s="21" t="n"/>
      <c r="D47" s="21" t="n"/>
      <c r="E47" s="21" t="n"/>
      <c r="F47" s="22" t="n"/>
      <c r="G47" s="22" t="n"/>
      <c r="H47" s="21" t="n"/>
      <c r="I47" s="23" t="n"/>
      <c r="J47" s="23" t="n"/>
      <c r="K47" s="24" t="n"/>
      <c r="L47" s="25">
        <f>IF(ISNUMBER(J47),J47-IF(ISNUMBER(K47),K47,30),"")</f>
        <v/>
      </c>
      <c r="M47" s="26">
        <f>IF(J47="","",IF(ISNUMBER(J47),J47-TODAY(),"Check date"))</f>
        <v/>
      </c>
      <c r="N47" s="27">
        <f>IF(M47="","",IF(ISNUMBER(M47),IF(M47&lt;0,"Expired",IF(M47&lt;=30,"Due ≤30 days",IF(M47&lt;=90,"Due ≤90 days","OK"))),"Check date"))</f>
        <v/>
      </c>
      <c r="O47" s="21" t="n"/>
      <c r="P47" s="21" t="n"/>
      <c r="Q47" s="21" t="n"/>
      <c r="R47" s="21" t="n"/>
      <c r="S47" s="21" t="n"/>
    </row>
    <row r="48">
      <c r="A48" s="21" t="n"/>
      <c r="B48" s="21" t="n"/>
      <c r="C48" s="21" t="n"/>
      <c r="D48" s="21" t="n"/>
      <c r="E48" s="21" t="n"/>
      <c r="F48" s="22" t="n"/>
      <c r="G48" s="22" t="n"/>
      <c r="H48" s="21" t="n"/>
      <c r="I48" s="23" t="n"/>
      <c r="J48" s="23" t="n"/>
      <c r="K48" s="24" t="n"/>
      <c r="L48" s="25">
        <f>IF(ISNUMBER(J48),J48-IF(ISNUMBER(K48),K48,30),"")</f>
        <v/>
      </c>
      <c r="M48" s="26">
        <f>IF(J48="","",IF(ISNUMBER(J48),J48-TODAY(),"Check date"))</f>
        <v/>
      </c>
      <c r="N48" s="27">
        <f>IF(M48="","",IF(ISNUMBER(M48),IF(M48&lt;0,"Expired",IF(M48&lt;=30,"Due ≤30 days",IF(M48&lt;=90,"Due ≤90 days","OK"))),"Check date"))</f>
        <v/>
      </c>
      <c r="O48" s="21" t="n"/>
      <c r="P48" s="21" t="n"/>
      <c r="Q48" s="21" t="n"/>
      <c r="R48" s="21" t="n"/>
      <c r="S48" s="21" t="n"/>
    </row>
    <row r="49">
      <c r="A49" s="21" t="n"/>
      <c r="B49" s="21" t="n"/>
      <c r="C49" s="21" t="n"/>
      <c r="D49" s="21" t="n"/>
      <c r="E49" s="21" t="n"/>
      <c r="F49" s="22" t="n"/>
      <c r="G49" s="22" t="n"/>
      <c r="H49" s="21" t="n"/>
      <c r="I49" s="23" t="n"/>
      <c r="J49" s="23" t="n"/>
      <c r="K49" s="24" t="n"/>
      <c r="L49" s="25">
        <f>IF(ISNUMBER(J49),J49-IF(ISNUMBER(K49),K49,30),"")</f>
        <v/>
      </c>
      <c r="M49" s="26">
        <f>IF(J49="","",IF(ISNUMBER(J49),J49-TODAY(),"Check date"))</f>
        <v/>
      </c>
      <c r="N49" s="27">
        <f>IF(M49="","",IF(ISNUMBER(M49),IF(M49&lt;0,"Expired",IF(M49&lt;=30,"Due ≤30 days",IF(M49&lt;=90,"Due ≤90 days","OK"))),"Check date"))</f>
        <v/>
      </c>
      <c r="O49" s="21" t="n"/>
      <c r="P49" s="21" t="n"/>
      <c r="Q49" s="21" t="n"/>
      <c r="R49" s="21" t="n"/>
      <c r="S49" s="21" t="n"/>
    </row>
    <row r="50">
      <c r="A50" s="21" t="n"/>
      <c r="B50" s="21" t="n"/>
      <c r="C50" s="21" t="n"/>
      <c r="D50" s="21" t="n"/>
      <c r="E50" s="21" t="n"/>
      <c r="F50" s="22" t="n"/>
      <c r="G50" s="22" t="n"/>
      <c r="H50" s="21" t="n"/>
      <c r="I50" s="23" t="n"/>
      <c r="J50" s="23" t="n"/>
      <c r="K50" s="24" t="n"/>
      <c r="L50" s="25">
        <f>IF(ISNUMBER(J50),J50-IF(ISNUMBER(K50),K50,30),"")</f>
        <v/>
      </c>
      <c r="M50" s="26">
        <f>IF(J50="","",IF(ISNUMBER(J50),J50-TODAY(),"Check date"))</f>
        <v/>
      </c>
      <c r="N50" s="27">
        <f>IF(M50="","",IF(ISNUMBER(M50),IF(M50&lt;0,"Expired",IF(M50&lt;=30,"Due ≤30 days",IF(M50&lt;=90,"Due ≤90 days","OK"))),"Check date"))</f>
        <v/>
      </c>
      <c r="O50" s="21" t="n"/>
      <c r="P50" s="21" t="n"/>
      <c r="Q50" s="21" t="n"/>
      <c r="R50" s="21" t="n"/>
      <c r="S50" s="21" t="n"/>
    </row>
    <row r="51">
      <c r="A51" s="21" t="n"/>
      <c r="B51" s="21" t="n"/>
      <c r="C51" s="21" t="n"/>
      <c r="D51" s="21" t="n"/>
      <c r="E51" s="21" t="n"/>
      <c r="F51" s="22" t="n"/>
      <c r="G51" s="22" t="n"/>
      <c r="H51" s="21" t="n"/>
      <c r="I51" s="23" t="n"/>
      <c r="J51" s="23" t="n"/>
      <c r="K51" s="24" t="n"/>
      <c r="L51" s="25">
        <f>IF(ISNUMBER(J51),J51-IF(ISNUMBER(K51),K51,30),"")</f>
        <v/>
      </c>
      <c r="M51" s="26">
        <f>IF(J51="","",IF(ISNUMBER(J51),J51-TODAY(),"Check date"))</f>
        <v/>
      </c>
      <c r="N51" s="27">
        <f>IF(M51="","",IF(ISNUMBER(M51),IF(M51&lt;0,"Expired",IF(M51&lt;=30,"Due ≤30 days",IF(M51&lt;=90,"Due ≤90 days","OK"))),"Check date"))</f>
        <v/>
      </c>
      <c r="O51" s="21" t="n"/>
      <c r="P51" s="21" t="n"/>
      <c r="Q51" s="21" t="n"/>
      <c r="R51" s="21" t="n"/>
      <c r="S51" s="21" t="n"/>
    </row>
    <row r="52">
      <c r="A52" s="21" t="n"/>
      <c r="B52" s="21" t="n"/>
      <c r="C52" s="21" t="n"/>
      <c r="D52" s="21" t="n"/>
      <c r="E52" s="21" t="n"/>
      <c r="F52" s="22" t="n"/>
      <c r="G52" s="22" t="n"/>
      <c r="H52" s="21" t="n"/>
      <c r="I52" s="23" t="n"/>
      <c r="J52" s="23" t="n"/>
      <c r="K52" s="24" t="n"/>
      <c r="L52" s="25">
        <f>IF(ISNUMBER(J52),J52-IF(ISNUMBER(K52),K52,30),"")</f>
        <v/>
      </c>
      <c r="M52" s="26">
        <f>IF(J52="","",IF(ISNUMBER(J52),J52-TODAY(),"Check date"))</f>
        <v/>
      </c>
      <c r="N52" s="27">
        <f>IF(M52="","",IF(ISNUMBER(M52),IF(M52&lt;0,"Expired",IF(M52&lt;=30,"Due ≤30 days",IF(M52&lt;=90,"Due ≤90 days","OK"))),"Check date"))</f>
        <v/>
      </c>
      <c r="O52" s="21" t="n"/>
      <c r="P52" s="21" t="n"/>
      <c r="Q52" s="21" t="n"/>
      <c r="R52" s="21" t="n"/>
      <c r="S52" s="21" t="n"/>
    </row>
    <row r="53">
      <c r="A53" s="21" t="n"/>
      <c r="B53" s="21" t="n"/>
      <c r="C53" s="21" t="n"/>
      <c r="D53" s="21" t="n"/>
      <c r="E53" s="21" t="n"/>
      <c r="F53" s="22" t="n"/>
      <c r="G53" s="22" t="n"/>
      <c r="H53" s="21" t="n"/>
      <c r="I53" s="23" t="n"/>
      <c r="J53" s="23" t="n"/>
      <c r="K53" s="24" t="n"/>
      <c r="L53" s="25">
        <f>IF(ISNUMBER(J53),J53-IF(ISNUMBER(K53),K53,30),"")</f>
        <v/>
      </c>
      <c r="M53" s="26">
        <f>IF(J53="","",IF(ISNUMBER(J53),J53-TODAY(),"Check date"))</f>
        <v/>
      </c>
      <c r="N53" s="27">
        <f>IF(M53="","",IF(ISNUMBER(M53),IF(M53&lt;0,"Expired",IF(M53&lt;=30,"Due ≤30 days",IF(M53&lt;=90,"Due ≤90 days","OK"))),"Check date"))</f>
        <v/>
      </c>
      <c r="O53" s="21" t="n"/>
      <c r="P53" s="21" t="n"/>
      <c r="Q53" s="21" t="n"/>
      <c r="R53" s="21" t="n"/>
      <c r="S53" s="21" t="n"/>
    </row>
    <row r="54">
      <c r="A54" s="21" t="n"/>
      <c r="B54" s="21" t="n"/>
      <c r="C54" s="21" t="n"/>
      <c r="D54" s="21" t="n"/>
      <c r="E54" s="21" t="n"/>
      <c r="F54" s="22" t="n"/>
      <c r="G54" s="22" t="n"/>
      <c r="H54" s="21" t="n"/>
      <c r="I54" s="23" t="n"/>
      <c r="J54" s="23" t="n"/>
      <c r="K54" s="24" t="n"/>
      <c r="L54" s="25">
        <f>IF(ISNUMBER(J54),J54-IF(ISNUMBER(K54),K54,30),"")</f>
        <v/>
      </c>
      <c r="M54" s="26">
        <f>IF(J54="","",IF(ISNUMBER(J54),J54-TODAY(),"Check date"))</f>
        <v/>
      </c>
      <c r="N54" s="27">
        <f>IF(M54="","",IF(ISNUMBER(M54),IF(M54&lt;0,"Expired",IF(M54&lt;=30,"Due ≤30 days",IF(M54&lt;=90,"Due ≤90 days","OK"))),"Check date"))</f>
        <v/>
      </c>
      <c r="O54" s="21" t="n"/>
      <c r="P54" s="21" t="n"/>
      <c r="Q54" s="21" t="n"/>
      <c r="R54" s="21" t="n"/>
      <c r="S54" s="21" t="n"/>
    </row>
    <row r="55">
      <c r="A55" s="21" t="n"/>
      <c r="B55" s="21" t="n"/>
      <c r="C55" s="21" t="n"/>
      <c r="D55" s="21" t="n"/>
      <c r="E55" s="21" t="n"/>
      <c r="F55" s="22" t="n"/>
      <c r="G55" s="22" t="n"/>
      <c r="H55" s="21" t="n"/>
      <c r="I55" s="23" t="n"/>
      <c r="J55" s="23" t="n"/>
      <c r="K55" s="24" t="n"/>
      <c r="L55" s="25">
        <f>IF(ISNUMBER(J55),J55-IF(ISNUMBER(K55),K55,30),"")</f>
        <v/>
      </c>
      <c r="M55" s="26">
        <f>IF(J55="","",IF(ISNUMBER(J55),J55-TODAY(),"Check date"))</f>
        <v/>
      </c>
      <c r="N55" s="27">
        <f>IF(M55="","",IF(ISNUMBER(M55),IF(M55&lt;0,"Expired",IF(M55&lt;=30,"Due ≤30 days",IF(M55&lt;=90,"Due ≤90 days","OK"))),"Check date"))</f>
        <v/>
      </c>
      <c r="O55" s="21" t="n"/>
      <c r="P55" s="21" t="n"/>
      <c r="Q55" s="21" t="n"/>
      <c r="R55" s="21" t="n"/>
      <c r="S55" s="21" t="n"/>
    </row>
    <row r="56">
      <c r="A56" s="21" t="n"/>
      <c r="B56" s="21" t="n"/>
      <c r="C56" s="21" t="n"/>
      <c r="D56" s="21" t="n"/>
      <c r="E56" s="21" t="n"/>
      <c r="F56" s="22" t="n"/>
      <c r="G56" s="22" t="n"/>
      <c r="H56" s="21" t="n"/>
      <c r="I56" s="23" t="n"/>
      <c r="J56" s="23" t="n"/>
      <c r="K56" s="24" t="n"/>
      <c r="L56" s="25">
        <f>IF(ISNUMBER(J56),J56-IF(ISNUMBER(K56),K56,30),"")</f>
        <v/>
      </c>
      <c r="M56" s="26">
        <f>IF(J56="","",IF(ISNUMBER(J56),J56-TODAY(),"Check date"))</f>
        <v/>
      </c>
      <c r="N56" s="27">
        <f>IF(M56="","",IF(ISNUMBER(M56),IF(M56&lt;0,"Expired",IF(M56&lt;=30,"Due ≤30 days",IF(M56&lt;=90,"Due ≤90 days","OK"))),"Check date"))</f>
        <v/>
      </c>
      <c r="O56" s="21" t="n"/>
      <c r="P56" s="21" t="n"/>
      <c r="Q56" s="21" t="n"/>
      <c r="R56" s="21" t="n"/>
      <c r="S56" s="21" t="n"/>
    </row>
    <row r="57">
      <c r="A57" s="21" t="n"/>
      <c r="B57" s="21" t="n"/>
      <c r="C57" s="21" t="n"/>
      <c r="D57" s="21" t="n"/>
      <c r="E57" s="21" t="n"/>
      <c r="F57" s="22" t="n"/>
      <c r="G57" s="22" t="n"/>
      <c r="H57" s="21" t="n"/>
      <c r="I57" s="23" t="n"/>
      <c r="J57" s="23" t="n"/>
      <c r="K57" s="24" t="n"/>
      <c r="L57" s="25">
        <f>IF(ISNUMBER(J57),J57-IF(ISNUMBER(K57),K57,30),"")</f>
        <v/>
      </c>
      <c r="M57" s="26">
        <f>IF(J57="","",IF(ISNUMBER(J57),J57-TODAY(),"Check date"))</f>
        <v/>
      </c>
      <c r="N57" s="27">
        <f>IF(M57="","",IF(ISNUMBER(M57),IF(M57&lt;0,"Expired",IF(M57&lt;=30,"Due ≤30 days",IF(M57&lt;=90,"Due ≤90 days","OK"))),"Check date"))</f>
        <v/>
      </c>
      <c r="O57" s="21" t="n"/>
      <c r="P57" s="21" t="n"/>
      <c r="Q57" s="21" t="n"/>
      <c r="R57" s="21" t="n"/>
      <c r="S57" s="21" t="n"/>
    </row>
    <row r="58">
      <c r="A58" s="21" t="n"/>
      <c r="B58" s="21" t="n"/>
      <c r="C58" s="21" t="n"/>
      <c r="D58" s="21" t="n"/>
      <c r="E58" s="21" t="n"/>
      <c r="F58" s="22" t="n"/>
      <c r="G58" s="22" t="n"/>
      <c r="H58" s="21" t="n"/>
      <c r="I58" s="23" t="n"/>
      <c r="J58" s="23" t="n"/>
      <c r="K58" s="24" t="n"/>
      <c r="L58" s="25">
        <f>IF(ISNUMBER(J58),J58-IF(ISNUMBER(K58),K58,30),"")</f>
        <v/>
      </c>
      <c r="M58" s="26">
        <f>IF(J58="","",IF(ISNUMBER(J58),J58-TODAY(),"Check date"))</f>
        <v/>
      </c>
      <c r="N58" s="27">
        <f>IF(M58="","",IF(ISNUMBER(M58),IF(M58&lt;0,"Expired",IF(M58&lt;=30,"Due ≤30 days",IF(M58&lt;=90,"Due ≤90 days","OK"))),"Check date"))</f>
        <v/>
      </c>
      <c r="O58" s="21" t="n"/>
      <c r="P58" s="21" t="n"/>
      <c r="Q58" s="21" t="n"/>
      <c r="R58" s="21" t="n"/>
      <c r="S58" s="21" t="n"/>
    </row>
    <row r="59">
      <c r="A59" s="21" t="n"/>
      <c r="B59" s="21" t="n"/>
      <c r="C59" s="21" t="n"/>
      <c r="D59" s="21" t="n"/>
      <c r="E59" s="21" t="n"/>
      <c r="F59" s="22" t="n"/>
      <c r="G59" s="22" t="n"/>
      <c r="H59" s="21" t="n"/>
      <c r="I59" s="23" t="n"/>
      <c r="J59" s="23" t="n"/>
      <c r="K59" s="24" t="n"/>
      <c r="L59" s="25">
        <f>IF(ISNUMBER(J59),J59-IF(ISNUMBER(K59),K59,30),"")</f>
        <v/>
      </c>
      <c r="M59" s="26">
        <f>IF(J59="","",IF(ISNUMBER(J59),J59-TODAY(),"Check date"))</f>
        <v/>
      </c>
      <c r="N59" s="27">
        <f>IF(M59="","",IF(ISNUMBER(M59),IF(M59&lt;0,"Expired",IF(M59&lt;=30,"Due ≤30 days",IF(M59&lt;=90,"Due ≤90 days","OK"))),"Check date"))</f>
        <v/>
      </c>
      <c r="O59" s="21" t="n"/>
      <c r="P59" s="21" t="n"/>
      <c r="Q59" s="21" t="n"/>
      <c r="R59" s="21" t="n"/>
      <c r="S59" s="21" t="n"/>
    </row>
    <row r="60">
      <c r="A60" s="21" t="n"/>
      <c r="B60" s="21" t="n"/>
      <c r="C60" s="21" t="n"/>
      <c r="D60" s="21" t="n"/>
      <c r="E60" s="21" t="n"/>
      <c r="F60" s="22" t="n"/>
      <c r="G60" s="22" t="n"/>
      <c r="H60" s="21" t="n"/>
      <c r="I60" s="23" t="n"/>
      <c r="J60" s="23" t="n"/>
      <c r="K60" s="24" t="n"/>
      <c r="L60" s="25">
        <f>IF(ISNUMBER(J60),J60-IF(ISNUMBER(K60),K60,30),"")</f>
        <v/>
      </c>
      <c r="M60" s="26">
        <f>IF(J60="","",IF(ISNUMBER(J60),J60-TODAY(),"Check date"))</f>
        <v/>
      </c>
      <c r="N60" s="27">
        <f>IF(M60="","",IF(ISNUMBER(M60),IF(M60&lt;0,"Expired",IF(M60&lt;=30,"Due ≤30 days",IF(M60&lt;=90,"Due ≤90 days","OK"))),"Check date"))</f>
        <v/>
      </c>
      <c r="O60" s="21" t="n"/>
      <c r="P60" s="21" t="n"/>
      <c r="Q60" s="21" t="n"/>
      <c r="R60" s="21" t="n"/>
      <c r="S60" s="21" t="n"/>
    </row>
    <row r="61">
      <c r="A61" s="21" t="n"/>
      <c r="B61" s="21" t="n"/>
      <c r="C61" s="21" t="n"/>
      <c r="D61" s="21" t="n"/>
      <c r="E61" s="21" t="n"/>
      <c r="F61" s="22" t="n"/>
      <c r="G61" s="22" t="n"/>
      <c r="H61" s="21" t="n"/>
      <c r="I61" s="23" t="n"/>
      <c r="J61" s="23" t="n"/>
      <c r="K61" s="24" t="n"/>
      <c r="L61" s="25">
        <f>IF(ISNUMBER(J61),J61-IF(ISNUMBER(K61),K61,30),"")</f>
        <v/>
      </c>
      <c r="M61" s="26">
        <f>IF(J61="","",IF(ISNUMBER(J61),J61-TODAY(),"Check date"))</f>
        <v/>
      </c>
      <c r="N61" s="27">
        <f>IF(M61="","",IF(ISNUMBER(M61),IF(M61&lt;0,"Expired",IF(M61&lt;=30,"Due ≤30 days",IF(M61&lt;=90,"Due ≤90 days","OK"))),"Check date"))</f>
        <v/>
      </c>
      <c r="O61" s="21" t="n"/>
      <c r="P61" s="21" t="n"/>
      <c r="Q61" s="21" t="n"/>
      <c r="R61" s="21" t="n"/>
      <c r="S61" s="21" t="n"/>
    </row>
    <row r="62">
      <c r="A62" s="21" t="n"/>
      <c r="B62" s="21" t="n"/>
      <c r="C62" s="21" t="n"/>
      <c r="D62" s="21" t="n"/>
      <c r="E62" s="21" t="n"/>
      <c r="F62" s="22" t="n"/>
      <c r="G62" s="22" t="n"/>
      <c r="H62" s="21" t="n"/>
      <c r="I62" s="23" t="n"/>
      <c r="J62" s="23" t="n"/>
      <c r="K62" s="24" t="n"/>
      <c r="L62" s="25">
        <f>IF(ISNUMBER(J62),J62-IF(ISNUMBER(K62),K62,30),"")</f>
        <v/>
      </c>
      <c r="M62" s="26">
        <f>IF(J62="","",IF(ISNUMBER(J62),J62-TODAY(),"Check date"))</f>
        <v/>
      </c>
      <c r="N62" s="27">
        <f>IF(M62="","",IF(ISNUMBER(M62),IF(M62&lt;0,"Expired",IF(M62&lt;=30,"Due ≤30 days",IF(M62&lt;=90,"Due ≤90 days","OK"))),"Check date"))</f>
        <v/>
      </c>
      <c r="O62" s="21" t="n"/>
      <c r="P62" s="21" t="n"/>
      <c r="Q62" s="21" t="n"/>
      <c r="R62" s="21" t="n"/>
      <c r="S62" s="21" t="n"/>
    </row>
    <row r="63">
      <c r="A63" s="21" t="n"/>
      <c r="B63" s="21" t="n"/>
      <c r="C63" s="21" t="n"/>
      <c r="D63" s="21" t="n"/>
      <c r="E63" s="21" t="n"/>
      <c r="F63" s="22" t="n"/>
      <c r="G63" s="22" t="n"/>
      <c r="H63" s="21" t="n"/>
      <c r="I63" s="23" t="n"/>
      <c r="J63" s="23" t="n"/>
      <c r="K63" s="24" t="n"/>
      <c r="L63" s="25">
        <f>IF(ISNUMBER(J63),J63-IF(ISNUMBER(K63),K63,30),"")</f>
        <v/>
      </c>
      <c r="M63" s="26">
        <f>IF(J63="","",IF(ISNUMBER(J63),J63-TODAY(),"Check date"))</f>
        <v/>
      </c>
      <c r="N63" s="27">
        <f>IF(M63="","",IF(ISNUMBER(M63),IF(M63&lt;0,"Expired",IF(M63&lt;=30,"Due ≤30 days",IF(M63&lt;=90,"Due ≤90 days","OK"))),"Check date"))</f>
        <v/>
      </c>
      <c r="O63" s="21" t="n"/>
      <c r="P63" s="21" t="n"/>
      <c r="Q63" s="21" t="n"/>
      <c r="R63" s="21" t="n"/>
      <c r="S63" s="21" t="n"/>
    </row>
    <row r="64">
      <c r="A64" s="21" t="n"/>
      <c r="B64" s="21" t="n"/>
      <c r="C64" s="21" t="n"/>
      <c r="D64" s="21" t="n"/>
      <c r="E64" s="21" t="n"/>
      <c r="F64" s="22" t="n"/>
      <c r="G64" s="22" t="n"/>
      <c r="H64" s="21" t="n"/>
      <c r="I64" s="23" t="n"/>
      <c r="J64" s="23" t="n"/>
      <c r="K64" s="24" t="n"/>
      <c r="L64" s="25">
        <f>IF(ISNUMBER(J64),J64-IF(ISNUMBER(K64),K64,30),"")</f>
        <v/>
      </c>
      <c r="M64" s="26">
        <f>IF(J64="","",IF(ISNUMBER(J64),J64-TODAY(),"Check date"))</f>
        <v/>
      </c>
      <c r="N64" s="27">
        <f>IF(M64="","",IF(ISNUMBER(M64),IF(M64&lt;0,"Expired",IF(M64&lt;=30,"Due ≤30 days",IF(M64&lt;=90,"Due ≤90 days","OK"))),"Check date"))</f>
        <v/>
      </c>
      <c r="O64" s="21" t="n"/>
      <c r="P64" s="21" t="n"/>
      <c r="Q64" s="21" t="n"/>
      <c r="R64" s="21" t="n"/>
      <c r="S64" s="21" t="n"/>
    </row>
    <row r="65">
      <c r="A65" s="21" t="n"/>
      <c r="B65" s="21" t="n"/>
      <c r="C65" s="21" t="n"/>
      <c r="D65" s="21" t="n"/>
      <c r="E65" s="21" t="n"/>
      <c r="F65" s="22" t="n"/>
      <c r="G65" s="22" t="n"/>
      <c r="H65" s="21" t="n"/>
      <c r="I65" s="23" t="n"/>
      <c r="J65" s="23" t="n"/>
      <c r="K65" s="24" t="n"/>
      <c r="L65" s="25">
        <f>IF(ISNUMBER(J65),J65-IF(ISNUMBER(K65),K65,30),"")</f>
        <v/>
      </c>
      <c r="M65" s="26">
        <f>IF(J65="","",IF(ISNUMBER(J65),J65-TODAY(),"Check date"))</f>
        <v/>
      </c>
      <c r="N65" s="27">
        <f>IF(M65="","",IF(ISNUMBER(M65),IF(M65&lt;0,"Expired",IF(M65&lt;=30,"Due ≤30 days",IF(M65&lt;=90,"Due ≤90 days","OK"))),"Check date"))</f>
        <v/>
      </c>
      <c r="O65" s="21" t="n"/>
      <c r="P65" s="21" t="n"/>
      <c r="Q65" s="21" t="n"/>
      <c r="R65" s="21" t="n"/>
      <c r="S65" s="21" t="n"/>
    </row>
    <row r="66">
      <c r="A66" s="21" t="n"/>
      <c r="B66" s="21" t="n"/>
      <c r="C66" s="21" t="n"/>
      <c r="D66" s="21" t="n"/>
      <c r="E66" s="21" t="n"/>
      <c r="F66" s="22" t="n"/>
      <c r="G66" s="22" t="n"/>
      <c r="H66" s="21" t="n"/>
      <c r="I66" s="23" t="n"/>
      <c r="J66" s="23" t="n"/>
      <c r="K66" s="24" t="n"/>
      <c r="L66" s="25">
        <f>IF(ISNUMBER(J66),J66-IF(ISNUMBER(K66),K66,30),"")</f>
        <v/>
      </c>
      <c r="M66" s="26">
        <f>IF(J66="","",IF(ISNUMBER(J66),J66-TODAY(),"Check date"))</f>
        <v/>
      </c>
      <c r="N66" s="27">
        <f>IF(M66="","",IF(ISNUMBER(M66),IF(M66&lt;0,"Expired",IF(M66&lt;=30,"Due ≤30 days",IF(M66&lt;=90,"Due ≤90 days","OK"))),"Check date"))</f>
        <v/>
      </c>
      <c r="O66" s="21" t="n"/>
      <c r="P66" s="21" t="n"/>
      <c r="Q66" s="21" t="n"/>
      <c r="R66" s="21" t="n"/>
      <c r="S66" s="21" t="n"/>
    </row>
    <row r="67">
      <c r="A67" s="21" t="n"/>
      <c r="B67" s="21" t="n"/>
      <c r="C67" s="21" t="n"/>
      <c r="D67" s="21" t="n"/>
      <c r="E67" s="21" t="n"/>
      <c r="F67" s="22" t="n"/>
      <c r="G67" s="22" t="n"/>
      <c r="H67" s="21" t="n"/>
      <c r="I67" s="23" t="n"/>
      <c r="J67" s="23" t="n"/>
      <c r="K67" s="24" t="n"/>
      <c r="L67" s="25">
        <f>IF(ISNUMBER(J67),J67-IF(ISNUMBER(K67),K67,30),"")</f>
        <v/>
      </c>
      <c r="M67" s="26">
        <f>IF(J67="","",IF(ISNUMBER(J67),J67-TODAY(),"Check date"))</f>
        <v/>
      </c>
      <c r="N67" s="27">
        <f>IF(M67="","",IF(ISNUMBER(M67),IF(M67&lt;0,"Expired",IF(M67&lt;=30,"Due ≤30 days",IF(M67&lt;=90,"Due ≤90 days","OK"))),"Check date"))</f>
        <v/>
      </c>
      <c r="O67" s="21" t="n"/>
      <c r="P67" s="21" t="n"/>
      <c r="Q67" s="21" t="n"/>
      <c r="R67" s="21" t="n"/>
      <c r="S67" s="21" t="n"/>
    </row>
    <row r="68">
      <c r="A68" s="21" t="n"/>
      <c r="B68" s="21" t="n"/>
      <c r="C68" s="21" t="n"/>
      <c r="D68" s="21" t="n"/>
      <c r="E68" s="21" t="n"/>
      <c r="F68" s="22" t="n"/>
      <c r="G68" s="22" t="n"/>
      <c r="H68" s="21" t="n"/>
      <c r="I68" s="23" t="n"/>
      <c r="J68" s="23" t="n"/>
      <c r="K68" s="24" t="n"/>
      <c r="L68" s="25">
        <f>IF(ISNUMBER(J68),J68-IF(ISNUMBER(K68),K68,30),"")</f>
        <v/>
      </c>
      <c r="M68" s="26">
        <f>IF(J68="","",IF(ISNUMBER(J68),J68-TODAY(),"Check date"))</f>
        <v/>
      </c>
      <c r="N68" s="27">
        <f>IF(M68="","",IF(ISNUMBER(M68),IF(M68&lt;0,"Expired",IF(M68&lt;=30,"Due ≤30 days",IF(M68&lt;=90,"Due ≤90 days","OK"))),"Check date"))</f>
        <v/>
      </c>
      <c r="O68" s="21" t="n"/>
      <c r="P68" s="21" t="n"/>
      <c r="Q68" s="21" t="n"/>
      <c r="R68" s="21" t="n"/>
      <c r="S68" s="21" t="n"/>
    </row>
    <row r="69">
      <c r="A69" s="21" t="n"/>
      <c r="B69" s="21" t="n"/>
      <c r="C69" s="21" t="n"/>
      <c r="D69" s="21" t="n"/>
      <c r="E69" s="21" t="n"/>
      <c r="F69" s="22" t="n"/>
      <c r="G69" s="22" t="n"/>
      <c r="H69" s="21" t="n"/>
      <c r="I69" s="23" t="n"/>
      <c r="J69" s="23" t="n"/>
      <c r="K69" s="24" t="n"/>
      <c r="L69" s="25">
        <f>IF(ISNUMBER(J69),J69-IF(ISNUMBER(K69),K69,30),"")</f>
        <v/>
      </c>
      <c r="M69" s="26">
        <f>IF(J69="","",IF(ISNUMBER(J69),J69-TODAY(),"Check date"))</f>
        <v/>
      </c>
      <c r="N69" s="27">
        <f>IF(M69="","",IF(ISNUMBER(M69),IF(M69&lt;0,"Expired",IF(M69&lt;=30,"Due ≤30 days",IF(M69&lt;=90,"Due ≤90 days","OK"))),"Check date"))</f>
        <v/>
      </c>
      <c r="O69" s="21" t="n"/>
      <c r="P69" s="21" t="n"/>
      <c r="Q69" s="21" t="n"/>
      <c r="R69" s="21" t="n"/>
      <c r="S69" s="21" t="n"/>
    </row>
    <row r="70">
      <c r="A70" s="21" t="n"/>
      <c r="B70" s="21" t="n"/>
      <c r="C70" s="21" t="n"/>
      <c r="D70" s="21" t="n"/>
      <c r="E70" s="21" t="n"/>
      <c r="F70" s="22" t="n"/>
      <c r="G70" s="22" t="n"/>
      <c r="H70" s="21" t="n"/>
      <c r="I70" s="23" t="n"/>
      <c r="J70" s="23" t="n"/>
      <c r="K70" s="24" t="n"/>
      <c r="L70" s="25">
        <f>IF(ISNUMBER(J70),J70-IF(ISNUMBER(K70),K70,30),"")</f>
        <v/>
      </c>
      <c r="M70" s="26">
        <f>IF(J70="","",IF(ISNUMBER(J70),J70-TODAY(),"Check date"))</f>
        <v/>
      </c>
      <c r="N70" s="27">
        <f>IF(M70="","",IF(ISNUMBER(M70),IF(M70&lt;0,"Expired",IF(M70&lt;=30,"Due ≤30 days",IF(M70&lt;=90,"Due ≤90 days","OK"))),"Check date"))</f>
        <v/>
      </c>
      <c r="O70" s="21" t="n"/>
      <c r="P70" s="21" t="n"/>
      <c r="Q70" s="21" t="n"/>
      <c r="R70" s="21" t="n"/>
      <c r="S70" s="21" t="n"/>
    </row>
    <row r="71">
      <c r="A71" s="21" t="n"/>
      <c r="B71" s="21" t="n"/>
      <c r="C71" s="21" t="n"/>
      <c r="D71" s="21" t="n"/>
      <c r="E71" s="21" t="n"/>
      <c r="F71" s="22" t="n"/>
      <c r="G71" s="22" t="n"/>
      <c r="H71" s="21" t="n"/>
      <c r="I71" s="23" t="n"/>
      <c r="J71" s="23" t="n"/>
      <c r="K71" s="24" t="n"/>
      <c r="L71" s="25">
        <f>IF(ISNUMBER(J71),J71-IF(ISNUMBER(K71),K71,30),"")</f>
        <v/>
      </c>
      <c r="M71" s="26">
        <f>IF(J71="","",IF(ISNUMBER(J71),J71-TODAY(),"Check date"))</f>
        <v/>
      </c>
      <c r="N71" s="27">
        <f>IF(M71="","",IF(ISNUMBER(M71),IF(M71&lt;0,"Expired",IF(M71&lt;=30,"Due ≤30 days",IF(M71&lt;=90,"Due ≤90 days","OK"))),"Check date"))</f>
        <v/>
      </c>
      <c r="O71" s="21" t="n"/>
      <c r="P71" s="21" t="n"/>
      <c r="Q71" s="21" t="n"/>
      <c r="R71" s="21" t="n"/>
      <c r="S71" s="21" t="n"/>
    </row>
    <row r="72">
      <c r="A72" s="21" t="n"/>
      <c r="B72" s="21" t="n"/>
      <c r="C72" s="21" t="n"/>
      <c r="D72" s="21" t="n"/>
      <c r="E72" s="21" t="n"/>
      <c r="F72" s="22" t="n"/>
      <c r="G72" s="22" t="n"/>
      <c r="H72" s="21" t="n"/>
      <c r="I72" s="23" t="n"/>
      <c r="J72" s="23" t="n"/>
      <c r="K72" s="24" t="n"/>
      <c r="L72" s="25">
        <f>IF(ISNUMBER(J72),J72-IF(ISNUMBER(K72),K72,30),"")</f>
        <v/>
      </c>
      <c r="M72" s="26">
        <f>IF(J72="","",IF(ISNUMBER(J72),J72-TODAY(),"Check date"))</f>
        <v/>
      </c>
      <c r="N72" s="27">
        <f>IF(M72="","",IF(ISNUMBER(M72),IF(M72&lt;0,"Expired",IF(M72&lt;=30,"Due ≤30 days",IF(M72&lt;=90,"Due ≤90 days","OK"))),"Check date"))</f>
        <v/>
      </c>
      <c r="O72" s="21" t="n"/>
      <c r="P72" s="21" t="n"/>
      <c r="Q72" s="21" t="n"/>
      <c r="R72" s="21" t="n"/>
      <c r="S72" s="21" t="n"/>
    </row>
    <row r="73">
      <c r="A73" s="21" t="n"/>
      <c r="B73" s="21" t="n"/>
      <c r="C73" s="21" t="n"/>
      <c r="D73" s="21" t="n"/>
      <c r="E73" s="21" t="n"/>
      <c r="F73" s="22" t="n"/>
      <c r="G73" s="22" t="n"/>
      <c r="H73" s="21" t="n"/>
      <c r="I73" s="23" t="n"/>
      <c r="J73" s="23" t="n"/>
      <c r="K73" s="24" t="n"/>
      <c r="L73" s="25">
        <f>IF(ISNUMBER(J73),J73-IF(ISNUMBER(K73),K73,30),"")</f>
        <v/>
      </c>
      <c r="M73" s="26">
        <f>IF(J73="","",IF(ISNUMBER(J73),J73-TODAY(),"Check date"))</f>
        <v/>
      </c>
      <c r="N73" s="27">
        <f>IF(M73="","",IF(ISNUMBER(M73),IF(M73&lt;0,"Expired",IF(M73&lt;=30,"Due ≤30 days",IF(M73&lt;=90,"Due ≤90 days","OK"))),"Check date"))</f>
        <v/>
      </c>
      <c r="O73" s="21" t="n"/>
      <c r="P73" s="21" t="n"/>
      <c r="Q73" s="21" t="n"/>
      <c r="R73" s="21" t="n"/>
      <c r="S73" s="21" t="n"/>
    </row>
    <row r="74">
      <c r="A74" s="21" t="n"/>
      <c r="B74" s="21" t="n"/>
      <c r="C74" s="21" t="n"/>
      <c r="D74" s="21" t="n"/>
      <c r="E74" s="21" t="n"/>
      <c r="F74" s="22" t="n"/>
      <c r="G74" s="22" t="n"/>
      <c r="H74" s="21" t="n"/>
      <c r="I74" s="23" t="n"/>
      <c r="J74" s="23" t="n"/>
      <c r="K74" s="24" t="n"/>
      <c r="L74" s="25">
        <f>IF(ISNUMBER(J74),J74-IF(ISNUMBER(K74),K74,30),"")</f>
        <v/>
      </c>
      <c r="M74" s="26">
        <f>IF(J74="","",IF(ISNUMBER(J74),J74-TODAY(),"Check date"))</f>
        <v/>
      </c>
      <c r="N74" s="27">
        <f>IF(M74="","",IF(ISNUMBER(M74),IF(M74&lt;0,"Expired",IF(M74&lt;=30,"Due ≤30 days",IF(M74&lt;=90,"Due ≤90 days","OK"))),"Check date"))</f>
        <v/>
      </c>
      <c r="O74" s="21" t="n"/>
      <c r="P74" s="21" t="n"/>
      <c r="Q74" s="21" t="n"/>
      <c r="R74" s="21" t="n"/>
      <c r="S74" s="21" t="n"/>
    </row>
    <row r="75">
      <c r="A75" s="21" t="n"/>
      <c r="B75" s="21" t="n"/>
      <c r="C75" s="21" t="n"/>
      <c r="D75" s="21" t="n"/>
      <c r="E75" s="21" t="n"/>
      <c r="F75" s="22" t="n"/>
      <c r="G75" s="22" t="n"/>
      <c r="H75" s="21" t="n"/>
      <c r="I75" s="23" t="n"/>
      <c r="J75" s="23" t="n"/>
      <c r="K75" s="24" t="n"/>
      <c r="L75" s="25">
        <f>IF(ISNUMBER(J75),J75-IF(ISNUMBER(K75),K75,30),"")</f>
        <v/>
      </c>
      <c r="M75" s="26">
        <f>IF(J75="","",IF(ISNUMBER(J75),J75-TODAY(),"Check date"))</f>
        <v/>
      </c>
      <c r="N75" s="27">
        <f>IF(M75="","",IF(ISNUMBER(M75),IF(M75&lt;0,"Expired",IF(M75&lt;=30,"Due ≤30 days",IF(M75&lt;=90,"Due ≤90 days","OK"))),"Check date"))</f>
        <v/>
      </c>
      <c r="O75" s="21" t="n"/>
      <c r="P75" s="21" t="n"/>
      <c r="Q75" s="21" t="n"/>
      <c r="R75" s="21" t="n"/>
      <c r="S75" s="21" t="n"/>
    </row>
    <row r="76">
      <c r="A76" s="21" t="n"/>
      <c r="B76" s="21" t="n"/>
      <c r="C76" s="21" t="n"/>
      <c r="D76" s="21" t="n"/>
      <c r="E76" s="21" t="n"/>
      <c r="F76" s="22" t="n"/>
      <c r="G76" s="22" t="n"/>
      <c r="H76" s="21" t="n"/>
      <c r="I76" s="23" t="n"/>
      <c r="J76" s="23" t="n"/>
      <c r="K76" s="24" t="n"/>
      <c r="L76" s="25">
        <f>IF(ISNUMBER(J76),J76-IF(ISNUMBER(K76),K76,30),"")</f>
        <v/>
      </c>
      <c r="M76" s="26">
        <f>IF(J76="","",IF(ISNUMBER(J76),J76-TODAY(),"Check date"))</f>
        <v/>
      </c>
      <c r="N76" s="27">
        <f>IF(M76="","",IF(ISNUMBER(M76),IF(M76&lt;0,"Expired",IF(M76&lt;=30,"Due ≤30 days",IF(M76&lt;=90,"Due ≤90 days","OK"))),"Check date"))</f>
        <v/>
      </c>
      <c r="O76" s="21" t="n"/>
      <c r="P76" s="21" t="n"/>
      <c r="Q76" s="21" t="n"/>
      <c r="R76" s="21" t="n"/>
      <c r="S76" s="21" t="n"/>
    </row>
    <row r="77">
      <c r="A77" s="21" t="n"/>
      <c r="B77" s="21" t="n"/>
      <c r="C77" s="21" t="n"/>
      <c r="D77" s="21" t="n"/>
      <c r="E77" s="21" t="n"/>
      <c r="F77" s="22" t="n"/>
      <c r="G77" s="22" t="n"/>
      <c r="H77" s="21" t="n"/>
      <c r="I77" s="23" t="n"/>
      <c r="J77" s="23" t="n"/>
      <c r="K77" s="24" t="n"/>
      <c r="L77" s="25">
        <f>IF(ISNUMBER(J77),J77-IF(ISNUMBER(K77),K77,30),"")</f>
        <v/>
      </c>
      <c r="M77" s="26">
        <f>IF(J77="","",IF(ISNUMBER(J77),J77-TODAY(),"Check date"))</f>
        <v/>
      </c>
      <c r="N77" s="27">
        <f>IF(M77="","",IF(ISNUMBER(M77),IF(M77&lt;0,"Expired",IF(M77&lt;=30,"Due ≤30 days",IF(M77&lt;=90,"Due ≤90 days","OK"))),"Check date"))</f>
        <v/>
      </c>
      <c r="O77" s="21" t="n"/>
      <c r="P77" s="21" t="n"/>
      <c r="Q77" s="21" t="n"/>
      <c r="R77" s="21" t="n"/>
      <c r="S77" s="21" t="n"/>
    </row>
    <row r="78">
      <c r="A78" s="21" t="n"/>
      <c r="B78" s="21" t="n"/>
      <c r="C78" s="21" t="n"/>
      <c r="D78" s="21" t="n"/>
      <c r="E78" s="21" t="n"/>
      <c r="F78" s="22" t="n"/>
      <c r="G78" s="22" t="n"/>
      <c r="H78" s="21" t="n"/>
      <c r="I78" s="23" t="n"/>
      <c r="J78" s="23" t="n"/>
      <c r="K78" s="24" t="n"/>
      <c r="L78" s="25">
        <f>IF(ISNUMBER(J78),J78-IF(ISNUMBER(K78),K78,30),"")</f>
        <v/>
      </c>
      <c r="M78" s="26">
        <f>IF(J78="","",IF(ISNUMBER(J78),J78-TODAY(),"Check date"))</f>
        <v/>
      </c>
      <c r="N78" s="27">
        <f>IF(M78="","",IF(ISNUMBER(M78),IF(M78&lt;0,"Expired",IF(M78&lt;=30,"Due ≤30 days",IF(M78&lt;=90,"Due ≤90 days","OK"))),"Check date"))</f>
        <v/>
      </c>
      <c r="O78" s="21" t="n"/>
      <c r="P78" s="21" t="n"/>
      <c r="Q78" s="21" t="n"/>
      <c r="R78" s="21" t="n"/>
      <c r="S78" s="21" t="n"/>
    </row>
    <row r="79">
      <c r="A79" s="21" t="n"/>
      <c r="B79" s="21" t="n"/>
      <c r="C79" s="21" t="n"/>
      <c r="D79" s="21" t="n"/>
      <c r="E79" s="21" t="n"/>
      <c r="F79" s="22" t="n"/>
      <c r="G79" s="22" t="n"/>
      <c r="H79" s="21" t="n"/>
      <c r="I79" s="23" t="n"/>
      <c r="J79" s="23" t="n"/>
      <c r="K79" s="24" t="n"/>
      <c r="L79" s="25">
        <f>IF(ISNUMBER(J79),J79-IF(ISNUMBER(K79),K79,30),"")</f>
        <v/>
      </c>
      <c r="M79" s="26">
        <f>IF(J79="","",IF(ISNUMBER(J79),J79-TODAY(),"Check date"))</f>
        <v/>
      </c>
      <c r="N79" s="27">
        <f>IF(M79="","",IF(ISNUMBER(M79),IF(M79&lt;0,"Expired",IF(M79&lt;=30,"Due ≤30 days",IF(M79&lt;=90,"Due ≤90 days","OK"))),"Check date"))</f>
        <v/>
      </c>
      <c r="O79" s="21" t="n"/>
      <c r="P79" s="21" t="n"/>
      <c r="Q79" s="21" t="n"/>
      <c r="R79" s="21" t="n"/>
      <c r="S79" s="21" t="n"/>
    </row>
    <row r="80">
      <c r="A80" s="21" t="n"/>
      <c r="B80" s="21" t="n"/>
      <c r="C80" s="21" t="n"/>
      <c r="D80" s="21" t="n"/>
      <c r="E80" s="21" t="n"/>
      <c r="F80" s="22" t="n"/>
      <c r="G80" s="22" t="n"/>
      <c r="H80" s="21" t="n"/>
      <c r="I80" s="23" t="n"/>
      <c r="J80" s="23" t="n"/>
      <c r="K80" s="24" t="n"/>
      <c r="L80" s="25">
        <f>IF(ISNUMBER(J80),J80-IF(ISNUMBER(K80),K80,30),"")</f>
        <v/>
      </c>
      <c r="M80" s="26">
        <f>IF(J80="","",IF(ISNUMBER(J80),J80-TODAY(),"Check date"))</f>
        <v/>
      </c>
      <c r="N80" s="27">
        <f>IF(M80="","",IF(ISNUMBER(M80),IF(M80&lt;0,"Expired",IF(M80&lt;=30,"Due ≤30 days",IF(M80&lt;=90,"Due ≤90 days","OK"))),"Check date"))</f>
        <v/>
      </c>
      <c r="O80" s="21" t="n"/>
      <c r="P80" s="21" t="n"/>
      <c r="Q80" s="21" t="n"/>
      <c r="R80" s="21" t="n"/>
      <c r="S80" s="21" t="n"/>
    </row>
    <row r="81">
      <c r="A81" s="21" t="n"/>
      <c r="B81" s="21" t="n"/>
      <c r="C81" s="21" t="n"/>
      <c r="D81" s="21" t="n"/>
      <c r="E81" s="21" t="n"/>
      <c r="F81" s="22" t="n"/>
      <c r="G81" s="22" t="n"/>
      <c r="H81" s="21" t="n"/>
      <c r="I81" s="23" t="n"/>
      <c r="J81" s="23" t="n"/>
      <c r="K81" s="24" t="n"/>
      <c r="L81" s="25">
        <f>IF(ISNUMBER(J81),J81-IF(ISNUMBER(K81),K81,30),"")</f>
        <v/>
      </c>
      <c r="M81" s="26">
        <f>IF(J81="","",IF(ISNUMBER(J81),J81-TODAY(),"Check date"))</f>
        <v/>
      </c>
      <c r="N81" s="27">
        <f>IF(M81="","",IF(ISNUMBER(M81),IF(M81&lt;0,"Expired",IF(M81&lt;=30,"Due ≤30 days",IF(M81&lt;=90,"Due ≤90 days","OK"))),"Check date"))</f>
        <v/>
      </c>
      <c r="O81" s="21" t="n"/>
      <c r="P81" s="21" t="n"/>
      <c r="Q81" s="21" t="n"/>
      <c r="R81" s="21" t="n"/>
      <c r="S81" s="21" t="n"/>
    </row>
    <row r="82">
      <c r="A82" s="21" t="n"/>
      <c r="B82" s="21" t="n"/>
      <c r="C82" s="21" t="n"/>
      <c r="D82" s="21" t="n"/>
      <c r="E82" s="21" t="n"/>
      <c r="F82" s="22" t="n"/>
      <c r="G82" s="22" t="n"/>
      <c r="H82" s="21" t="n"/>
      <c r="I82" s="23" t="n"/>
      <c r="J82" s="23" t="n"/>
      <c r="K82" s="24" t="n"/>
      <c r="L82" s="25">
        <f>IF(ISNUMBER(J82),J82-IF(ISNUMBER(K82),K82,30),"")</f>
        <v/>
      </c>
      <c r="M82" s="26">
        <f>IF(J82="","",IF(ISNUMBER(J82),J82-TODAY(),"Check date"))</f>
        <v/>
      </c>
      <c r="N82" s="27">
        <f>IF(M82="","",IF(ISNUMBER(M82),IF(M82&lt;0,"Expired",IF(M82&lt;=30,"Due ≤30 days",IF(M82&lt;=90,"Due ≤90 days","OK"))),"Check date"))</f>
        <v/>
      </c>
      <c r="O82" s="21" t="n"/>
      <c r="P82" s="21" t="n"/>
      <c r="Q82" s="21" t="n"/>
      <c r="R82" s="21" t="n"/>
      <c r="S82" s="21" t="n"/>
    </row>
    <row r="83">
      <c r="A83" s="21" t="n"/>
      <c r="B83" s="21" t="n"/>
      <c r="C83" s="21" t="n"/>
      <c r="D83" s="21" t="n"/>
      <c r="E83" s="21" t="n"/>
      <c r="F83" s="22" t="n"/>
      <c r="G83" s="22" t="n"/>
      <c r="H83" s="21" t="n"/>
      <c r="I83" s="23" t="n"/>
      <c r="J83" s="23" t="n"/>
      <c r="K83" s="24" t="n"/>
      <c r="L83" s="25">
        <f>IF(ISNUMBER(J83),J83-IF(ISNUMBER(K83),K83,30),"")</f>
        <v/>
      </c>
      <c r="M83" s="26">
        <f>IF(J83="","",IF(ISNUMBER(J83),J83-TODAY(),"Check date"))</f>
        <v/>
      </c>
      <c r="N83" s="27">
        <f>IF(M83="","",IF(ISNUMBER(M83),IF(M83&lt;0,"Expired",IF(M83&lt;=30,"Due ≤30 days",IF(M83&lt;=90,"Due ≤90 days","OK"))),"Check date"))</f>
        <v/>
      </c>
      <c r="O83" s="21" t="n"/>
      <c r="P83" s="21" t="n"/>
      <c r="Q83" s="21" t="n"/>
      <c r="R83" s="21" t="n"/>
      <c r="S83" s="21" t="n"/>
    </row>
    <row r="84">
      <c r="A84" s="21" t="n"/>
      <c r="B84" s="21" t="n"/>
      <c r="C84" s="21" t="n"/>
      <c r="D84" s="21" t="n"/>
      <c r="E84" s="21" t="n"/>
      <c r="F84" s="22" t="n"/>
      <c r="G84" s="22" t="n"/>
      <c r="H84" s="21" t="n"/>
      <c r="I84" s="23" t="n"/>
      <c r="J84" s="23" t="n"/>
      <c r="K84" s="24" t="n"/>
      <c r="L84" s="25">
        <f>IF(ISNUMBER(J84),J84-IF(ISNUMBER(K84),K84,30),"")</f>
        <v/>
      </c>
      <c r="M84" s="26">
        <f>IF(J84="","",IF(ISNUMBER(J84),J84-TODAY(),"Check date"))</f>
        <v/>
      </c>
      <c r="N84" s="27">
        <f>IF(M84="","",IF(ISNUMBER(M84),IF(M84&lt;0,"Expired",IF(M84&lt;=30,"Due ≤30 days",IF(M84&lt;=90,"Due ≤90 days","OK"))),"Check date"))</f>
        <v/>
      </c>
      <c r="O84" s="21" t="n"/>
      <c r="P84" s="21" t="n"/>
      <c r="Q84" s="21" t="n"/>
      <c r="R84" s="21" t="n"/>
      <c r="S84" s="21" t="n"/>
    </row>
    <row r="85">
      <c r="A85" s="21" t="n"/>
      <c r="B85" s="21" t="n"/>
      <c r="C85" s="21" t="n"/>
      <c r="D85" s="21" t="n"/>
      <c r="E85" s="21" t="n"/>
      <c r="F85" s="22" t="n"/>
      <c r="G85" s="22" t="n"/>
      <c r="H85" s="21" t="n"/>
      <c r="I85" s="23" t="n"/>
      <c r="J85" s="23" t="n"/>
      <c r="K85" s="24" t="n"/>
      <c r="L85" s="25">
        <f>IF(ISNUMBER(J85),J85-IF(ISNUMBER(K85),K85,30),"")</f>
        <v/>
      </c>
      <c r="M85" s="26">
        <f>IF(J85="","",IF(ISNUMBER(J85),J85-TODAY(),"Check date"))</f>
        <v/>
      </c>
      <c r="N85" s="27">
        <f>IF(M85="","",IF(ISNUMBER(M85),IF(M85&lt;0,"Expired",IF(M85&lt;=30,"Due ≤30 days",IF(M85&lt;=90,"Due ≤90 days","OK"))),"Check date"))</f>
        <v/>
      </c>
      <c r="O85" s="21" t="n"/>
      <c r="P85" s="21" t="n"/>
      <c r="Q85" s="21" t="n"/>
      <c r="R85" s="21" t="n"/>
      <c r="S85" s="21" t="n"/>
    </row>
    <row r="86">
      <c r="A86" s="21" t="n"/>
      <c r="B86" s="21" t="n"/>
      <c r="C86" s="21" t="n"/>
      <c r="D86" s="21" t="n"/>
      <c r="E86" s="21" t="n"/>
      <c r="F86" s="22" t="n"/>
      <c r="G86" s="22" t="n"/>
      <c r="H86" s="21" t="n"/>
      <c r="I86" s="23" t="n"/>
      <c r="J86" s="23" t="n"/>
      <c r="K86" s="24" t="n"/>
      <c r="L86" s="25">
        <f>IF(ISNUMBER(J86),J86-IF(ISNUMBER(K86),K86,30),"")</f>
        <v/>
      </c>
      <c r="M86" s="26">
        <f>IF(J86="","",IF(ISNUMBER(J86),J86-TODAY(),"Check date"))</f>
        <v/>
      </c>
      <c r="N86" s="27">
        <f>IF(M86="","",IF(ISNUMBER(M86),IF(M86&lt;0,"Expired",IF(M86&lt;=30,"Due ≤30 days",IF(M86&lt;=90,"Due ≤90 days","OK"))),"Check date"))</f>
        <v/>
      </c>
      <c r="O86" s="21" t="n"/>
      <c r="P86" s="21" t="n"/>
      <c r="Q86" s="21" t="n"/>
      <c r="R86" s="21" t="n"/>
      <c r="S86" s="21" t="n"/>
    </row>
    <row r="87">
      <c r="A87" s="21" t="n"/>
      <c r="B87" s="21" t="n"/>
      <c r="C87" s="21" t="n"/>
      <c r="D87" s="21" t="n"/>
      <c r="E87" s="21" t="n"/>
      <c r="F87" s="22" t="n"/>
      <c r="G87" s="22" t="n"/>
      <c r="H87" s="21" t="n"/>
      <c r="I87" s="23" t="n"/>
      <c r="J87" s="23" t="n"/>
      <c r="K87" s="24" t="n"/>
      <c r="L87" s="25">
        <f>IF(ISNUMBER(J87),J87-IF(ISNUMBER(K87),K87,30),"")</f>
        <v/>
      </c>
      <c r="M87" s="26">
        <f>IF(J87="","",IF(ISNUMBER(J87),J87-TODAY(),"Check date"))</f>
        <v/>
      </c>
      <c r="N87" s="27">
        <f>IF(M87="","",IF(ISNUMBER(M87),IF(M87&lt;0,"Expired",IF(M87&lt;=30,"Due ≤30 days",IF(M87&lt;=90,"Due ≤90 days","OK"))),"Check date"))</f>
        <v/>
      </c>
      <c r="O87" s="21" t="n"/>
      <c r="P87" s="21" t="n"/>
      <c r="Q87" s="21" t="n"/>
      <c r="R87" s="21" t="n"/>
      <c r="S87" s="21" t="n"/>
    </row>
    <row r="88">
      <c r="A88" s="21" t="n"/>
      <c r="B88" s="21" t="n"/>
      <c r="C88" s="21" t="n"/>
      <c r="D88" s="21" t="n"/>
      <c r="E88" s="21" t="n"/>
      <c r="F88" s="22" t="n"/>
      <c r="G88" s="22" t="n"/>
      <c r="H88" s="21" t="n"/>
      <c r="I88" s="23" t="n"/>
      <c r="J88" s="23" t="n"/>
      <c r="K88" s="24" t="n"/>
      <c r="L88" s="25">
        <f>IF(ISNUMBER(J88),J88-IF(ISNUMBER(K88),K88,30),"")</f>
        <v/>
      </c>
      <c r="M88" s="26">
        <f>IF(J88="","",IF(ISNUMBER(J88),J88-TODAY(),"Check date"))</f>
        <v/>
      </c>
      <c r="N88" s="27">
        <f>IF(M88="","",IF(ISNUMBER(M88),IF(M88&lt;0,"Expired",IF(M88&lt;=30,"Due ≤30 days",IF(M88&lt;=90,"Due ≤90 days","OK"))),"Check date"))</f>
        <v/>
      </c>
      <c r="O88" s="21" t="n"/>
      <c r="P88" s="21" t="n"/>
      <c r="Q88" s="21" t="n"/>
      <c r="R88" s="21" t="n"/>
      <c r="S88" s="21" t="n"/>
    </row>
    <row r="89">
      <c r="A89" s="21" t="n"/>
      <c r="B89" s="21" t="n"/>
      <c r="C89" s="21" t="n"/>
      <c r="D89" s="21" t="n"/>
      <c r="E89" s="21" t="n"/>
      <c r="F89" s="22" t="n"/>
      <c r="G89" s="22" t="n"/>
      <c r="H89" s="21" t="n"/>
      <c r="I89" s="23" t="n"/>
      <c r="J89" s="23" t="n"/>
      <c r="K89" s="24" t="n"/>
      <c r="L89" s="25">
        <f>IF(ISNUMBER(J89),J89-IF(ISNUMBER(K89),K89,30),"")</f>
        <v/>
      </c>
      <c r="M89" s="26">
        <f>IF(J89="","",IF(ISNUMBER(J89),J89-TODAY(),"Check date"))</f>
        <v/>
      </c>
      <c r="N89" s="27">
        <f>IF(M89="","",IF(ISNUMBER(M89),IF(M89&lt;0,"Expired",IF(M89&lt;=30,"Due ≤30 days",IF(M89&lt;=90,"Due ≤90 days","OK"))),"Check date"))</f>
        <v/>
      </c>
      <c r="O89" s="21" t="n"/>
      <c r="P89" s="21" t="n"/>
      <c r="Q89" s="21" t="n"/>
      <c r="R89" s="21" t="n"/>
      <c r="S89" s="21" t="n"/>
    </row>
    <row r="90">
      <c r="A90" s="21" t="n"/>
      <c r="B90" s="21" t="n"/>
      <c r="C90" s="21" t="n"/>
      <c r="D90" s="21" t="n"/>
      <c r="E90" s="21" t="n"/>
      <c r="F90" s="22" t="n"/>
      <c r="G90" s="22" t="n"/>
      <c r="H90" s="21" t="n"/>
      <c r="I90" s="23" t="n"/>
      <c r="J90" s="23" t="n"/>
      <c r="K90" s="24" t="n"/>
      <c r="L90" s="25">
        <f>IF(ISNUMBER(J90),J90-IF(ISNUMBER(K90),K90,30),"")</f>
        <v/>
      </c>
      <c r="M90" s="26">
        <f>IF(J90="","",IF(ISNUMBER(J90),J90-TODAY(),"Check date"))</f>
        <v/>
      </c>
      <c r="N90" s="27">
        <f>IF(M90="","",IF(ISNUMBER(M90),IF(M90&lt;0,"Expired",IF(M90&lt;=30,"Due ≤30 days",IF(M90&lt;=90,"Due ≤90 days","OK"))),"Check date"))</f>
        <v/>
      </c>
      <c r="O90" s="21" t="n"/>
      <c r="P90" s="21" t="n"/>
      <c r="Q90" s="21" t="n"/>
      <c r="R90" s="21" t="n"/>
      <c r="S90" s="21" t="n"/>
    </row>
    <row r="91">
      <c r="A91" s="21" t="n"/>
      <c r="B91" s="21" t="n"/>
      <c r="C91" s="21" t="n"/>
      <c r="D91" s="21" t="n"/>
      <c r="E91" s="21" t="n"/>
      <c r="F91" s="22" t="n"/>
      <c r="G91" s="22" t="n"/>
      <c r="H91" s="21" t="n"/>
      <c r="I91" s="23" t="n"/>
      <c r="J91" s="23" t="n"/>
      <c r="K91" s="24" t="n"/>
      <c r="L91" s="25">
        <f>IF(ISNUMBER(J91),J91-IF(ISNUMBER(K91),K91,30),"")</f>
        <v/>
      </c>
      <c r="M91" s="26">
        <f>IF(J91="","",IF(ISNUMBER(J91),J91-TODAY(),"Check date"))</f>
        <v/>
      </c>
      <c r="N91" s="27">
        <f>IF(M91="","",IF(ISNUMBER(M91),IF(M91&lt;0,"Expired",IF(M91&lt;=30,"Due ≤30 days",IF(M91&lt;=90,"Due ≤90 days","OK"))),"Check date"))</f>
        <v/>
      </c>
      <c r="O91" s="21" t="n"/>
      <c r="P91" s="21" t="n"/>
      <c r="Q91" s="21" t="n"/>
      <c r="R91" s="21" t="n"/>
      <c r="S91" s="21" t="n"/>
    </row>
    <row r="92">
      <c r="A92" s="21" t="n"/>
      <c r="B92" s="21" t="n"/>
      <c r="C92" s="21" t="n"/>
      <c r="D92" s="21" t="n"/>
      <c r="E92" s="21" t="n"/>
      <c r="F92" s="22" t="n"/>
      <c r="G92" s="22" t="n"/>
      <c r="H92" s="21" t="n"/>
      <c r="I92" s="23" t="n"/>
      <c r="J92" s="23" t="n"/>
      <c r="K92" s="24" t="n"/>
      <c r="L92" s="25">
        <f>IF(ISNUMBER(J92),J92-IF(ISNUMBER(K92),K92,30),"")</f>
        <v/>
      </c>
      <c r="M92" s="26">
        <f>IF(J92="","",IF(ISNUMBER(J92),J92-TODAY(),"Check date"))</f>
        <v/>
      </c>
      <c r="N92" s="27">
        <f>IF(M92="","",IF(ISNUMBER(M92),IF(M92&lt;0,"Expired",IF(M92&lt;=30,"Due ≤30 days",IF(M92&lt;=90,"Due ≤90 days","OK"))),"Check date"))</f>
        <v/>
      </c>
      <c r="O92" s="21" t="n"/>
      <c r="P92" s="21" t="n"/>
      <c r="Q92" s="21" t="n"/>
      <c r="R92" s="21" t="n"/>
      <c r="S92" s="21" t="n"/>
    </row>
    <row r="93">
      <c r="A93" s="21" t="n"/>
      <c r="B93" s="21" t="n"/>
      <c r="C93" s="21" t="n"/>
      <c r="D93" s="21" t="n"/>
      <c r="E93" s="21" t="n"/>
      <c r="F93" s="22" t="n"/>
      <c r="G93" s="22" t="n"/>
      <c r="H93" s="21" t="n"/>
      <c r="I93" s="23" t="n"/>
      <c r="J93" s="23" t="n"/>
      <c r="K93" s="24" t="n"/>
      <c r="L93" s="25">
        <f>IF(ISNUMBER(J93),J93-IF(ISNUMBER(K93),K93,30),"")</f>
        <v/>
      </c>
      <c r="M93" s="26">
        <f>IF(J93="","",IF(ISNUMBER(J93),J93-TODAY(),"Check date"))</f>
        <v/>
      </c>
      <c r="N93" s="27">
        <f>IF(M93="","",IF(ISNUMBER(M93),IF(M93&lt;0,"Expired",IF(M93&lt;=30,"Due ≤30 days",IF(M93&lt;=90,"Due ≤90 days","OK"))),"Check date"))</f>
        <v/>
      </c>
      <c r="O93" s="21" t="n"/>
      <c r="P93" s="21" t="n"/>
      <c r="Q93" s="21" t="n"/>
      <c r="R93" s="21" t="n"/>
      <c r="S93" s="21" t="n"/>
    </row>
    <row r="94">
      <c r="A94" s="21" t="n"/>
      <c r="B94" s="21" t="n"/>
      <c r="C94" s="21" t="n"/>
      <c r="D94" s="21" t="n"/>
      <c r="E94" s="21" t="n"/>
      <c r="F94" s="22" t="n"/>
      <c r="G94" s="22" t="n"/>
      <c r="H94" s="21" t="n"/>
      <c r="I94" s="23" t="n"/>
      <c r="J94" s="23" t="n"/>
      <c r="K94" s="24" t="n"/>
      <c r="L94" s="25">
        <f>IF(ISNUMBER(J94),J94-IF(ISNUMBER(K94),K94,30),"")</f>
        <v/>
      </c>
      <c r="M94" s="26">
        <f>IF(J94="","",IF(ISNUMBER(J94),J94-TODAY(),"Check date"))</f>
        <v/>
      </c>
      <c r="N94" s="27">
        <f>IF(M94="","",IF(ISNUMBER(M94),IF(M94&lt;0,"Expired",IF(M94&lt;=30,"Due ≤30 days",IF(M94&lt;=90,"Due ≤90 days","OK"))),"Check date"))</f>
        <v/>
      </c>
      <c r="O94" s="21" t="n"/>
      <c r="P94" s="21" t="n"/>
      <c r="Q94" s="21" t="n"/>
      <c r="R94" s="21" t="n"/>
      <c r="S94" s="21" t="n"/>
    </row>
    <row r="95">
      <c r="A95" s="21" t="n"/>
      <c r="B95" s="21" t="n"/>
      <c r="C95" s="21" t="n"/>
      <c r="D95" s="21" t="n"/>
      <c r="E95" s="21" t="n"/>
      <c r="F95" s="22" t="n"/>
      <c r="G95" s="22" t="n"/>
      <c r="H95" s="21" t="n"/>
      <c r="I95" s="23" t="n"/>
      <c r="J95" s="23" t="n"/>
      <c r="K95" s="24" t="n"/>
      <c r="L95" s="25">
        <f>IF(ISNUMBER(J95),J95-IF(ISNUMBER(K95),K95,30),"")</f>
        <v/>
      </c>
      <c r="M95" s="26">
        <f>IF(J95="","",IF(ISNUMBER(J95),J95-TODAY(),"Check date"))</f>
        <v/>
      </c>
      <c r="N95" s="27">
        <f>IF(M95="","",IF(ISNUMBER(M95),IF(M95&lt;0,"Expired",IF(M95&lt;=30,"Due ≤30 days",IF(M95&lt;=90,"Due ≤90 days","OK"))),"Check date"))</f>
        <v/>
      </c>
      <c r="O95" s="21" t="n"/>
      <c r="P95" s="21" t="n"/>
      <c r="Q95" s="21" t="n"/>
      <c r="R95" s="21" t="n"/>
      <c r="S95" s="21" t="n"/>
    </row>
    <row r="96">
      <c r="A96" s="21" t="n"/>
      <c r="B96" s="21" t="n"/>
      <c r="C96" s="21" t="n"/>
      <c r="D96" s="21" t="n"/>
      <c r="E96" s="21" t="n"/>
      <c r="F96" s="22" t="n"/>
      <c r="G96" s="22" t="n"/>
      <c r="H96" s="21" t="n"/>
      <c r="I96" s="23" t="n"/>
      <c r="J96" s="23" t="n"/>
      <c r="K96" s="24" t="n"/>
      <c r="L96" s="25">
        <f>IF(ISNUMBER(J96),J96-IF(ISNUMBER(K96),K96,30),"")</f>
        <v/>
      </c>
      <c r="M96" s="26">
        <f>IF(J96="","",IF(ISNUMBER(J96),J96-TODAY(),"Check date"))</f>
        <v/>
      </c>
      <c r="N96" s="27">
        <f>IF(M96="","",IF(ISNUMBER(M96),IF(M96&lt;0,"Expired",IF(M96&lt;=30,"Due ≤30 days",IF(M96&lt;=90,"Due ≤90 days","OK"))),"Check date"))</f>
        <v/>
      </c>
      <c r="O96" s="21" t="n"/>
      <c r="P96" s="21" t="n"/>
      <c r="Q96" s="21" t="n"/>
      <c r="R96" s="21" t="n"/>
      <c r="S96" s="21" t="n"/>
    </row>
    <row r="97">
      <c r="A97" s="21" t="n"/>
      <c r="B97" s="21" t="n"/>
      <c r="C97" s="21" t="n"/>
      <c r="D97" s="21" t="n"/>
      <c r="E97" s="21" t="n"/>
      <c r="F97" s="22" t="n"/>
      <c r="G97" s="22" t="n"/>
      <c r="H97" s="21" t="n"/>
      <c r="I97" s="23" t="n"/>
      <c r="J97" s="23" t="n"/>
      <c r="K97" s="24" t="n"/>
      <c r="L97" s="25">
        <f>IF(ISNUMBER(J97),J97-IF(ISNUMBER(K97),K97,30),"")</f>
        <v/>
      </c>
      <c r="M97" s="26">
        <f>IF(J97="","",IF(ISNUMBER(J97),J97-TODAY(),"Check date"))</f>
        <v/>
      </c>
      <c r="N97" s="27">
        <f>IF(M97="","",IF(ISNUMBER(M97),IF(M97&lt;0,"Expired",IF(M97&lt;=30,"Due ≤30 days",IF(M97&lt;=90,"Due ≤90 days","OK"))),"Check date"))</f>
        <v/>
      </c>
      <c r="O97" s="21" t="n"/>
      <c r="P97" s="21" t="n"/>
      <c r="Q97" s="21" t="n"/>
      <c r="R97" s="21" t="n"/>
      <c r="S97" s="21" t="n"/>
    </row>
    <row r="98">
      <c r="A98" s="21" t="n"/>
      <c r="B98" s="21" t="n"/>
      <c r="C98" s="21" t="n"/>
      <c r="D98" s="21" t="n"/>
      <c r="E98" s="21" t="n"/>
      <c r="F98" s="22" t="n"/>
      <c r="G98" s="22" t="n"/>
      <c r="H98" s="21" t="n"/>
      <c r="I98" s="23" t="n"/>
      <c r="J98" s="23" t="n"/>
      <c r="K98" s="24" t="n"/>
      <c r="L98" s="25">
        <f>IF(ISNUMBER(J98),J98-IF(ISNUMBER(K98),K98,30),"")</f>
        <v/>
      </c>
      <c r="M98" s="26">
        <f>IF(J98="","",IF(ISNUMBER(J98),J98-TODAY(),"Check date"))</f>
        <v/>
      </c>
      <c r="N98" s="27">
        <f>IF(M98="","",IF(ISNUMBER(M98),IF(M98&lt;0,"Expired",IF(M98&lt;=30,"Due ≤30 days",IF(M98&lt;=90,"Due ≤90 days","OK"))),"Check date"))</f>
        <v/>
      </c>
      <c r="O98" s="21" t="n"/>
      <c r="P98" s="21" t="n"/>
      <c r="Q98" s="21" t="n"/>
      <c r="R98" s="21" t="n"/>
      <c r="S98" s="21" t="n"/>
    </row>
    <row r="99">
      <c r="A99" s="21" t="n"/>
      <c r="B99" s="21" t="n"/>
      <c r="C99" s="21" t="n"/>
      <c r="D99" s="21" t="n"/>
      <c r="E99" s="21" t="n"/>
      <c r="F99" s="22" t="n"/>
      <c r="G99" s="22" t="n"/>
      <c r="H99" s="21" t="n"/>
      <c r="I99" s="23" t="n"/>
      <c r="J99" s="23" t="n"/>
      <c r="K99" s="24" t="n"/>
      <c r="L99" s="25">
        <f>IF(ISNUMBER(J99),J99-IF(ISNUMBER(K99),K99,30),"")</f>
        <v/>
      </c>
      <c r="M99" s="26">
        <f>IF(J99="","",IF(ISNUMBER(J99),J99-TODAY(),"Check date"))</f>
        <v/>
      </c>
      <c r="N99" s="27">
        <f>IF(M99="","",IF(ISNUMBER(M99),IF(M99&lt;0,"Expired",IF(M99&lt;=30,"Due ≤30 days",IF(M99&lt;=90,"Due ≤90 days","OK"))),"Check date"))</f>
        <v/>
      </c>
      <c r="O99" s="21" t="n"/>
      <c r="P99" s="21" t="n"/>
      <c r="Q99" s="21" t="n"/>
      <c r="R99" s="21" t="n"/>
      <c r="S99" s="21" t="n"/>
    </row>
    <row r="100">
      <c r="A100" s="21" t="n"/>
      <c r="B100" s="21" t="n"/>
      <c r="C100" s="21" t="n"/>
      <c r="D100" s="21" t="n"/>
      <c r="E100" s="21" t="n"/>
      <c r="F100" s="22" t="n"/>
      <c r="G100" s="22" t="n"/>
      <c r="H100" s="21" t="n"/>
      <c r="I100" s="23" t="n"/>
      <c r="J100" s="23" t="n"/>
      <c r="K100" s="24" t="n"/>
      <c r="L100" s="25">
        <f>IF(ISNUMBER(J100),J100-IF(ISNUMBER(K100),K100,30),"")</f>
        <v/>
      </c>
      <c r="M100" s="26">
        <f>IF(J100="","",IF(ISNUMBER(J100),J100-TODAY(),"Check date"))</f>
        <v/>
      </c>
      <c r="N100" s="27">
        <f>IF(M100="","",IF(ISNUMBER(M100),IF(M100&lt;0,"Expired",IF(M100&lt;=30,"Due ≤30 days",IF(M100&lt;=90,"Due ≤90 days","OK"))),"Check date"))</f>
        <v/>
      </c>
      <c r="O100" s="21" t="n"/>
      <c r="P100" s="21" t="n"/>
      <c r="Q100" s="21" t="n"/>
      <c r="R100" s="21" t="n"/>
      <c r="S100" s="21" t="n"/>
    </row>
    <row r="101">
      <c r="A101" s="21" t="n"/>
      <c r="B101" s="21" t="n"/>
      <c r="C101" s="21" t="n"/>
      <c r="D101" s="21" t="n"/>
      <c r="E101" s="21" t="n"/>
      <c r="F101" s="22" t="n"/>
      <c r="G101" s="22" t="n"/>
      <c r="H101" s="21" t="n"/>
      <c r="I101" s="23" t="n"/>
      <c r="J101" s="23" t="n"/>
      <c r="K101" s="24" t="n"/>
      <c r="L101" s="25">
        <f>IF(ISNUMBER(J101),J101-IF(ISNUMBER(K101),K101,30),"")</f>
        <v/>
      </c>
      <c r="M101" s="26">
        <f>IF(J101="","",IF(ISNUMBER(J101),J101-TODAY(),"Check date"))</f>
        <v/>
      </c>
      <c r="N101" s="27">
        <f>IF(M101="","",IF(ISNUMBER(M101),IF(M101&lt;0,"Expired",IF(M101&lt;=30,"Due ≤30 days",IF(M101&lt;=90,"Due ≤90 days","OK"))),"Check date"))</f>
        <v/>
      </c>
      <c r="O101" s="21" t="n"/>
      <c r="P101" s="21" t="n"/>
      <c r="Q101" s="21" t="n"/>
      <c r="R101" s="21" t="n"/>
      <c r="S101" s="21" t="n"/>
    </row>
    <row r="102">
      <c r="A102" s="21" t="n"/>
      <c r="B102" s="21" t="n"/>
      <c r="C102" s="21" t="n"/>
      <c r="D102" s="21" t="n"/>
      <c r="E102" s="21" t="n"/>
      <c r="F102" s="22" t="n"/>
      <c r="G102" s="22" t="n"/>
      <c r="H102" s="21" t="n"/>
      <c r="I102" s="23" t="n"/>
      <c r="J102" s="23" t="n"/>
      <c r="K102" s="24" t="n"/>
      <c r="L102" s="25">
        <f>IF(ISNUMBER(J102),J102-IF(ISNUMBER(K102),K102,30),"")</f>
        <v/>
      </c>
      <c r="M102" s="26">
        <f>IF(J102="","",IF(ISNUMBER(J102),J102-TODAY(),"Check date"))</f>
        <v/>
      </c>
      <c r="N102" s="27">
        <f>IF(M102="","",IF(ISNUMBER(M102),IF(M102&lt;0,"Expired",IF(M102&lt;=30,"Due ≤30 days",IF(M102&lt;=90,"Due ≤90 days","OK"))),"Check date"))</f>
        <v/>
      </c>
      <c r="O102" s="21" t="n"/>
      <c r="P102" s="21" t="n"/>
      <c r="Q102" s="21" t="n"/>
      <c r="R102" s="21" t="n"/>
      <c r="S102" s="21" t="n"/>
    </row>
    <row r="103">
      <c r="A103" s="21" t="n"/>
      <c r="B103" s="21" t="n"/>
      <c r="C103" s="21" t="n"/>
      <c r="D103" s="21" t="n"/>
      <c r="E103" s="21" t="n"/>
      <c r="F103" s="22" t="n"/>
      <c r="G103" s="22" t="n"/>
      <c r="H103" s="21" t="n"/>
      <c r="I103" s="23" t="n"/>
      <c r="J103" s="23" t="n"/>
      <c r="K103" s="24" t="n"/>
      <c r="L103" s="25">
        <f>IF(ISNUMBER(J103),J103-IF(ISNUMBER(K103),K103,30),"")</f>
        <v/>
      </c>
      <c r="M103" s="26">
        <f>IF(J103="","",IF(ISNUMBER(J103),J103-TODAY(),"Check date"))</f>
        <v/>
      </c>
      <c r="N103" s="27">
        <f>IF(M103="","",IF(ISNUMBER(M103),IF(M103&lt;0,"Expired",IF(M103&lt;=30,"Due ≤30 days",IF(M103&lt;=90,"Due ≤90 days","OK"))),"Check date"))</f>
        <v/>
      </c>
      <c r="O103" s="21" t="n"/>
      <c r="P103" s="21" t="n"/>
      <c r="Q103" s="21" t="n"/>
      <c r="R103" s="21" t="n"/>
      <c r="S103" s="21" t="n"/>
    </row>
    <row r="104">
      <c r="A104" s="21" t="n"/>
      <c r="B104" s="21" t="n"/>
      <c r="C104" s="21" t="n"/>
      <c r="D104" s="21" t="n"/>
      <c r="E104" s="21" t="n"/>
      <c r="F104" s="22" t="n"/>
      <c r="G104" s="22" t="n"/>
      <c r="H104" s="21" t="n"/>
      <c r="I104" s="23" t="n"/>
      <c r="J104" s="23" t="n"/>
      <c r="K104" s="24" t="n"/>
      <c r="L104" s="25">
        <f>IF(ISNUMBER(J104),J104-IF(ISNUMBER(K104),K104,30),"")</f>
        <v/>
      </c>
      <c r="M104" s="26">
        <f>IF(J104="","",IF(ISNUMBER(J104),J104-TODAY(),"Check date"))</f>
        <v/>
      </c>
      <c r="N104" s="27">
        <f>IF(M104="","",IF(ISNUMBER(M104),IF(M104&lt;0,"Expired",IF(M104&lt;=30,"Due ≤30 days",IF(M104&lt;=90,"Due ≤90 days","OK"))),"Check date"))</f>
        <v/>
      </c>
      <c r="O104" s="21" t="n"/>
      <c r="P104" s="21" t="n"/>
      <c r="Q104" s="21" t="n"/>
      <c r="R104" s="21" t="n"/>
      <c r="S104" s="21" t="n"/>
    </row>
    <row r="105">
      <c r="A105" s="21" t="n"/>
      <c r="B105" s="21" t="n"/>
      <c r="C105" s="21" t="n"/>
      <c r="D105" s="21" t="n"/>
      <c r="E105" s="21" t="n"/>
      <c r="F105" s="22" t="n"/>
      <c r="G105" s="22" t="n"/>
      <c r="H105" s="21" t="n"/>
      <c r="I105" s="23" t="n"/>
      <c r="J105" s="23" t="n"/>
      <c r="K105" s="24" t="n"/>
      <c r="L105" s="25">
        <f>IF(ISNUMBER(J105),J105-IF(ISNUMBER(K105),K105,30),"")</f>
        <v/>
      </c>
      <c r="M105" s="26">
        <f>IF(J105="","",IF(ISNUMBER(J105),J105-TODAY(),"Check date"))</f>
        <v/>
      </c>
      <c r="N105" s="27">
        <f>IF(M105="","",IF(ISNUMBER(M105),IF(M105&lt;0,"Expired",IF(M105&lt;=30,"Due ≤30 days",IF(M105&lt;=90,"Due ≤90 days","OK"))),"Check date"))</f>
        <v/>
      </c>
      <c r="O105" s="21" t="n"/>
      <c r="P105" s="21" t="n"/>
      <c r="Q105" s="21" t="n"/>
      <c r="R105" s="21" t="n"/>
      <c r="S105" s="21" t="n"/>
    </row>
    <row r="106">
      <c r="A106" s="21" t="n"/>
      <c r="B106" s="21" t="n"/>
      <c r="C106" s="21" t="n"/>
      <c r="D106" s="21" t="n"/>
      <c r="E106" s="21" t="n"/>
      <c r="F106" s="22" t="n"/>
      <c r="G106" s="22" t="n"/>
      <c r="H106" s="21" t="n"/>
      <c r="I106" s="23" t="n"/>
      <c r="J106" s="23" t="n"/>
      <c r="K106" s="24" t="n"/>
      <c r="L106" s="25">
        <f>IF(ISNUMBER(J106),J106-IF(ISNUMBER(K106),K106,30),"")</f>
        <v/>
      </c>
      <c r="M106" s="26">
        <f>IF(J106="","",IF(ISNUMBER(J106),J106-TODAY(),"Check date"))</f>
        <v/>
      </c>
      <c r="N106" s="27">
        <f>IF(M106="","",IF(ISNUMBER(M106),IF(M106&lt;0,"Expired",IF(M106&lt;=30,"Due ≤30 days",IF(M106&lt;=90,"Due ≤90 days","OK"))),"Check date"))</f>
        <v/>
      </c>
      <c r="O106" s="21" t="n"/>
      <c r="P106" s="21" t="n"/>
      <c r="Q106" s="21" t="n"/>
      <c r="R106" s="21" t="n"/>
      <c r="S106" s="21" t="n"/>
    </row>
    <row r="107">
      <c r="A107" s="21" t="n"/>
      <c r="B107" s="21" t="n"/>
      <c r="C107" s="21" t="n"/>
      <c r="D107" s="21" t="n"/>
      <c r="E107" s="21" t="n"/>
      <c r="F107" s="22" t="n"/>
      <c r="G107" s="22" t="n"/>
      <c r="H107" s="21" t="n"/>
      <c r="I107" s="23" t="n"/>
      <c r="J107" s="23" t="n"/>
      <c r="K107" s="24" t="n"/>
      <c r="L107" s="25">
        <f>IF(ISNUMBER(J107),J107-IF(ISNUMBER(K107),K107,30),"")</f>
        <v/>
      </c>
      <c r="M107" s="26">
        <f>IF(J107="","",IF(ISNUMBER(J107),J107-TODAY(),"Check date"))</f>
        <v/>
      </c>
      <c r="N107" s="27">
        <f>IF(M107="","",IF(ISNUMBER(M107),IF(M107&lt;0,"Expired",IF(M107&lt;=30,"Due ≤30 days",IF(M107&lt;=90,"Due ≤90 days","OK"))),"Check date"))</f>
        <v/>
      </c>
      <c r="O107" s="21" t="n"/>
      <c r="P107" s="21" t="n"/>
      <c r="Q107" s="21" t="n"/>
      <c r="R107" s="21" t="n"/>
      <c r="S107" s="21" t="n"/>
    </row>
    <row r="108">
      <c r="A108" s="21" t="n"/>
      <c r="B108" s="21" t="n"/>
      <c r="C108" s="21" t="n"/>
      <c r="D108" s="21" t="n"/>
      <c r="E108" s="21" t="n"/>
      <c r="F108" s="22" t="n"/>
      <c r="G108" s="22" t="n"/>
      <c r="H108" s="21" t="n"/>
      <c r="I108" s="23" t="n"/>
      <c r="J108" s="23" t="n"/>
      <c r="K108" s="24" t="n"/>
      <c r="L108" s="25">
        <f>IF(ISNUMBER(J108),J108-IF(ISNUMBER(K108),K108,30),"")</f>
        <v/>
      </c>
      <c r="M108" s="26">
        <f>IF(J108="","",IF(ISNUMBER(J108),J108-TODAY(),"Check date"))</f>
        <v/>
      </c>
      <c r="N108" s="27">
        <f>IF(M108="","",IF(ISNUMBER(M108),IF(M108&lt;0,"Expired",IF(M108&lt;=30,"Due ≤30 days",IF(M108&lt;=90,"Due ≤90 days","OK"))),"Check date"))</f>
        <v/>
      </c>
      <c r="O108" s="21" t="n"/>
      <c r="P108" s="21" t="n"/>
      <c r="Q108" s="21" t="n"/>
      <c r="R108" s="21" t="n"/>
      <c r="S108" s="21" t="n"/>
    </row>
    <row r="109">
      <c r="A109" s="21" t="n"/>
      <c r="B109" s="21" t="n"/>
      <c r="C109" s="21" t="n"/>
      <c r="D109" s="21" t="n"/>
      <c r="E109" s="21" t="n"/>
      <c r="F109" s="22" t="n"/>
      <c r="G109" s="22" t="n"/>
      <c r="H109" s="21" t="n"/>
      <c r="I109" s="23" t="n"/>
      <c r="J109" s="23" t="n"/>
      <c r="K109" s="24" t="n"/>
      <c r="L109" s="25">
        <f>IF(ISNUMBER(J109),J109-IF(ISNUMBER(K109),K109,30),"")</f>
        <v/>
      </c>
      <c r="M109" s="26">
        <f>IF(J109="","",IF(ISNUMBER(J109),J109-TODAY(),"Check date"))</f>
        <v/>
      </c>
      <c r="N109" s="27">
        <f>IF(M109="","",IF(ISNUMBER(M109),IF(M109&lt;0,"Expired",IF(M109&lt;=30,"Due ≤30 days",IF(M109&lt;=90,"Due ≤90 days","OK"))),"Check date"))</f>
        <v/>
      </c>
      <c r="O109" s="21" t="n"/>
      <c r="P109" s="21" t="n"/>
      <c r="Q109" s="21" t="n"/>
      <c r="R109" s="21" t="n"/>
      <c r="S109" s="21" t="n"/>
    </row>
    <row r="110">
      <c r="A110" s="21" t="n"/>
      <c r="B110" s="21" t="n"/>
      <c r="C110" s="21" t="n"/>
      <c r="D110" s="21" t="n"/>
      <c r="E110" s="21" t="n"/>
      <c r="F110" s="22" t="n"/>
      <c r="G110" s="22" t="n"/>
      <c r="H110" s="21" t="n"/>
      <c r="I110" s="23" t="n"/>
      <c r="J110" s="23" t="n"/>
      <c r="K110" s="24" t="n"/>
      <c r="L110" s="25">
        <f>IF(ISNUMBER(J110),J110-IF(ISNUMBER(K110),K110,30),"")</f>
        <v/>
      </c>
      <c r="M110" s="26">
        <f>IF(J110="","",IF(ISNUMBER(J110),J110-TODAY(),"Check date"))</f>
        <v/>
      </c>
      <c r="N110" s="27">
        <f>IF(M110="","",IF(ISNUMBER(M110),IF(M110&lt;0,"Expired",IF(M110&lt;=30,"Due ≤30 days",IF(M110&lt;=90,"Due ≤90 days","OK"))),"Check date"))</f>
        <v/>
      </c>
      <c r="O110" s="21" t="n"/>
      <c r="P110" s="21" t="n"/>
      <c r="Q110" s="21" t="n"/>
      <c r="R110" s="21" t="n"/>
      <c r="S110" s="21" t="n"/>
    </row>
    <row r="111">
      <c r="A111" s="21" t="n"/>
      <c r="B111" s="21" t="n"/>
      <c r="C111" s="21" t="n"/>
      <c r="D111" s="21" t="n"/>
      <c r="E111" s="21" t="n"/>
      <c r="F111" s="22" t="n"/>
      <c r="G111" s="22" t="n"/>
      <c r="H111" s="21" t="n"/>
      <c r="I111" s="23" t="n"/>
      <c r="J111" s="23" t="n"/>
      <c r="K111" s="24" t="n"/>
      <c r="L111" s="25">
        <f>IF(ISNUMBER(J111),J111-IF(ISNUMBER(K111),K111,30),"")</f>
        <v/>
      </c>
      <c r="M111" s="26">
        <f>IF(J111="","",IF(ISNUMBER(J111),J111-TODAY(),"Check date"))</f>
        <v/>
      </c>
      <c r="N111" s="27">
        <f>IF(M111="","",IF(ISNUMBER(M111),IF(M111&lt;0,"Expired",IF(M111&lt;=30,"Due ≤30 days",IF(M111&lt;=90,"Due ≤90 days","OK"))),"Check date"))</f>
        <v/>
      </c>
      <c r="O111" s="21" t="n"/>
      <c r="P111" s="21" t="n"/>
      <c r="Q111" s="21" t="n"/>
      <c r="R111" s="21" t="n"/>
      <c r="S111" s="21" t="n"/>
    </row>
    <row r="112">
      <c r="A112" s="21" t="n"/>
      <c r="B112" s="21" t="n"/>
      <c r="C112" s="21" t="n"/>
      <c r="D112" s="21" t="n"/>
      <c r="E112" s="21" t="n"/>
      <c r="F112" s="22" t="n"/>
      <c r="G112" s="22" t="n"/>
      <c r="H112" s="21" t="n"/>
      <c r="I112" s="23" t="n"/>
      <c r="J112" s="23" t="n"/>
      <c r="K112" s="24" t="n"/>
      <c r="L112" s="25">
        <f>IF(ISNUMBER(J112),J112-IF(ISNUMBER(K112),K112,30),"")</f>
        <v/>
      </c>
      <c r="M112" s="26">
        <f>IF(J112="","",IF(ISNUMBER(J112),J112-TODAY(),"Check date"))</f>
        <v/>
      </c>
      <c r="N112" s="27">
        <f>IF(M112="","",IF(ISNUMBER(M112),IF(M112&lt;0,"Expired",IF(M112&lt;=30,"Due ≤30 days",IF(M112&lt;=90,"Due ≤90 days","OK"))),"Check date"))</f>
        <v/>
      </c>
      <c r="O112" s="21" t="n"/>
      <c r="P112" s="21" t="n"/>
      <c r="Q112" s="21" t="n"/>
      <c r="R112" s="21" t="n"/>
      <c r="S112" s="21" t="n"/>
    </row>
    <row r="113">
      <c r="A113" s="21" t="n"/>
      <c r="B113" s="21" t="n"/>
      <c r="C113" s="21" t="n"/>
      <c r="D113" s="21" t="n"/>
      <c r="E113" s="21" t="n"/>
      <c r="F113" s="22" t="n"/>
      <c r="G113" s="22" t="n"/>
      <c r="H113" s="21" t="n"/>
      <c r="I113" s="23" t="n"/>
      <c r="J113" s="23" t="n"/>
      <c r="K113" s="24" t="n"/>
      <c r="L113" s="25">
        <f>IF(ISNUMBER(J113),J113-IF(ISNUMBER(K113),K113,30),"")</f>
        <v/>
      </c>
      <c r="M113" s="26">
        <f>IF(J113="","",IF(ISNUMBER(J113),J113-TODAY(),"Check date"))</f>
        <v/>
      </c>
      <c r="N113" s="27">
        <f>IF(M113="","",IF(ISNUMBER(M113),IF(M113&lt;0,"Expired",IF(M113&lt;=30,"Due ≤30 days",IF(M113&lt;=90,"Due ≤90 days","OK"))),"Check date"))</f>
        <v/>
      </c>
      <c r="O113" s="21" t="n"/>
      <c r="P113" s="21" t="n"/>
      <c r="Q113" s="21" t="n"/>
      <c r="R113" s="21" t="n"/>
      <c r="S113" s="21" t="n"/>
    </row>
    <row r="114">
      <c r="A114" s="21" t="n"/>
      <c r="B114" s="21" t="n"/>
      <c r="C114" s="21" t="n"/>
      <c r="D114" s="21" t="n"/>
      <c r="E114" s="21" t="n"/>
      <c r="F114" s="22" t="n"/>
      <c r="G114" s="22" t="n"/>
      <c r="H114" s="21" t="n"/>
      <c r="I114" s="23" t="n"/>
      <c r="J114" s="23" t="n"/>
      <c r="K114" s="24" t="n"/>
      <c r="L114" s="25">
        <f>IF(ISNUMBER(J114),J114-IF(ISNUMBER(K114),K114,30),"")</f>
        <v/>
      </c>
      <c r="M114" s="26">
        <f>IF(J114="","",IF(ISNUMBER(J114),J114-TODAY(),"Check date"))</f>
        <v/>
      </c>
      <c r="N114" s="27">
        <f>IF(M114="","",IF(ISNUMBER(M114),IF(M114&lt;0,"Expired",IF(M114&lt;=30,"Due ≤30 days",IF(M114&lt;=90,"Due ≤90 days","OK"))),"Check date"))</f>
        <v/>
      </c>
      <c r="O114" s="21" t="n"/>
      <c r="P114" s="21" t="n"/>
      <c r="Q114" s="21" t="n"/>
      <c r="R114" s="21" t="n"/>
      <c r="S114" s="21" t="n"/>
    </row>
    <row r="115">
      <c r="A115" s="21" t="n"/>
      <c r="B115" s="21" t="n"/>
      <c r="C115" s="21" t="n"/>
      <c r="D115" s="21" t="n"/>
      <c r="E115" s="21" t="n"/>
      <c r="F115" s="22" t="n"/>
      <c r="G115" s="22" t="n"/>
      <c r="H115" s="21" t="n"/>
      <c r="I115" s="23" t="n"/>
      <c r="J115" s="23" t="n"/>
      <c r="K115" s="24" t="n"/>
      <c r="L115" s="25">
        <f>IF(ISNUMBER(J115),J115-IF(ISNUMBER(K115),K115,30),"")</f>
        <v/>
      </c>
      <c r="M115" s="26">
        <f>IF(J115="","",IF(ISNUMBER(J115),J115-TODAY(),"Check date"))</f>
        <v/>
      </c>
      <c r="N115" s="27">
        <f>IF(M115="","",IF(ISNUMBER(M115),IF(M115&lt;0,"Expired",IF(M115&lt;=30,"Due ≤30 days",IF(M115&lt;=90,"Due ≤90 days","OK"))),"Check date"))</f>
        <v/>
      </c>
      <c r="O115" s="21" t="n"/>
      <c r="P115" s="21" t="n"/>
      <c r="Q115" s="21" t="n"/>
      <c r="R115" s="21" t="n"/>
      <c r="S115" s="21" t="n"/>
    </row>
    <row r="116">
      <c r="A116" s="21" t="n"/>
      <c r="B116" s="21" t="n"/>
      <c r="C116" s="21" t="n"/>
      <c r="D116" s="21" t="n"/>
      <c r="E116" s="21" t="n"/>
      <c r="F116" s="22" t="n"/>
      <c r="G116" s="22" t="n"/>
      <c r="H116" s="21" t="n"/>
      <c r="I116" s="23" t="n"/>
      <c r="J116" s="23" t="n"/>
      <c r="K116" s="24" t="n"/>
      <c r="L116" s="25">
        <f>IF(ISNUMBER(J116),J116-IF(ISNUMBER(K116),K116,30),"")</f>
        <v/>
      </c>
      <c r="M116" s="26">
        <f>IF(J116="","",IF(ISNUMBER(J116),J116-TODAY(),"Check date"))</f>
        <v/>
      </c>
      <c r="N116" s="27">
        <f>IF(M116="","",IF(ISNUMBER(M116),IF(M116&lt;0,"Expired",IF(M116&lt;=30,"Due ≤30 days",IF(M116&lt;=90,"Due ≤90 days","OK"))),"Check date"))</f>
        <v/>
      </c>
      <c r="O116" s="21" t="n"/>
      <c r="P116" s="21" t="n"/>
      <c r="Q116" s="21" t="n"/>
      <c r="R116" s="21" t="n"/>
      <c r="S116" s="21" t="n"/>
    </row>
    <row r="117">
      <c r="A117" s="21" t="n"/>
      <c r="B117" s="21" t="n"/>
      <c r="C117" s="21" t="n"/>
      <c r="D117" s="21" t="n"/>
      <c r="E117" s="21" t="n"/>
      <c r="F117" s="22" t="n"/>
      <c r="G117" s="22" t="n"/>
      <c r="H117" s="21" t="n"/>
      <c r="I117" s="23" t="n"/>
      <c r="J117" s="23" t="n"/>
      <c r="K117" s="24" t="n"/>
      <c r="L117" s="25">
        <f>IF(ISNUMBER(J117),J117-IF(ISNUMBER(K117),K117,30),"")</f>
        <v/>
      </c>
      <c r="M117" s="26">
        <f>IF(J117="","",IF(ISNUMBER(J117),J117-TODAY(),"Check date"))</f>
        <v/>
      </c>
      <c r="N117" s="27">
        <f>IF(M117="","",IF(ISNUMBER(M117),IF(M117&lt;0,"Expired",IF(M117&lt;=30,"Due ≤30 days",IF(M117&lt;=90,"Due ≤90 days","OK"))),"Check date"))</f>
        <v/>
      </c>
      <c r="O117" s="21" t="n"/>
      <c r="P117" s="21" t="n"/>
      <c r="Q117" s="21" t="n"/>
      <c r="R117" s="21" t="n"/>
      <c r="S117" s="21" t="n"/>
    </row>
    <row r="118">
      <c r="A118" s="21" t="n"/>
      <c r="B118" s="21" t="n"/>
      <c r="C118" s="21" t="n"/>
      <c r="D118" s="21" t="n"/>
      <c r="E118" s="21" t="n"/>
      <c r="F118" s="22" t="n"/>
      <c r="G118" s="22" t="n"/>
      <c r="H118" s="21" t="n"/>
      <c r="I118" s="23" t="n"/>
      <c r="J118" s="23" t="n"/>
      <c r="K118" s="24" t="n"/>
      <c r="L118" s="25">
        <f>IF(ISNUMBER(J118),J118-IF(ISNUMBER(K118),K118,30),"")</f>
        <v/>
      </c>
      <c r="M118" s="26">
        <f>IF(J118="","",IF(ISNUMBER(J118),J118-TODAY(),"Check date"))</f>
        <v/>
      </c>
      <c r="N118" s="27">
        <f>IF(M118="","",IF(ISNUMBER(M118),IF(M118&lt;0,"Expired",IF(M118&lt;=30,"Due ≤30 days",IF(M118&lt;=90,"Due ≤90 days","OK"))),"Check date"))</f>
        <v/>
      </c>
      <c r="O118" s="21" t="n"/>
      <c r="P118" s="21" t="n"/>
      <c r="Q118" s="21" t="n"/>
      <c r="R118" s="21" t="n"/>
      <c r="S118" s="21" t="n"/>
    </row>
    <row r="119">
      <c r="A119" s="21" t="n"/>
      <c r="B119" s="21" t="n"/>
      <c r="C119" s="21" t="n"/>
      <c r="D119" s="21" t="n"/>
      <c r="E119" s="21" t="n"/>
      <c r="F119" s="22" t="n"/>
      <c r="G119" s="22" t="n"/>
      <c r="H119" s="21" t="n"/>
      <c r="I119" s="23" t="n"/>
      <c r="J119" s="23" t="n"/>
      <c r="K119" s="24" t="n"/>
      <c r="L119" s="25">
        <f>IF(ISNUMBER(J119),J119-IF(ISNUMBER(K119),K119,30),"")</f>
        <v/>
      </c>
      <c r="M119" s="26">
        <f>IF(J119="","",IF(ISNUMBER(J119),J119-TODAY(),"Check date"))</f>
        <v/>
      </c>
      <c r="N119" s="27">
        <f>IF(M119="","",IF(ISNUMBER(M119),IF(M119&lt;0,"Expired",IF(M119&lt;=30,"Due ≤30 days",IF(M119&lt;=90,"Due ≤90 days","OK"))),"Check date"))</f>
        <v/>
      </c>
      <c r="O119" s="21" t="n"/>
      <c r="P119" s="21" t="n"/>
      <c r="Q119" s="21" t="n"/>
      <c r="R119" s="21" t="n"/>
      <c r="S119" s="21" t="n"/>
    </row>
    <row r="120">
      <c r="A120" s="21" t="n"/>
      <c r="B120" s="21" t="n"/>
      <c r="C120" s="21" t="n"/>
      <c r="D120" s="21" t="n"/>
      <c r="E120" s="21" t="n"/>
      <c r="F120" s="22" t="n"/>
      <c r="G120" s="22" t="n"/>
      <c r="H120" s="21" t="n"/>
      <c r="I120" s="23" t="n"/>
      <c r="J120" s="23" t="n"/>
      <c r="K120" s="24" t="n"/>
      <c r="L120" s="25">
        <f>IF(ISNUMBER(J120),J120-IF(ISNUMBER(K120),K120,30),"")</f>
        <v/>
      </c>
      <c r="M120" s="26">
        <f>IF(J120="","",IF(ISNUMBER(J120),J120-TODAY(),"Check date"))</f>
        <v/>
      </c>
      <c r="N120" s="27">
        <f>IF(M120="","",IF(ISNUMBER(M120),IF(M120&lt;0,"Expired",IF(M120&lt;=30,"Due ≤30 days",IF(M120&lt;=90,"Due ≤90 days","OK"))),"Check date"))</f>
        <v/>
      </c>
      <c r="O120" s="21" t="n"/>
      <c r="P120" s="21" t="n"/>
      <c r="Q120" s="21" t="n"/>
      <c r="R120" s="21" t="n"/>
      <c r="S120" s="21" t="n"/>
    </row>
    <row r="121">
      <c r="A121" s="21" t="n"/>
      <c r="B121" s="21" t="n"/>
      <c r="C121" s="21" t="n"/>
      <c r="D121" s="21" t="n"/>
      <c r="E121" s="21" t="n"/>
      <c r="F121" s="22" t="n"/>
      <c r="G121" s="22" t="n"/>
      <c r="H121" s="21" t="n"/>
      <c r="I121" s="23" t="n"/>
      <c r="J121" s="23" t="n"/>
      <c r="K121" s="24" t="n"/>
      <c r="L121" s="25">
        <f>IF(ISNUMBER(J121),J121-IF(ISNUMBER(K121),K121,30),"")</f>
        <v/>
      </c>
      <c r="M121" s="26">
        <f>IF(J121="","",IF(ISNUMBER(J121),J121-TODAY(),"Check date"))</f>
        <v/>
      </c>
      <c r="N121" s="27">
        <f>IF(M121="","",IF(ISNUMBER(M121),IF(M121&lt;0,"Expired",IF(M121&lt;=30,"Due ≤30 days",IF(M121&lt;=90,"Due ≤90 days","OK"))),"Check date"))</f>
        <v/>
      </c>
      <c r="O121" s="21" t="n"/>
      <c r="P121" s="21" t="n"/>
      <c r="Q121" s="21" t="n"/>
      <c r="R121" s="21" t="n"/>
      <c r="S121" s="21" t="n"/>
    </row>
    <row r="122">
      <c r="A122" s="21" t="n"/>
      <c r="B122" s="21" t="n"/>
      <c r="C122" s="21" t="n"/>
      <c r="D122" s="21" t="n"/>
      <c r="E122" s="21" t="n"/>
      <c r="F122" s="22" t="n"/>
      <c r="G122" s="22" t="n"/>
      <c r="H122" s="21" t="n"/>
      <c r="I122" s="23" t="n"/>
      <c r="J122" s="23" t="n"/>
      <c r="K122" s="24" t="n"/>
      <c r="L122" s="25">
        <f>IF(ISNUMBER(J122),J122-IF(ISNUMBER(K122),K122,30),"")</f>
        <v/>
      </c>
      <c r="M122" s="26">
        <f>IF(J122="","",IF(ISNUMBER(J122),J122-TODAY(),"Check date"))</f>
        <v/>
      </c>
      <c r="N122" s="27">
        <f>IF(M122="","",IF(ISNUMBER(M122),IF(M122&lt;0,"Expired",IF(M122&lt;=30,"Due ≤30 days",IF(M122&lt;=90,"Due ≤90 days","OK"))),"Check date"))</f>
        <v/>
      </c>
      <c r="O122" s="21" t="n"/>
      <c r="P122" s="21" t="n"/>
      <c r="Q122" s="21" t="n"/>
      <c r="R122" s="21" t="n"/>
      <c r="S122" s="21" t="n"/>
    </row>
    <row r="123">
      <c r="A123" s="21" t="n"/>
      <c r="B123" s="21" t="n"/>
      <c r="C123" s="21" t="n"/>
      <c r="D123" s="21" t="n"/>
      <c r="E123" s="21" t="n"/>
      <c r="F123" s="22" t="n"/>
      <c r="G123" s="22" t="n"/>
      <c r="H123" s="21" t="n"/>
      <c r="I123" s="23" t="n"/>
      <c r="J123" s="23" t="n"/>
      <c r="K123" s="24" t="n"/>
      <c r="L123" s="25">
        <f>IF(ISNUMBER(J123),J123-IF(ISNUMBER(K123),K123,30),"")</f>
        <v/>
      </c>
      <c r="M123" s="26">
        <f>IF(J123="","",IF(ISNUMBER(J123),J123-TODAY(),"Check date"))</f>
        <v/>
      </c>
      <c r="N123" s="27">
        <f>IF(M123="","",IF(ISNUMBER(M123),IF(M123&lt;0,"Expired",IF(M123&lt;=30,"Due ≤30 days",IF(M123&lt;=90,"Due ≤90 days","OK"))),"Check date"))</f>
        <v/>
      </c>
      <c r="O123" s="21" t="n"/>
      <c r="P123" s="21" t="n"/>
      <c r="Q123" s="21" t="n"/>
      <c r="R123" s="21" t="n"/>
      <c r="S123" s="21" t="n"/>
    </row>
    <row r="124">
      <c r="A124" s="21" t="n"/>
      <c r="B124" s="21" t="n"/>
      <c r="C124" s="21" t="n"/>
      <c r="D124" s="21" t="n"/>
      <c r="E124" s="21" t="n"/>
      <c r="F124" s="22" t="n"/>
      <c r="G124" s="22" t="n"/>
      <c r="H124" s="21" t="n"/>
      <c r="I124" s="23" t="n"/>
      <c r="J124" s="23" t="n"/>
      <c r="K124" s="24" t="n"/>
      <c r="L124" s="25">
        <f>IF(ISNUMBER(J124),J124-IF(ISNUMBER(K124),K124,30),"")</f>
        <v/>
      </c>
      <c r="M124" s="26">
        <f>IF(J124="","",IF(ISNUMBER(J124),J124-TODAY(),"Check date"))</f>
        <v/>
      </c>
      <c r="N124" s="27">
        <f>IF(M124="","",IF(ISNUMBER(M124),IF(M124&lt;0,"Expired",IF(M124&lt;=30,"Due ≤30 days",IF(M124&lt;=90,"Due ≤90 days","OK"))),"Check date"))</f>
        <v/>
      </c>
      <c r="O124" s="21" t="n"/>
      <c r="P124" s="21" t="n"/>
      <c r="Q124" s="21" t="n"/>
      <c r="R124" s="21" t="n"/>
      <c r="S124" s="21" t="n"/>
    </row>
    <row r="125">
      <c r="A125" s="21" t="n"/>
      <c r="B125" s="21" t="n"/>
      <c r="C125" s="21" t="n"/>
      <c r="D125" s="21" t="n"/>
      <c r="E125" s="21" t="n"/>
      <c r="F125" s="22" t="n"/>
      <c r="G125" s="22" t="n"/>
      <c r="H125" s="21" t="n"/>
      <c r="I125" s="23" t="n"/>
      <c r="J125" s="23" t="n"/>
      <c r="K125" s="24" t="n"/>
      <c r="L125" s="25">
        <f>IF(ISNUMBER(J125),J125-IF(ISNUMBER(K125),K125,30),"")</f>
        <v/>
      </c>
      <c r="M125" s="26">
        <f>IF(J125="","",IF(ISNUMBER(J125),J125-TODAY(),"Check date"))</f>
        <v/>
      </c>
      <c r="N125" s="27">
        <f>IF(M125="","",IF(ISNUMBER(M125),IF(M125&lt;0,"Expired",IF(M125&lt;=30,"Due ≤30 days",IF(M125&lt;=90,"Due ≤90 days","OK"))),"Check date"))</f>
        <v/>
      </c>
      <c r="O125" s="21" t="n"/>
      <c r="P125" s="21" t="n"/>
      <c r="Q125" s="21" t="n"/>
      <c r="R125" s="21" t="n"/>
      <c r="S125" s="21" t="n"/>
    </row>
    <row r="126">
      <c r="A126" s="21" t="n"/>
      <c r="B126" s="21" t="n"/>
      <c r="C126" s="21" t="n"/>
      <c r="D126" s="21" t="n"/>
      <c r="E126" s="21" t="n"/>
      <c r="F126" s="22" t="n"/>
      <c r="G126" s="22" t="n"/>
      <c r="H126" s="21" t="n"/>
      <c r="I126" s="23" t="n"/>
      <c r="J126" s="23" t="n"/>
      <c r="K126" s="24" t="n"/>
      <c r="L126" s="25">
        <f>IF(ISNUMBER(J126),J126-IF(ISNUMBER(K126),K126,30),"")</f>
        <v/>
      </c>
      <c r="M126" s="26">
        <f>IF(J126="","",IF(ISNUMBER(J126),J126-TODAY(),"Check date"))</f>
        <v/>
      </c>
      <c r="N126" s="27">
        <f>IF(M126="","",IF(ISNUMBER(M126),IF(M126&lt;0,"Expired",IF(M126&lt;=30,"Due ≤30 days",IF(M126&lt;=90,"Due ≤90 days","OK"))),"Check date"))</f>
        <v/>
      </c>
      <c r="O126" s="21" t="n"/>
      <c r="P126" s="21" t="n"/>
      <c r="Q126" s="21" t="n"/>
      <c r="R126" s="21" t="n"/>
      <c r="S126" s="21" t="n"/>
    </row>
    <row r="127">
      <c r="A127" s="21" t="n"/>
      <c r="B127" s="21" t="n"/>
      <c r="C127" s="21" t="n"/>
      <c r="D127" s="21" t="n"/>
      <c r="E127" s="21" t="n"/>
      <c r="F127" s="22" t="n"/>
      <c r="G127" s="22" t="n"/>
      <c r="H127" s="21" t="n"/>
      <c r="I127" s="23" t="n"/>
      <c r="J127" s="23" t="n"/>
      <c r="K127" s="24" t="n"/>
      <c r="L127" s="25">
        <f>IF(ISNUMBER(J127),J127-IF(ISNUMBER(K127),K127,30),"")</f>
        <v/>
      </c>
      <c r="M127" s="26">
        <f>IF(J127="","",IF(ISNUMBER(J127),J127-TODAY(),"Check date"))</f>
        <v/>
      </c>
      <c r="N127" s="27">
        <f>IF(M127="","",IF(ISNUMBER(M127),IF(M127&lt;0,"Expired",IF(M127&lt;=30,"Due ≤30 days",IF(M127&lt;=90,"Due ≤90 days","OK"))),"Check date"))</f>
        <v/>
      </c>
      <c r="O127" s="21" t="n"/>
      <c r="P127" s="21" t="n"/>
      <c r="Q127" s="21" t="n"/>
      <c r="R127" s="21" t="n"/>
      <c r="S127" s="21" t="n"/>
    </row>
    <row r="128">
      <c r="A128" s="21" t="n"/>
      <c r="B128" s="21" t="n"/>
      <c r="C128" s="21" t="n"/>
      <c r="D128" s="21" t="n"/>
      <c r="E128" s="21" t="n"/>
      <c r="F128" s="22" t="n"/>
      <c r="G128" s="22" t="n"/>
      <c r="H128" s="21" t="n"/>
      <c r="I128" s="23" t="n"/>
      <c r="J128" s="23" t="n"/>
      <c r="K128" s="24" t="n"/>
      <c r="L128" s="25">
        <f>IF(ISNUMBER(J128),J128-IF(ISNUMBER(K128),K128,30),"")</f>
        <v/>
      </c>
      <c r="M128" s="26">
        <f>IF(J128="","",IF(ISNUMBER(J128),J128-TODAY(),"Check date"))</f>
        <v/>
      </c>
      <c r="N128" s="27">
        <f>IF(M128="","",IF(ISNUMBER(M128),IF(M128&lt;0,"Expired",IF(M128&lt;=30,"Due ≤30 days",IF(M128&lt;=90,"Due ≤90 days","OK"))),"Check date"))</f>
        <v/>
      </c>
      <c r="O128" s="21" t="n"/>
      <c r="P128" s="21" t="n"/>
      <c r="Q128" s="21" t="n"/>
      <c r="R128" s="21" t="n"/>
      <c r="S128" s="21" t="n"/>
    </row>
    <row r="129">
      <c r="A129" s="21" t="n"/>
      <c r="B129" s="21" t="n"/>
      <c r="C129" s="21" t="n"/>
      <c r="D129" s="21" t="n"/>
      <c r="E129" s="21" t="n"/>
      <c r="F129" s="22" t="n"/>
      <c r="G129" s="22" t="n"/>
      <c r="H129" s="21" t="n"/>
      <c r="I129" s="23" t="n"/>
      <c r="J129" s="23" t="n"/>
      <c r="K129" s="24" t="n"/>
      <c r="L129" s="25">
        <f>IF(ISNUMBER(J129),J129-IF(ISNUMBER(K129),K129,30),"")</f>
        <v/>
      </c>
      <c r="M129" s="26">
        <f>IF(J129="","",IF(ISNUMBER(J129),J129-TODAY(),"Check date"))</f>
        <v/>
      </c>
      <c r="N129" s="27">
        <f>IF(M129="","",IF(ISNUMBER(M129),IF(M129&lt;0,"Expired",IF(M129&lt;=30,"Due ≤30 days",IF(M129&lt;=90,"Due ≤90 days","OK"))),"Check date"))</f>
        <v/>
      </c>
      <c r="O129" s="21" t="n"/>
      <c r="P129" s="21" t="n"/>
      <c r="Q129" s="21" t="n"/>
      <c r="R129" s="21" t="n"/>
      <c r="S129" s="21" t="n"/>
    </row>
    <row r="130">
      <c r="A130" s="21" t="n"/>
      <c r="B130" s="21" t="n"/>
      <c r="C130" s="21" t="n"/>
      <c r="D130" s="21" t="n"/>
      <c r="E130" s="21" t="n"/>
      <c r="F130" s="22" t="n"/>
      <c r="G130" s="22" t="n"/>
      <c r="H130" s="21" t="n"/>
      <c r="I130" s="23" t="n"/>
      <c r="J130" s="23" t="n"/>
      <c r="K130" s="24" t="n"/>
      <c r="L130" s="25">
        <f>IF(ISNUMBER(J130),J130-IF(ISNUMBER(K130),K130,30),"")</f>
        <v/>
      </c>
      <c r="M130" s="26">
        <f>IF(J130="","",IF(ISNUMBER(J130),J130-TODAY(),"Check date"))</f>
        <v/>
      </c>
      <c r="N130" s="27">
        <f>IF(M130="","",IF(ISNUMBER(M130),IF(M130&lt;0,"Expired",IF(M130&lt;=30,"Due ≤30 days",IF(M130&lt;=90,"Due ≤90 days","OK"))),"Check date"))</f>
        <v/>
      </c>
      <c r="O130" s="21" t="n"/>
      <c r="P130" s="21" t="n"/>
      <c r="Q130" s="21" t="n"/>
      <c r="R130" s="21" t="n"/>
      <c r="S130" s="21" t="n"/>
    </row>
    <row r="131">
      <c r="A131" s="21" t="n"/>
      <c r="B131" s="21" t="n"/>
      <c r="C131" s="21" t="n"/>
      <c r="D131" s="21" t="n"/>
      <c r="E131" s="21" t="n"/>
      <c r="F131" s="22" t="n"/>
      <c r="G131" s="22" t="n"/>
      <c r="H131" s="21" t="n"/>
      <c r="I131" s="23" t="n"/>
      <c r="J131" s="23" t="n"/>
      <c r="K131" s="24" t="n"/>
      <c r="L131" s="25">
        <f>IF(ISNUMBER(J131),J131-IF(ISNUMBER(K131),K131,30),"")</f>
        <v/>
      </c>
      <c r="M131" s="26">
        <f>IF(J131="","",IF(ISNUMBER(J131),J131-TODAY(),"Check date"))</f>
        <v/>
      </c>
      <c r="N131" s="27">
        <f>IF(M131="","",IF(ISNUMBER(M131),IF(M131&lt;0,"Expired",IF(M131&lt;=30,"Due ≤30 days",IF(M131&lt;=90,"Due ≤90 days","OK"))),"Check date"))</f>
        <v/>
      </c>
      <c r="O131" s="21" t="n"/>
      <c r="P131" s="21" t="n"/>
      <c r="Q131" s="21" t="n"/>
      <c r="R131" s="21" t="n"/>
      <c r="S131" s="21" t="n"/>
    </row>
    <row r="132">
      <c r="A132" s="21" t="n"/>
      <c r="B132" s="21" t="n"/>
      <c r="C132" s="21" t="n"/>
      <c r="D132" s="21" t="n"/>
      <c r="E132" s="21" t="n"/>
      <c r="F132" s="22" t="n"/>
      <c r="G132" s="22" t="n"/>
      <c r="H132" s="21" t="n"/>
      <c r="I132" s="23" t="n"/>
      <c r="J132" s="23" t="n"/>
      <c r="K132" s="24" t="n"/>
      <c r="L132" s="25">
        <f>IF(ISNUMBER(J132),J132-IF(ISNUMBER(K132),K132,30),"")</f>
        <v/>
      </c>
      <c r="M132" s="26">
        <f>IF(J132="","",IF(ISNUMBER(J132),J132-TODAY(),"Check date"))</f>
        <v/>
      </c>
      <c r="N132" s="27">
        <f>IF(M132="","",IF(ISNUMBER(M132),IF(M132&lt;0,"Expired",IF(M132&lt;=30,"Due ≤30 days",IF(M132&lt;=90,"Due ≤90 days","OK"))),"Check date"))</f>
        <v/>
      </c>
      <c r="O132" s="21" t="n"/>
      <c r="P132" s="21" t="n"/>
      <c r="Q132" s="21" t="n"/>
      <c r="R132" s="21" t="n"/>
      <c r="S132" s="21" t="n"/>
    </row>
    <row r="133">
      <c r="A133" s="21" t="n"/>
      <c r="B133" s="21" t="n"/>
      <c r="C133" s="21" t="n"/>
      <c r="D133" s="21" t="n"/>
      <c r="E133" s="21" t="n"/>
      <c r="F133" s="22" t="n"/>
      <c r="G133" s="22" t="n"/>
      <c r="H133" s="21" t="n"/>
      <c r="I133" s="23" t="n"/>
      <c r="J133" s="23" t="n"/>
      <c r="K133" s="24" t="n"/>
      <c r="L133" s="25">
        <f>IF(ISNUMBER(J133),J133-IF(ISNUMBER(K133),K133,30),"")</f>
        <v/>
      </c>
      <c r="M133" s="26">
        <f>IF(J133="","",IF(ISNUMBER(J133),J133-TODAY(),"Check date"))</f>
        <v/>
      </c>
      <c r="N133" s="27">
        <f>IF(M133="","",IF(ISNUMBER(M133),IF(M133&lt;0,"Expired",IF(M133&lt;=30,"Due ≤30 days",IF(M133&lt;=90,"Due ≤90 days","OK"))),"Check date"))</f>
        <v/>
      </c>
      <c r="O133" s="21" t="n"/>
      <c r="P133" s="21" t="n"/>
      <c r="Q133" s="21" t="n"/>
      <c r="R133" s="21" t="n"/>
      <c r="S133" s="21" t="n"/>
    </row>
    <row r="134">
      <c r="A134" s="21" t="n"/>
      <c r="B134" s="21" t="n"/>
      <c r="C134" s="21" t="n"/>
      <c r="D134" s="21" t="n"/>
      <c r="E134" s="21" t="n"/>
      <c r="F134" s="22" t="n"/>
      <c r="G134" s="22" t="n"/>
      <c r="H134" s="21" t="n"/>
      <c r="I134" s="23" t="n"/>
      <c r="J134" s="23" t="n"/>
      <c r="K134" s="24" t="n"/>
      <c r="L134" s="25">
        <f>IF(ISNUMBER(J134),J134-IF(ISNUMBER(K134),K134,30),"")</f>
        <v/>
      </c>
      <c r="M134" s="26">
        <f>IF(J134="","",IF(ISNUMBER(J134),J134-TODAY(),"Check date"))</f>
        <v/>
      </c>
      <c r="N134" s="27">
        <f>IF(M134="","",IF(ISNUMBER(M134),IF(M134&lt;0,"Expired",IF(M134&lt;=30,"Due ≤30 days",IF(M134&lt;=90,"Due ≤90 days","OK"))),"Check date"))</f>
        <v/>
      </c>
      <c r="O134" s="21" t="n"/>
      <c r="P134" s="21" t="n"/>
      <c r="Q134" s="21" t="n"/>
      <c r="R134" s="21" t="n"/>
      <c r="S134" s="21" t="n"/>
    </row>
    <row r="135">
      <c r="A135" s="21" t="n"/>
      <c r="B135" s="21" t="n"/>
      <c r="C135" s="21" t="n"/>
      <c r="D135" s="21" t="n"/>
      <c r="E135" s="21" t="n"/>
      <c r="F135" s="22" t="n"/>
      <c r="G135" s="22" t="n"/>
      <c r="H135" s="21" t="n"/>
      <c r="I135" s="23" t="n"/>
      <c r="J135" s="23" t="n"/>
      <c r="K135" s="24" t="n"/>
      <c r="L135" s="25">
        <f>IF(ISNUMBER(J135),J135-IF(ISNUMBER(K135),K135,30),"")</f>
        <v/>
      </c>
      <c r="M135" s="26">
        <f>IF(J135="","",IF(ISNUMBER(J135),J135-TODAY(),"Check date"))</f>
        <v/>
      </c>
      <c r="N135" s="27">
        <f>IF(M135="","",IF(ISNUMBER(M135),IF(M135&lt;0,"Expired",IF(M135&lt;=30,"Due ≤30 days",IF(M135&lt;=90,"Due ≤90 days","OK"))),"Check date"))</f>
        <v/>
      </c>
      <c r="O135" s="21" t="n"/>
      <c r="P135" s="21" t="n"/>
      <c r="Q135" s="21" t="n"/>
      <c r="R135" s="21" t="n"/>
      <c r="S135" s="21" t="n"/>
    </row>
    <row r="136">
      <c r="A136" s="21" t="n"/>
      <c r="B136" s="21" t="n"/>
      <c r="C136" s="21" t="n"/>
      <c r="D136" s="21" t="n"/>
      <c r="E136" s="21" t="n"/>
      <c r="F136" s="22" t="n"/>
      <c r="G136" s="22" t="n"/>
      <c r="H136" s="21" t="n"/>
      <c r="I136" s="23" t="n"/>
      <c r="J136" s="23" t="n"/>
      <c r="K136" s="24" t="n"/>
      <c r="L136" s="25">
        <f>IF(ISNUMBER(J136),J136-IF(ISNUMBER(K136),K136,30),"")</f>
        <v/>
      </c>
      <c r="M136" s="26">
        <f>IF(J136="","",IF(ISNUMBER(J136),J136-TODAY(),"Check date"))</f>
        <v/>
      </c>
      <c r="N136" s="27">
        <f>IF(M136="","",IF(ISNUMBER(M136),IF(M136&lt;0,"Expired",IF(M136&lt;=30,"Due ≤30 days",IF(M136&lt;=90,"Due ≤90 days","OK"))),"Check date"))</f>
        <v/>
      </c>
      <c r="O136" s="21" t="n"/>
      <c r="P136" s="21" t="n"/>
      <c r="Q136" s="21" t="n"/>
      <c r="R136" s="21" t="n"/>
      <c r="S136" s="21" t="n"/>
    </row>
    <row r="137">
      <c r="A137" s="21" t="n"/>
      <c r="B137" s="21" t="n"/>
      <c r="C137" s="21" t="n"/>
      <c r="D137" s="21" t="n"/>
      <c r="E137" s="21" t="n"/>
      <c r="F137" s="22" t="n"/>
      <c r="G137" s="22" t="n"/>
      <c r="H137" s="21" t="n"/>
      <c r="I137" s="23" t="n"/>
      <c r="J137" s="23" t="n"/>
      <c r="K137" s="24" t="n"/>
      <c r="L137" s="25">
        <f>IF(ISNUMBER(J137),J137-IF(ISNUMBER(K137),K137,30),"")</f>
        <v/>
      </c>
      <c r="M137" s="26">
        <f>IF(J137="","",IF(ISNUMBER(J137),J137-TODAY(),"Check date"))</f>
        <v/>
      </c>
      <c r="N137" s="27">
        <f>IF(M137="","",IF(ISNUMBER(M137),IF(M137&lt;0,"Expired",IF(M137&lt;=30,"Due ≤30 days",IF(M137&lt;=90,"Due ≤90 days","OK"))),"Check date"))</f>
        <v/>
      </c>
      <c r="O137" s="21" t="n"/>
      <c r="P137" s="21" t="n"/>
      <c r="Q137" s="21" t="n"/>
      <c r="R137" s="21" t="n"/>
      <c r="S137" s="21" t="n"/>
    </row>
    <row r="138">
      <c r="A138" s="21" t="n"/>
      <c r="B138" s="21" t="n"/>
      <c r="C138" s="21" t="n"/>
      <c r="D138" s="21" t="n"/>
      <c r="E138" s="21" t="n"/>
      <c r="F138" s="22" t="n"/>
      <c r="G138" s="22" t="n"/>
      <c r="H138" s="21" t="n"/>
      <c r="I138" s="23" t="n"/>
      <c r="J138" s="23" t="n"/>
      <c r="K138" s="24" t="n"/>
      <c r="L138" s="25">
        <f>IF(ISNUMBER(J138),J138-IF(ISNUMBER(K138),K138,30),"")</f>
        <v/>
      </c>
      <c r="M138" s="26">
        <f>IF(J138="","",IF(ISNUMBER(J138),J138-TODAY(),"Check date"))</f>
        <v/>
      </c>
      <c r="N138" s="27">
        <f>IF(M138="","",IF(ISNUMBER(M138),IF(M138&lt;0,"Expired",IF(M138&lt;=30,"Due ≤30 days",IF(M138&lt;=90,"Due ≤90 days","OK"))),"Check date"))</f>
        <v/>
      </c>
      <c r="O138" s="21" t="n"/>
      <c r="P138" s="21" t="n"/>
      <c r="Q138" s="21" t="n"/>
      <c r="R138" s="21" t="n"/>
      <c r="S138" s="21" t="n"/>
    </row>
    <row r="139">
      <c r="A139" s="21" t="n"/>
      <c r="B139" s="21" t="n"/>
      <c r="C139" s="21" t="n"/>
      <c r="D139" s="21" t="n"/>
      <c r="E139" s="21" t="n"/>
      <c r="F139" s="22" t="n"/>
      <c r="G139" s="22" t="n"/>
      <c r="H139" s="21" t="n"/>
      <c r="I139" s="23" t="n"/>
      <c r="J139" s="23" t="n"/>
      <c r="K139" s="24" t="n"/>
      <c r="L139" s="25">
        <f>IF(ISNUMBER(J139),J139-IF(ISNUMBER(K139),K139,30),"")</f>
        <v/>
      </c>
      <c r="M139" s="26">
        <f>IF(J139="","",IF(ISNUMBER(J139),J139-TODAY(),"Check date"))</f>
        <v/>
      </c>
      <c r="N139" s="27">
        <f>IF(M139="","",IF(ISNUMBER(M139),IF(M139&lt;0,"Expired",IF(M139&lt;=30,"Due ≤30 days",IF(M139&lt;=90,"Due ≤90 days","OK"))),"Check date"))</f>
        <v/>
      </c>
      <c r="O139" s="21" t="n"/>
      <c r="P139" s="21" t="n"/>
      <c r="Q139" s="21" t="n"/>
      <c r="R139" s="21" t="n"/>
      <c r="S139" s="21" t="n"/>
    </row>
    <row r="140">
      <c r="A140" s="21" t="n"/>
      <c r="B140" s="21" t="n"/>
      <c r="C140" s="21" t="n"/>
      <c r="D140" s="21" t="n"/>
      <c r="E140" s="21" t="n"/>
      <c r="F140" s="22" t="n"/>
      <c r="G140" s="22" t="n"/>
      <c r="H140" s="21" t="n"/>
      <c r="I140" s="23" t="n"/>
      <c r="J140" s="23" t="n"/>
      <c r="K140" s="24" t="n"/>
      <c r="L140" s="25">
        <f>IF(ISNUMBER(J140),J140-IF(ISNUMBER(K140),K140,30),"")</f>
        <v/>
      </c>
      <c r="M140" s="26">
        <f>IF(J140="","",IF(ISNUMBER(J140),J140-TODAY(),"Check date"))</f>
        <v/>
      </c>
      <c r="N140" s="27">
        <f>IF(M140="","",IF(ISNUMBER(M140),IF(M140&lt;0,"Expired",IF(M140&lt;=30,"Due ≤30 days",IF(M140&lt;=90,"Due ≤90 days","OK"))),"Check date"))</f>
        <v/>
      </c>
      <c r="O140" s="21" t="n"/>
      <c r="P140" s="21" t="n"/>
      <c r="Q140" s="21" t="n"/>
      <c r="R140" s="21" t="n"/>
      <c r="S140" s="21" t="n"/>
    </row>
    <row r="141">
      <c r="A141" s="21" t="n"/>
      <c r="B141" s="21" t="n"/>
      <c r="C141" s="21" t="n"/>
      <c r="D141" s="21" t="n"/>
      <c r="E141" s="21" t="n"/>
      <c r="F141" s="22" t="n"/>
      <c r="G141" s="22" t="n"/>
      <c r="H141" s="21" t="n"/>
      <c r="I141" s="23" t="n"/>
      <c r="J141" s="23" t="n"/>
      <c r="K141" s="24" t="n"/>
      <c r="L141" s="25">
        <f>IF(ISNUMBER(J141),J141-IF(ISNUMBER(K141),K141,30),"")</f>
        <v/>
      </c>
      <c r="M141" s="26">
        <f>IF(J141="","",IF(ISNUMBER(J141),J141-TODAY(),"Check date"))</f>
        <v/>
      </c>
      <c r="N141" s="27">
        <f>IF(M141="","",IF(ISNUMBER(M141),IF(M141&lt;0,"Expired",IF(M141&lt;=30,"Due ≤30 days",IF(M141&lt;=90,"Due ≤90 days","OK"))),"Check date"))</f>
        <v/>
      </c>
      <c r="O141" s="21" t="n"/>
      <c r="P141" s="21" t="n"/>
      <c r="Q141" s="21" t="n"/>
      <c r="R141" s="21" t="n"/>
      <c r="S141" s="21" t="n"/>
    </row>
    <row r="142">
      <c r="A142" s="21" t="n"/>
      <c r="B142" s="21" t="n"/>
      <c r="C142" s="21" t="n"/>
      <c r="D142" s="21" t="n"/>
      <c r="E142" s="21" t="n"/>
      <c r="F142" s="22" t="n"/>
      <c r="G142" s="22" t="n"/>
      <c r="H142" s="21" t="n"/>
      <c r="I142" s="23" t="n"/>
      <c r="J142" s="23" t="n"/>
      <c r="K142" s="24" t="n"/>
      <c r="L142" s="25">
        <f>IF(ISNUMBER(J142),J142-IF(ISNUMBER(K142),K142,30),"")</f>
        <v/>
      </c>
      <c r="M142" s="26">
        <f>IF(J142="","",IF(ISNUMBER(J142),J142-TODAY(),"Check date"))</f>
        <v/>
      </c>
      <c r="N142" s="27">
        <f>IF(M142="","",IF(ISNUMBER(M142),IF(M142&lt;0,"Expired",IF(M142&lt;=30,"Due ≤30 days",IF(M142&lt;=90,"Due ≤90 days","OK"))),"Check date"))</f>
        <v/>
      </c>
      <c r="O142" s="21" t="n"/>
      <c r="P142" s="21" t="n"/>
      <c r="Q142" s="21" t="n"/>
      <c r="R142" s="21" t="n"/>
      <c r="S142" s="21" t="n"/>
    </row>
    <row r="143">
      <c r="A143" s="21" t="n"/>
      <c r="B143" s="21" t="n"/>
      <c r="C143" s="21" t="n"/>
      <c r="D143" s="21" t="n"/>
      <c r="E143" s="21" t="n"/>
      <c r="F143" s="22" t="n"/>
      <c r="G143" s="22" t="n"/>
      <c r="H143" s="21" t="n"/>
      <c r="I143" s="23" t="n"/>
      <c r="J143" s="23" t="n"/>
      <c r="K143" s="24" t="n"/>
      <c r="L143" s="25">
        <f>IF(ISNUMBER(J143),J143-IF(ISNUMBER(K143),K143,30),"")</f>
        <v/>
      </c>
      <c r="M143" s="26">
        <f>IF(J143="","",IF(ISNUMBER(J143),J143-TODAY(),"Check date"))</f>
        <v/>
      </c>
      <c r="N143" s="27">
        <f>IF(M143="","",IF(ISNUMBER(M143),IF(M143&lt;0,"Expired",IF(M143&lt;=30,"Due ≤30 days",IF(M143&lt;=90,"Due ≤90 days","OK"))),"Check date"))</f>
        <v/>
      </c>
      <c r="O143" s="21" t="n"/>
      <c r="P143" s="21" t="n"/>
      <c r="Q143" s="21" t="n"/>
      <c r="R143" s="21" t="n"/>
      <c r="S143" s="21" t="n"/>
    </row>
    <row r="144">
      <c r="A144" s="21" t="n"/>
      <c r="B144" s="21" t="n"/>
      <c r="C144" s="21" t="n"/>
      <c r="D144" s="21" t="n"/>
      <c r="E144" s="21" t="n"/>
      <c r="F144" s="22" t="n"/>
      <c r="G144" s="22" t="n"/>
      <c r="H144" s="21" t="n"/>
      <c r="I144" s="23" t="n"/>
      <c r="J144" s="23" t="n"/>
      <c r="K144" s="24" t="n"/>
      <c r="L144" s="25">
        <f>IF(ISNUMBER(J144),J144-IF(ISNUMBER(K144),K144,30),"")</f>
        <v/>
      </c>
      <c r="M144" s="26">
        <f>IF(J144="","",IF(ISNUMBER(J144),J144-TODAY(),"Check date"))</f>
        <v/>
      </c>
      <c r="N144" s="27">
        <f>IF(M144="","",IF(ISNUMBER(M144),IF(M144&lt;0,"Expired",IF(M144&lt;=30,"Due ≤30 days",IF(M144&lt;=90,"Due ≤90 days","OK"))),"Check date"))</f>
        <v/>
      </c>
      <c r="O144" s="21" t="n"/>
      <c r="P144" s="21" t="n"/>
      <c r="Q144" s="21" t="n"/>
      <c r="R144" s="21" t="n"/>
      <c r="S144" s="21" t="n"/>
    </row>
    <row r="145">
      <c r="A145" s="21" t="n"/>
      <c r="B145" s="21" t="n"/>
      <c r="C145" s="21" t="n"/>
      <c r="D145" s="21" t="n"/>
      <c r="E145" s="21" t="n"/>
      <c r="F145" s="22" t="n"/>
      <c r="G145" s="22" t="n"/>
      <c r="H145" s="21" t="n"/>
      <c r="I145" s="23" t="n"/>
      <c r="J145" s="23" t="n"/>
      <c r="K145" s="24" t="n"/>
      <c r="L145" s="25">
        <f>IF(ISNUMBER(J145),J145-IF(ISNUMBER(K145),K145,30),"")</f>
        <v/>
      </c>
      <c r="M145" s="26">
        <f>IF(J145="","",IF(ISNUMBER(J145),J145-TODAY(),"Check date"))</f>
        <v/>
      </c>
      <c r="N145" s="27">
        <f>IF(M145="","",IF(ISNUMBER(M145),IF(M145&lt;0,"Expired",IF(M145&lt;=30,"Due ≤30 days",IF(M145&lt;=90,"Due ≤90 days","OK"))),"Check date"))</f>
        <v/>
      </c>
      <c r="O145" s="21" t="n"/>
      <c r="P145" s="21" t="n"/>
      <c r="Q145" s="21" t="n"/>
      <c r="R145" s="21" t="n"/>
      <c r="S145" s="21" t="n"/>
    </row>
    <row r="146">
      <c r="A146" s="21" t="n"/>
      <c r="B146" s="21" t="n"/>
      <c r="C146" s="21" t="n"/>
      <c r="D146" s="21" t="n"/>
      <c r="E146" s="21" t="n"/>
      <c r="F146" s="22" t="n"/>
      <c r="G146" s="22" t="n"/>
      <c r="H146" s="21" t="n"/>
      <c r="I146" s="23" t="n"/>
      <c r="J146" s="23" t="n"/>
      <c r="K146" s="24" t="n"/>
      <c r="L146" s="25">
        <f>IF(ISNUMBER(J146),J146-IF(ISNUMBER(K146),K146,30),"")</f>
        <v/>
      </c>
      <c r="M146" s="26">
        <f>IF(J146="","",IF(ISNUMBER(J146),J146-TODAY(),"Check date"))</f>
        <v/>
      </c>
      <c r="N146" s="27">
        <f>IF(M146="","",IF(ISNUMBER(M146),IF(M146&lt;0,"Expired",IF(M146&lt;=30,"Due ≤30 days",IF(M146&lt;=90,"Due ≤90 days","OK"))),"Check date"))</f>
        <v/>
      </c>
      <c r="O146" s="21" t="n"/>
      <c r="P146" s="21" t="n"/>
      <c r="Q146" s="21" t="n"/>
      <c r="R146" s="21" t="n"/>
      <c r="S146" s="21" t="n"/>
    </row>
    <row r="147">
      <c r="A147" s="21" t="n"/>
      <c r="B147" s="21" t="n"/>
      <c r="C147" s="21" t="n"/>
      <c r="D147" s="21" t="n"/>
      <c r="E147" s="21" t="n"/>
      <c r="F147" s="22" t="n"/>
      <c r="G147" s="22" t="n"/>
      <c r="H147" s="21" t="n"/>
      <c r="I147" s="23" t="n"/>
      <c r="J147" s="23" t="n"/>
      <c r="K147" s="24" t="n"/>
      <c r="L147" s="25">
        <f>IF(ISNUMBER(J147),J147-IF(ISNUMBER(K147),K147,30),"")</f>
        <v/>
      </c>
      <c r="M147" s="26">
        <f>IF(J147="","",IF(ISNUMBER(J147),J147-TODAY(),"Check date"))</f>
        <v/>
      </c>
      <c r="N147" s="27">
        <f>IF(M147="","",IF(ISNUMBER(M147),IF(M147&lt;0,"Expired",IF(M147&lt;=30,"Due ≤30 days",IF(M147&lt;=90,"Due ≤90 days","OK"))),"Check date"))</f>
        <v/>
      </c>
      <c r="O147" s="21" t="n"/>
      <c r="P147" s="21" t="n"/>
      <c r="Q147" s="21" t="n"/>
      <c r="R147" s="21" t="n"/>
      <c r="S147" s="21" t="n"/>
    </row>
    <row r="148">
      <c r="A148" s="21" t="n"/>
      <c r="B148" s="21" t="n"/>
      <c r="C148" s="21" t="n"/>
      <c r="D148" s="21" t="n"/>
      <c r="E148" s="21" t="n"/>
      <c r="F148" s="22" t="n"/>
      <c r="G148" s="22" t="n"/>
      <c r="H148" s="21" t="n"/>
      <c r="I148" s="23" t="n"/>
      <c r="J148" s="23" t="n"/>
      <c r="K148" s="24" t="n"/>
      <c r="L148" s="25">
        <f>IF(ISNUMBER(J148),J148-IF(ISNUMBER(K148),K148,30),"")</f>
        <v/>
      </c>
      <c r="M148" s="26">
        <f>IF(J148="","",IF(ISNUMBER(J148),J148-TODAY(),"Check date"))</f>
        <v/>
      </c>
      <c r="N148" s="27">
        <f>IF(M148="","",IF(ISNUMBER(M148),IF(M148&lt;0,"Expired",IF(M148&lt;=30,"Due ≤30 days",IF(M148&lt;=90,"Due ≤90 days","OK"))),"Check date"))</f>
        <v/>
      </c>
      <c r="O148" s="21" t="n"/>
      <c r="P148" s="21" t="n"/>
      <c r="Q148" s="21" t="n"/>
      <c r="R148" s="21" t="n"/>
      <c r="S148" s="21" t="n"/>
    </row>
    <row r="149">
      <c r="A149" s="21" t="n"/>
      <c r="B149" s="21" t="n"/>
      <c r="C149" s="21" t="n"/>
      <c r="D149" s="21" t="n"/>
      <c r="E149" s="21" t="n"/>
      <c r="F149" s="22" t="n"/>
      <c r="G149" s="22" t="n"/>
      <c r="H149" s="21" t="n"/>
      <c r="I149" s="23" t="n"/>
      <c r="J149" s="23" t="n"/>
      <c r="K149" s="24" t="n"/>
      <c r="L149" s="25">
        <f>IF(ISNUMBER(J149),J149-IF(ISNUMBER(K149),K149,30),"")</f>
        <v/>
      </c>
      <c r="M149" s="26">
        <f>IF(J149="","",IF(ISNUMBER(J149),J149-TODAY(),"Check date"))</f>
        <v/>
      </c>
      <c r="N149" s="27">
        <f>IF(M149="","",IF(ISNUMBER(M149),IF(M149&lt;0,"Expired",IF(M149&lt;=30,"Due ≤30 days",IF(M149&lt;=90,"Due ≤90 days","OK"))),"Check date"))</f>
        <v/>
      </c>
      <c r="O149" s="21" t="n"/>
      <c r="P149" s="21" t="n"/>
      <c r="Q149" s="21" t="n"/>
      <c r="R149" s="21" t="n"/>
      <c r="S149" s="21" t="n"/>
    </row>
    <row r="150">
      <c r="A150" s="21" t="n"/>
      <c r="B150" s="21" t="n"/>
      <c r="C150" s="21" t="n"/>
      <c r="D150" s="21" t="n"/>
      <c r="E150" s="21" t="n"/>
      <c r="F150" s="22" t="n"/>
      <c r="G150" s="22" t="n"/>
      <c r="H150" s="21" t="n"/>
      <c r="I150" s="23" t="n"/>
      <c r="J150" s="23" t="n"/>
      <c r="K150" s="24" t="n"/>
      <c r="L150" s="25">
        <f>IF(ISNUMBER(J150),J150-IF(ISNUMBER(K150),K150,30),"")</f>
        <v/>
      </c>
      <c r="M150" s="26">
        <f>IF(J150="","",IF(ISNUMBER(J150),J150-TODAY(),"Check date"))</f>
        <v/>
      </c>
      <c r="N150" s="27">
        <f>IF(M150="","",IF(ISNUMBER(M150),IF(M150&lt;0,"Expired",IF(M150&lt;=30,"Due ≤30 days",IF(M150&lt;=90,"Due ≤90 days","OK"))),"Check date"))</f>
        <v/>
      </c>
      <c r="O150" s="21" t="n"/>
      <c r="P150" s="21" t="n"/>
      <c r="Q150" s="21" t="n"/>
      <c r="R150" s="21" t="n"/>
      <c r="S150" s="21" t="n"/>
    </row>
    <row r="151">
      <c r="A151" s="21" t="n"/>
      <c r="B151" s="21" t="n"/>
      <c r="C151" s="21" t="n"/>
      <c r="D151" s="21" t="n"/>
      <c r="E151" s="21" t="n"/>
      <c r="F151" s="22" t="n"/>
      <c r="G151" s="22" t="n"/>
      <c r="H151" s="21" t="n"/>
      <c r="I151" s="23" t="n"/>
      <c r="J151" s="23" t="n"/>
      <c r="K151" s="24" t="n"/>
      <c r="L151" s="25">
        <f>IF(ISNUMBER(J151),J151-IF(ISNUMBER(K151),K151,30),"")</f>
        <v/>
      </c>
      <c r="M151" s="26">
        <f>IF(J151="","",IF(ISNUMBER(J151),J151-TODAY(),"Check date"))</f>
        <v/>
      </c>
      <c r="N151" s="27">
        <f>IF(M151="","",IF(ISNUMBER(M151),IF(M151&lt;0,"Expired",IF(M151&lt;=30,"Due ≤30 days",IF(M151&lt;=90,"Due ≤90 days","OK"))),"Check date"))</f>
        <v/>
      </c>
      <c r="O151" s="21" t="n"/>
      <c r="P151" s="21" t="n"/>
      <c r="Q151" s="21" t="n"/>
      <c r="R151" s="21" t="n"/>
      <c r="S151" s="21" t="n"/>
    </row>
    <row r="152">
      <c r="A152" s="21" t="n"/>
      <c r="B152" s="21" t="n"/>
      <c r="C152" s="21" t="n"/>
      <c r="D152" s="21" t="n"/>
      <c r="E152" s="21" t="n"/>
      <c r="F152" s="22" t="n"/>
      <c r="G152" s="22" t="n"/>
      <c r="H152" s="21" t="n"/>
      <c r="I152" s="23" t="n"/>
      <c r="J152" s="23" t="n"/>
      <c r="K152" s="24" t="n"/>
      <c r="L152" s="25">
        <f>IF(ISNUMBER(J152),J152-IF(ISNUMBER(K152),K152,30),"")</f>
        <v/>
      </c>
      <c r="M152" s="26">
        <f>IF(J152="","",IF(ISNUMBER(J152),J152-TODAY(),"Check date"))</f>
        <v/>
      </c>
      <c r="N152" s="27">
        <f>IF(M152="","",IF(ISNUMBER(M152),IF(M152&lt;0,"Expired",IF(M152&lt;=30,"Due ≤30 days",IF(M152&lt;=90,"Due ≤90 days","OK"))),"Check date"))</f>
        <v/>
      </c>
      <c r="O152" s="21" t="n"/>
      <c r="P152" s="21" t="n"/>
      <c r="Q152" s="21" t="n"/>
      <c r="R152" s="21" t="n"/>
      <c r="S152" s="21" t="n"/>
    </row>
    <row r="153">
      <c r="A153" s="21" t="n"/>
      <c r="B153" s="21" t="n"/>
      <c r="C153" s="21" t="n"/>
      <c r="D153" s="21" t="n"/>
      <c r="E153" s="21" t="n"/>
      <c r="F153" s="22" t="n"/>
      <c r="G153" s="22" t="n"/>
      <c r="H153" s="21" t="n"/>
      <c r="I153" s="23" t="n"/>
      <c r="J153" s="23" t="n"/>
      <c r="K153" s="24" t="n"/>
      <c r="L153" s="25">
        <f>IF(ISNUMBER(J153),J153-IF(ISNUMBER(K153),K153,30),"")</f>
        <v/>
      </c>
      <c r="M153" s="26">
        <f>IF(J153="","",IF(ISNUMBER(J153),J153-TODAY(),"Check date"))</f>
        <v/>
      </c>
      <c r="N153" s="27">
        <f>IF(M153="","",IF(ISNUMBER(M153),IF(M153&lt;0,"Expired",IF(M153&lt;=30,"Due ≤30 days",IF(M153&lt;=90,"Due ≤90 days","OK"))),"Check date"))</f>
        <v/>
      </c>
      <c r="O153" s="21" t="n"/>
      <c r="P153" s="21" t="n"/>
      <c r="Q153" s="21" t="n"/>
      <c r="R153" s="21" t="n"/>
      <c r="S153" s="21" t="n"/>
    </row>
    <row r="154">
      <c r="A154" s="21" t="n"/>
      <c r="B154" s="21" t="n"/>
      <c r="C154" s="21" t="n"/>
      <c r="D154" s="21" t="n"/>
      <c r="E154" s="21" t="n"/>
      <c r="F154" s="22" t="n"/>
      <c r="G154" s="22" t="n"/>
      <c r="H154" s="21" t="n"/>
      <c r="I154" s="23" t="n"/>
      <c r="J154" s="23" t="n"/>
      <c r="K154" s="24" t="n"/>
      <c r="L154" s="25">
        <f>IF(ISNUMBER(J154),J154-IF(ISNUMBER(K154),K154,30),"")</f>
        <v/>
      </c>
      <c r="M154" s="26">
        <f>IF(J154="","",IF(ISNUMBER(J154),J154-TODAY(),"Check date"))</f>
        <v/>
      </c>
      <c r="N154" s="27">
        <f>IF(M154="","",IF(ISNUMBER(M154),IF(M154&lt;0,"Expired",IF(M154&lt;=30,"Due ≤30 days",IF(M154&lt;=90,"Due ≤90 days","OK"))),"Check date"))</f>
        <v/>
      </c>
      <c r="O154" s="21" t="n"/>
      <c r="P154" s="21" t="n"/>
      <c r="Q154" s="21" t="n"/>
      <c r="R154" s="21" t="n"/>
      <c r="S154" s="21" t="n"/>
    </row>
    <row r="155">
      <c r="A155" s="21" t="n"/>
      <c r="B155" s="21" t="n"/>
      <c r="C155" s="21" t="n"/>
      <c r="D155" s="21" t="n"/>
      <c r="E155" s="21" t="n"/>
      <c r="F155" s="22" t="n"/>
      <c r="G155" s="22" t="n"/>
      <c r="H155" s="21" t="n"/>
      <c r="I155" s="23" t="n"/>
      <c r="J155" s="23" t="n"/>
      <c r="K155" s="24" t="n"/>
      <c r="L155" s="25">
        <f>IF(ISNUMBER(J155),J155-IF(ISNUMBER(K155),K155,30),"")</f>
        <v/>
      </c>
      <c r="M155" s="26">
        <f>IF(J155="","",IF(ISNUMBER(J155),J155-TODAY(),"Check date"))</f>
        <v/>
      </c>
      <c r="N155" s="27">
        <f>IF(M155="","",IF(ISNUMBER(M155),IF(M155&lt;0,"Expired",IF(M155&lt;=30,"Due ≤30 days",IF(M155&lt;=90,"Due ≤90 days","OK"))),"Check date"))</f>
        <v/>
      </c>
      <c r="O155" s="21" t="n"/>
      <c r="P155" s="21" t="n"/>
      <c r="Q155" s="21" t="n"/>
      <c r="R155" s="21" t="n"/>
      <c r="S155" s="21" t="n"/>
    </row>
    <row r="156">
      <c r="A156" s="21" t="n"/>
      <c r="B156" s="21" t="n"/>
      <c r="C156" s="21" t="n"/>
      <c r="D156" s="21" t="n"/>
      <c r="E156" s="21" t="n"/>
      <c r="F156" s="22" t="n"/>
      <c r="G156" s="22" t="n"/>
      <c r="H156" s="21" t="n"/>
      <c r="I156" s="23" t="n"/>
      <c r="J156" s="23" t="n"/>
      <c r="K156" s="24" t="n"/>
      <c r="L156" s="25">
        <f>IF(ISNUMBER(J156),J156-IF(ISNUMBER(K156),K156,30),"")</f>
        <v/>
      </c>
      <c r="M156" s="26">
        <f>IF(J156="","",IF(ISNUMBER(J156),J156-TODAY(),"Check date"))</f>
        <v/>
      </c>
      <c r="N156" s="27">
        <f>IF(M156="","",IF(ISNUMBER(M156),IF(M156&lt;0,"Expired",IF(M156&lt;=30,"Due ≤30 days",IF(M156&lt;=90,"Due ≤90 days","OK"))),"Check date"))</f>
        <v/>
      </c>
      <c r="O156" s="21" t="n"/>
      <c r="P156" s="21" t="n"/>
      <c r="Q156" s="21" t="n"/>
      <c r="R156" s="21" t="n"/>
      <c r="S156" s="21" t="n"/>
    </row>
    <row r="157">
      <c r="A157" s="21" t="n"/>
      <c r="B157" s="21" t="n"/>
      <c r="C157" s="21" t="n"/>
      <c r="D157" s="21" t="n"/>
      <c r="E157" s="21" t="n"/>
      <c r="F157" s="22" t="n"/>
      <c r="G157" s="22" t="n"/>
      <c r="H157" s="21" t="n"/>
      <c r="I157" s="23" t="n"/>
      <c r="J157" s="23" t="n"/>
      <c r="K157" s="24" t="n"/>
      <c r="L157" s="25">
        <f>IF(ISNUMBER(J157),J157-IF(ISNUMBER(K157),K157,30),"")</f>
        <v/>
      </c>
      <c r="M157" s="26">
        <f>IF(J157="","",IF(ISNUMBER(J157),J157-TODAY(),"Check date"))</f>
        <v/>
      </c>
      <c r="N157" s="27">
        <f>IF(M157="","",IF(ISNUMBER(M157),IF(M157&lt;0,"Expired",IF(M157&lt;=30,"Due ≤30 days",IF(M157&lt;=90,"Due ≤90 days","OK"))),"Check date"))</f>
        <v/>
      </c>
      <c r="O157" s="21" t="n"/>
      <c r="P157" s="21" t="n"/>
      <c r="Q157" s="21" t="n"/>
      <c r="R157" s="21" t="n"/>
      <c r="S157" s="21" t="n"/>
    </row>
    <row r="158">
      <c r="A158" s="21" t="n"/>
      <c r="B158" s="21" t="n"/>
      <c r="C158" s="21" t="n"/>
      <c r="D158" s="21" t="n"/>
      <c r="E158" s="21" t="n"/>
      <c r="F158" s="22" t="n"/>
      <c r="G158" s="22" t="n"/>
      <c r="H158" s="21" t="n"/>
      <c r="I158" s="23" t="n"/>
      <c r="J158" s="23" t="n"/>
      <c r="K158" s="24" t="n"/>
      <c r="L158" s="25">
        <f>IF(ISNUMBER(J158),J158-IF(ISNUMBER(K158),K158,30),"")</f>
        <v/>
      </c>
      <c r="M158" s="26">
        <f>IF(J158="","",IF(ISNUMBER(J158),J158-TODAY(),"Check date"))</f>
        <v/>
      </c>
      <c r="N158" s="27">
        <f>IF(M158="","",IF(ISNUMBER(M158),IF(M158&lt;0,"Expired",IF(M158&lt;=30,"Due ≤30 days",IF(M158&lt;=90,"Due ≤90 days","OK"))),"Check date"))</f>
        <v/>
      </c>
      <c r="O158" s="21" t="n"/>
      <c r="P158" s="21" t="n"/>
      <c r="Q158" s="21" t="n"/>
      <c r="R158" s="21" t="n"/>
      <c r="S158" s="21" t="n"/>
    </row>
    <row r="159">
      <c r="A159" s="21" t="n"/>
      <c r="B159" s="21" t="n"/>
      <c r="C159" s="21" t="n"/>
      <c r="D159" s="21" t="n"/>
      <c r="E159" s="21" t="n"/>
      <c r="F159" s="22" t="n"/>
      <c r="G159" s="22" t="n"/>
      <c r="H159" s="21" t="n"/>
      <c r="I159" s="23" t="n"/>
      <c r="J159" s="23" t="n"/>
      <c r="K159" s="24" t="n"/>
      <c r="L159" s="25">
        <f>IF(ISNUMBER(J159),J159-IF(ISNUMBER(K159),K159,30),"")</f>
        <v/>
      </c>
      <c r="M159" s="26">
        <f>IF(J159="","",IF(ISNUMBER(J159),J159-TODAY(),"Check date"))</f>
        <v/>
      </c>
      <c r="N159" s="27">
        <f>IF(M159="","",IF(ISNUMBER(M159),IF(M159&lt;0,"Expired",IF(M159&lt;=30,"Due ≤30 days",IF(M159&lt;=90,"Due ≤90 days","OK"))),"Check date"))</f>
        <v/>
      </c>
      <c r="O159" s="21" t="n"/>
      <c r="P159" s="21" t="n"/>
      <c r="Q159" s="21" t="n"/>
      <c r="R159" s="21" t="n"/>
      <c r="S159" s="21" t="n"/>
    </row>
    <row r="160">
      <c r="A160" s="21" t="n"/>
      <c r="B160" s="21" t="n"/>
      <c r="C160" s="21" t="n"/>
      <c r="D160" s="21" t="n"/>
      <c r="E160" s="21" t="n"/>
      <c r="F160" s="22" t="n"/>
      <c r="G160" s="22" t="n"/>
      <c r="H160" s="21" t="n"/>
      <c r="I160" s="23" t="n"/>
      <c r="J160" s="23" t="n"/>
      <c r="K160" s="24" t="n"/>
      <c r="L160" s="25">
        <f>IF(ISNUMBER(J160),J160-IF(ISNUMBER(K160),K160,30),"")</f>
        <v/>
      </c>
      <c r="M160" s="26">
        <f>IF(J160="","",IF(ISNUMBER(J160),J160-TODAY(),"Check date"))</f>
        <v/>
      </c>
      <c r="N160" s="27">
        <f>IF(M160="","",IF(ISNUMBER(M160),IF(M160&lt;0,"Expired",IF(M160&lt;=30,"Due ≤30 days",IF(M160&lt;=90,"Due ≤90 days","OK"))),"Check date"))</f>
        <v/>
      </c>
      <c r="O160" s="21" t="n"/>
      <c r="P160" s="21" t="n"/>
      <c r="Q160" s="21" t="n"/>
      <c r="R160" s="21" t="n"/>
      <c r="S160" s="21" t="n"/>
    </row>
    <row r="161">
      <c r="A161" s="21" t="n"/>
      <c r="B161" s="21" t="n"/>
      <c r="C161" s="21" t="n"/>
      <c r="D161" s="21" t="n"/>
      <c r="E161" s="21" t="n"/>
      <c r="F161" s="22" t="n"/>
      <c r="G161" s="22" t="n"/>
      <c r="H161" s="21" t="n"/>
      <c r="I161" s="23" t="n"/>
      <c r="J161" s="23" t="n"/>
      <c r="K161" s="24" t="n"/>
      <c r="L161" s="25">
        <f>IF(ISNUMBER(J161),J161-IF(ISNUMBER(K161),K161,30),"")</f>
        <v/>
      </c>
      <c r="M161" s="26">
        <f>IF(J161="","",IF(ISNUMBER(J161),J161-TODAY(),"Check date"))</f>
        <v/>
      </c>
      <c r="N161" s="27">
        <f>IF(M161="","",IF(ISNUMBER(M161),IF(M161&lt;0,"Expired",IF(M161&lt;=30,"Due ≤30 days",IF(M161&lt;=90,"Due ≤90 days","OK"))),"Check date"))</f>
        <v/>
      </c>
      <c r="O161" s="21" t="n"/>
      <c r="P161" s="21" t="n"/>
      <c r="Q161" s="21" t="n"/>
      <c r="R161" s="21" t="n"/>
      <c r="S161" s="21" t="n"/>
    </row>
    <row r="162">
      <c r="A162" s="21" t="n"/>
      <c r="B162" s="21" t="n"/>
      <c r="C162" s="21" t="n"/>
      <c r="D162" s="21" t="n"/>
      <c r="E162" s="21" t="n"/>
      <c r="F162" s="22" t="n"/>
      <c r="G162" s="22" t="n"/>
      <c r="H162" s="21" t="n"/>
      <c r="I162" s="23" t="n"/>
      <c r="J162" s="23" t="n"/>
      <c r="K162" s="24" t="n"/>
      <c r="L162" s="25">
        <f>IF(ISNUMBER(J162),J162-IF(ISNUMBER(K162),K162,30),"")</f>
        <v/>
      </c>
      <c r="M162" s="26">
        <f>IF(J162="","",IF(ISNUMBER(J162),J162-TODAY(),"Check date"))</f>
        <v/>
      </c>
      <c r="N162" s="27">
        <f>IF(M162="","",IF(ISNUMBER(M162),IF(M162&lt;0,"Expired",IF(M162&lt;=30,"Due ≤30 days",IF(M162&lt;=90,"Due ≤90 days","OK"))),"Check date"))</f>
        <v/>
      </c>
      <c r="O162" s="21" t="n"/>
      <c r="P162" s="21" t="n"/>
      <c r="Q162" s="21" t="n"/>
      <c r="R162" s="21" t="n"/>
      <c r="S162" s="21" t="n"/>
    </row>
    <row r="163">
      <c r="A163" s="21" t="n"/>
      <c r="B163" s="21" t="n"/>
      <c r="C163" s="21" t="n"/>
      <c r="D163" s="21" t="n"/>
      <c r="E163" s="21" t="n"/>
      <c r="F163" s="22" t="n"/>
      <c r="G163" s="22" t="n"/>
      <c r="H163" s="21" t="n"/>
      <c r="I163" s="23" t="n"/>
      <c r="J163" s="23" t="n"/>
      <c r="K163" s="24" t="n"/>
      <c r="L163" s="25">
        <f>IF(ISNUMBER(J163),J163-IF(ISNUMBER(K163),K163,30),"")</f>
        <v/>
      </c>
      <c r="M163" s="26">
        <f>IF(J163="","",IF(ISNUMBER(J163),J163-TODAY(),"Check date"))</f>
        <v/>
      </c>
      <c r="N163" s="27">
        <f>IF(M163="","",IF(ISNUMBER(M163),IF(M163&lt;0,"Expired",IF(M163&lt;=30,"Due ≤30 days",IF(M163&lt;=90,"Due ≤90 days","OK"))),"Check date"))</f>
        <v/>
      </c>
      <c r="O163" s="21" t="n"/>
      <c r="P163" s="21" t="n"/>
      <c r="Q163" s="21" t="n"/>
      <c r="R163" s="21" t="n"/>
      <c r="S163" s="21" t="n"/>
    </row>
    <row r="164">
      <c r="A164" s="21" t="n"/>
      <c r="B164" s="21" t="n"/>
      <c r="C164" s="21" t="n"/>
      <c r="D164" s="21" t="n"/>
      <c r="E164" s="21" t="n"/>
      <c r="F164" s="22" t="n"/>
      <c r="G164" s="22" t="n"/>
      <c r="H164" s="21" t="n"/>
      <c r="I164" s="23" t="n"/>
      <c r="J164" s="23" t="n"/>
      <c r="K164" s="24" t="n"/>
      <c r="L164" s="25">
        <f>IF(ISNUMBER(J164),J164-IF(ISNUMBER(K164),K164,30),"")</f>
        <v/>
      </c>
      <c r="M164" s="26">
        <f>IF(J164="","",IF(ISNUMBER(J164),J164-TODAY(),"Check date"))</f>
        <v/>
      </c>
      <c r="N164" s="27">
        <f>IF(M164="","",IF(ISNUMBER(M164),IF(M164&lt;0,"Expired",IF(M164&lt;=30,"Due ≤30 days",IF(M164&lt;=90,"Due ≤90 days","OK"))),"Check date"))</f>
        <v/>
      </c>
      <c r="O164" s="21" t="n"/>
      <c r="P164" s="21" t="n"/>
      <c r="Q164" s="21" t="n"/>
      <c r="R164" s="21" t="n"/>
      <c r="S164" s="21" t="n"/>
    </row>
    <row r="165">
      <c r="A165" s="21" t="n"/>
      <c r="B165" s="21" t="n"/>
      <c r="C165" s="21" t="n"/>
      <c r="D165" s="21" t="n"/>
      <c r="E165" s="21" t="n"/>
      <c r="F165" s="22" t="n"/>
      <c r="G165" s="22" t="n"/>
      <c r="H165" s="21" t="n"/>
      <c r="I165" s="23" t="n"/>
      <c r="J165" s="23" t="n"/>
      <c r="K165" s="24" t="n"/>
      <c r="L165" s="25">
        <f>IF(ISNUMBER(J165),J165-IF(ISNUMBER(K165),K165,30),"")</f>
        <v/>
      </c>
      <c r="M165" s="26">
        <f>IF(J165="","",IF(ISNUMBER(J165),J165-TODAY(),"Check date"))</f>
        <v/>
      </c>
      <c r="N165" s="27">
        <f>IF(M165="","",IF(ISNUMBER(M165),IF(M165&lt;0,"Expired",IF(M165&lt;=30,"Due ≤30 days",IF(M165&lt;=90,"Due ≤90 days","OK"))),"Check date"))</f>
        <v/>
      </c>
      <c r="O165" s="21" t="n"/>
      <c r="P165" s="21" t="n"/>
      <c r="Q165" s="21" t="n"/>
      <c r="R165" s="21" t="n"/>
      <c r="S165" s="21" t="n"/>
    </row>
    <row r="166">
      <c r="A166" s="21" t="n"/>
      <c r="B166" s="21" t="n"/>
      <c r="C166" s="21" t="n"/>
      <c r="D166" s="21" t="n"/>
      <c r="E166" s="21" t="n"/>
      <c r="F166" s="22" t="n"/>
      <c r="G166" s="22" t="n"/>
      <c r="H166" s="21" t="n"/>
      <c r="I166" s="23" t="n"/>
      <c r="J166" s="23" t="n"/>
      <c r="K166" s="24" t="n"/>
      <c r="L166" s="25">
        <f>IF(ISNUMBER(J166),J166-IF(ISNUMBER(K166),K166,30),"")</f>
        <v/>
      </c>
      <c r="M166" s="26">
        <f>IF(J166="","",IF(ISNUMBER(J166),J166-TODAY(),"Check date"))</f>
        <v/>
      </c>
      <c r="N166" s="27">
        <f>IF(M166="","",IF(ISNUMBER(M166),IF(M166&lt;0,"Expired",IF(M166&lt;=30,"Due ≤30 days",IF(M166&lt;=90,"Due ≤90 days","OK"))),"Check date"))</f>
        <v/>
      </c>
      <c r="O166" s="21" t="n"/>
      <c r="P166" s="21" t="n"/>
      <c r="Q166" s="21" t="n"/>
      <c r="R166" s="21" t="n"/>
      <c r="S166" s="21" t="n"/>
    </row>
    <row r="167">
      <c r="A167" s="21" t="n"/>
      <c r="B167" s="21" t="n"/>
      <c r="C167" s="21" t="n"/>
      <c r="D167" s="21" t="n"/>
      <c r="E167" s="21" t="n"/>
      <c r="F167" s="22" t="n"/>
      <c r="G167" s="22" t="n"/>
      <c r="H167" s="21" t="n"/>
      <c r="I167" s="23" t="n"/>
      <c r="J167" s="23" t="n"/>
      <c r="K167" s="24" t="n"/>
      <c r="L167" s="25">
        <f>IF(ISNUMBER(J167),J167-IF(ISNUMBER(K167),K167,30),"")</f>
        <v/>
      </c>
      <c r="M167" s="26">
        <f>IF(J167="","",IF(ISNUMBER(J167),J167-TODAY(),"Check date"))</f>
        <v/>
      </c>
      <c r="N167" s="27">
        <f>IF(M167="","",IF(ISNUMBER(M167),IF(M167&lt;0,"Expired",IF(M167&lt;=30,"Due ≤30 days",IF(M167&lt;=90,"Due ≤90 days","OK"))),"Check date"))</f>
        <v/>
      </c>
      <c r="O167" s="21" t="n"/>
      <c r="P167" s="21" t="n"/>
      <c r="Q167" s="21" t="n"/>
      <c r="R167" s="21" t="n"/>
      <c r="S167" s="21" t="n"/>
    </row>
    <row r="168">
      <c r="A168" s="21" t="n"/>
      <c r="B168" s="21" t="n"/>
      <c r="C168" s="21" t="n"/>
      <c r="D168" s="21" t="n"/>
      <c r="E168" s="21" t="n"/>
      <c r="F168" s="22" t="n"/>
      <c r="G168" s="22" t="n"/>
      <c r="H168" s="21" t="n"/>
      <c r="I168" s="23" t="n"/>
      <c r="J168" s="23" t="n"/>
      <c r="K168" s="24" t="n"/>
      <c r="L168" s="25">
        <f>IF(ISNUMBER(J168),J168-IF(ISNUMBER(K168),K168,30),"")</f>
        <v/>
      </c>
      <c r="M168" s="26">
        <f>IF(J168="","",IF(ISNUMBER(J168),J168-TODAY(),"Check date"))</f>
        <v/>
      </c>
      <c r="N168" s="27">
        <f>IF(M168="","",IF(ISNUMBER(M168),IF(M168&lt;0,"Expired",IF(M168&lt;=30,"Due ≤30 days",IF(M168&lt;=90,"Due ≤90 days","OK"))),"Check date"))</f>
        <v/>
      </c>
      <c r="O168" s="21" t="n"/>
      <c r="P168" s="21" t="n"/>
      <c r="Q168" s="21" t="n"/>
      <c r="R168" s="21" t="n"/>
      <c r="S168" s="21" t="n"/>
    </row>
    <row r="169">
      <c r="A169" s="21" t="n"/>
      <c r="B169" s="21" t="n"/>
      <c r="C169" s="21" t="n"/>
      <c r="D169" s="21" t="n"/>
      <c r="E169" s="21" t="n"/>
      <c r="F169" s="22" t="n"/>
      <c r="G169" s="22" t="n"/>
      <c r="H169" s="21" t="n"/>
      <c r="I169" s="23" t="n"/>
      <c r="J169" s="23" t="n"/>
      <c r="K169" s="24" t="n"/>
      <c r="L169" s="25">
        <f>IF(ISNUMBER(J169),J169-IF(ISNUMBER(K169),K169,30),"")</f>
        <v/>
      </c>
      <c r="M169" s="26">
        <f>IF(J169="","",IF(ISNUMBER(J169),J169-TODAY(),"Check date"))</f>
        <v/>
      </c>
      <c r="N169" s="27">
        <f>IF(M169="","",IF(ISNUMBER(M169),IF(M169&lt;0,"Expired",IF(M169&lt;=30,"Due ≤30 days",IF(M169&lt;=90,"Due ≤90 days","OK"))),"Check date"))</f>
        <v/>
      </c>
      <c r="O169" s="21" t="n"/>
      <c r="P169" s="21" t="n"/>
      <c r="Q169" s="21" t="n"/>
      <c r="R169" s="21" t="n"/>
      <c r="S169" s="21" t="n"/>
    </row>
    <row r="170">
      <c r="A170" s="21" t="n"/>
      <c r="B170" s="21" t="n"/>
      <c r="C170" s="21" t="n"/>
      <c r="D170" s="21" t="n"/>
      <c r="E170" s="21" t="n"/>
      <c r="F170" s="22" t="n"/>
      <c r="G170" s="22" t="n"/>
      <c r="H170" s="21" t="n"/>
      <c r="I170" s="23" t="n"/>
      <c r="J170" s="23" t="n"/>
      <c r="K170" s="24" t="n"/>
      <c r="L170" s="25">
        <f>IF(ISNUMBER(J170),J170-IF(ISNUMBER(K170),K170,30),"")</f>
        <v/>
      </c>
      <c r="M170" s="26">
        <f>IF(J170="","",IF(ISNUMBER(J170),J170-TODAY(),"Check date"))</f>
        <v/>
      </c>
      <c r="N170" s="27">
        <f>IF(M170="","",IF(ISNUMBER(M170),IF(M170&lt;0,"Expired",IF(M170&lt;=30,"Due ≤30 days",IF(M170&lt;=90,"Due ≤90 days","OK"))),"Check date"))</f>
        <v/>
      </c>
      <c r="O170" s="21" t="n"/>
      <c r="P170" s="21" t="n"/>
      <c r="Q170" s="21" t="n"/>
      <c r="R170" s="21" t="n"/>
      <c r="S170" s="21" t="n"/>
    </row>
    <row r="171">
      <c r="A171" s="21" t="n"/>
      <c r="B171" s="21" t="n"/>
      <c r="C171" s="21" t="n"/>
      <c r="D171" s="21" t="n"/>
      <c r="E171" s="21" t="n"/>
      <c r="F171" s="22" t="n"/>
      <c r="G171" s="22" t="n"/>
      <c r="H171" s="21" t="n"/>
      <c r="I171" s="23" t="n"/>
      <c r="J171" s="23" t="n"/>
      <c r="K171" s="24" t="n"/>
      <c r="L171" s="25">
        <f>IF(ISNUMBER(J171),J171-IF(ISNUMBER(K171),K171,30),"")</f>
        <v/>
      </c>
      <c r="M171" s="26">
        <f>IF(J171="","",IF(ISNUMBER(J171),J171-TODAY(),"Check date"))</f>
        <v/>
      </c>
      <c r="N171" s="27">
        <f>IF(M171="","",IF(ISNUMBER(M171),IF(M171&lt;0,"Expired",IF(M171&lt;=30,"Due ≤30 days",IF(M171&lt;=90,"Due ≤90 days","OK"))),"Check date"))</f>
        <v/>
      </c>
      <c r="O171" s="21" t="n"/>
      <c r="P171" s="21" t="n"/>
      <c r="Q171" s="21" t="n"/>
      <c r="R171" s="21" t="n"/>
      <c r="S171" s="21" t="n"/>
    </row>
    <row r="172">
      <c r="A172" s="21" t="n"/>
      <c r="B172" s="21" t="n"/>
      <c r="C172" s="21" t="n"/>
      <c r="D172" s="21" t="n"/>
      <c r="E172" s="21" t="n"/>
      <c r="F172" s="22" t="n"/>
      <c r="G172" s="22" t="n"/>
      <c r="H172" s="21" t="n"/>
      <c r="I172" s="23" t="n"/>
      <c r="J172" s="23" t="n"/>
      <c r="K172" s="24" t="n"/>
      <c r="L172" s="25">
        <f>IF(ISNUMBER(J172),J172-IF(ISNUMBER(K172),K172,30),"")</f>
        <v/>
      </c>
      <c r="M172" s="26">
        <f>IF(J172="","",IF(ISNUMBER(J172),J172-TODAY(),"Check date"))</f>
        <v/>
      </c>
      <c r="N172" s="27">
        <f>IF(M172="","",IF(ISNUMBER(M172),IF(M172&lt;0,"Expired",IF(M172&lt;=30,"Due ≤30 days",IF(M172&lt;=90,"Due ≤90 days","OK"))),"Check date"))</f>
        <v/>
      </c>
      <c r="O172" s="21" t="n"/>
      <c r="P172" s="21" t="n"/>
      <c r="Q172" s="21" t="n"/>
      <c r="R172" s="21" t="n"/>
      <c r="S172" s="21" t="n"/>
    </row>
    <row r="173">
      <c r="A173" s="21" t="n"/>
      <c r="B173" s="21" t="n"/>
      <c r="C173" s="21" t="n"/>
      <c r="D173" s="21" t="n"/>
      <c r="E173" s="21" t="n"/>
      <c r="F173" s="22" t="n"/>
      <c r="G173" s="22" t="n"/>
      <c r="H173" s="21" t="n"/>
      <c r="I173" s="23" t="n"/>
      <c r="J173" s="23" t="n"/>
      <c r="K173" s="24" t="n"/>
      <c r="L173" s="25">
        <f>IF(ISNUMBER(J173),J173-IF(ISNUMBER(K173),K173,30),"")</f>
        <v/>
      </c>
      <c r="M173" s="26">
        <f>IF(J173="","",IF(ISNUMBER(J173),J173-TODAY(),"Check date"))</f>
        <v/>
      </c>
      <c r="N173" s="27">
        <f>IF(M173="","",IF(ISNUMBER(M173),IF(M173&lt;0,"Expired",IF(M173&lt;=30,"Due ≤30 days",IF(M173&lt;=90,"Due ≤90 days","OK"))),"Check date"))</f>
        <v/>
      </c>
      <c r="O173" s="21" t="n"/>
      <c r="P173" s="21" t="n"/>
      <c r="Q173" s="21" t="n"/>
      <c r="R173" s="21" t="n"/>
      <c r="S173" s="21" t="n"/>
    </row>
    <row r="174">
      <c r="A174" s="21" t="n"/>
      <c r="B174" s="21" t="n"/>
      <c r="C174" s="21" t="n"/>
      <c r="D174" s="21" t="n"/>
      <c r="E174" s="21" t="n"/>
      <c r="F174" s="22" t="n"/>
      <c r="G174" s="22" t="n"/>
      <c r="H174" s="21" t="n"/>
      <c r="I174" s="23" t="n"/>
      <c r="J174" s="23" t="n"/>
      <c r="K174" s="24" t="n"/>
      <c r="L174" s="25">
        <f>IF(ISNUMBER(J174),J174-IF(ISNUMBER(K174),K174,30),"")</f>
        <v/>
      </c>
      <c r="M174" s="26">
        <f>IF(J174="","",IF(ISNUMBER(J174),J174-TODAY(),"Check date"))</f>
        <v/>
      </c>
      <c r="N174" s="27">
        <f>IF(M174="","",IF(ISNUMBER(M174),IF(M174&lt;0,"Expired",IF(M174&lt;=30,"Due ≤30 days",IF(M174&lt;=90,"Due ≤90 days","OK"))),"Check date"))</f>
        <v/>
      </c>
      <c r="O174" s="21" t="n"/>
      <c r="P174" s="21" t="n"/>
      <c r="Q174" s="21" t="n"/>
      <c r="R174" s="21" t="n"/>
      <c r="S174" s="21" t="n"/>
    </row>
    <row r="175">
      <c r="A175" s="21" t="n"/>
      <c r="B175" s="21" t="n"/>
      <c r="C175" s="21" t="n"/>
      <c r="D175" s="21" t="n"/>
      <c r="E175" s="21" t="n"/>
      <c r="F175" s="22" t="n"/>
      <c r="G175" s="22" t="n"/>
      <c r="H175" s="21" t="n"/>
      <c r="I175" s="23" t="n"/>
      <c r="J175" s="23" t="n"/>
      <c r="K175" s="24" t="n"/>
      <c r="L175" s="25">
        <f>IF(ISNUMBER(J175),J175-IF(ISNUMBER(K175),K175,30),"")</f>
        <v/>
      </c>
      <c r="M175" s="26">
        <f>IF(J175="","",IF(ISNUMBER(J175),J175-TODAY(),"Check date"))</f>
        <v/>
      </c>
      <c r="N175" s="27">
        <f>IF(M175="","",IF(ISNUMBER(M175),IF(M175&lt;0,"Expired",IF(M175&lt;=30,"Due ≤30 days",IF(M175&lt;=90,"Due ≤90 days","OK"))),"Check date"))</f>
        <v/>
      </c>
      <c r="O175" s="21" t="n"/>
      <c r="P175" s="21" t="n"/>
      <c r="Q175" s="21" t="n"/>
      <c r="R175" s="21" t="n"/>
      <c r="S175" s="21" t="n"/>
    </row>
    <row r="176">
      <c r="A176" s="21" t="n"/>
      <c r="B176" s="21" t="n"/>
      <c r="C176" s="21" t="n"/>
      <c r="D176" s="21" t="n"/>
      <c r="E176" s="21" t="n"/>
      <c r="F176" s="22" t="n"/>
      <c r="G176" s="22" t="n"/>
      <c r="H176" s="21" t="n"/>
      <c r="I176" s="23" t="n"/>
      <c r="J176" s="23" t="n"/>
      <c r="K176" s="24" t="n"/>
      <c r="L176" s="25">
        <f>IF(ISNUMBER(J176),J176-IF(ISNUMBER(K176),K176,30),"")</f>
        <v/>
      </c>
      <c r="M176" s="26">
        <f>IF(J176="","",IF(ISNUMBER(J176),J176-TODAY(),"Check date"))</f>
        <v/>
      </c>
      <c r="N176" s="27">
        <f>IF(M176="","",IF(ISNUMBER(M176),IF(M176&lt;0,"Expired",IF(M176&lt;=30,"Due ≤30 days",IF(M176&lt;=90,"Due ≤90 days","OK"))),"Check date"))</f>
        <v/>
      </c>
      <c r="O176" s="21" t="n"/>
      <c r="P176" s="21" t="n"/>
      <c r="Q176" s="21" t="n"/>
      <c r="R176" s="21" t="n"/>
      <c r="S176" s="21" t="n"/>
    </row>
    <row r="177">
      <c r="A177" s="21" t="n"/>
      <c r="B177" s="21" t="n"/>
      <c r="C177" s="21" t="n"/>
      <c r="D177" s="21" t="n"/>
      <c r="E177" s="21" t="n"/>
      <c r="F177" s="22" t="n"/>
      <c r="G177" s="22" t="n"/>
      <c r="H177" s="21" t="n"/>
      <c r="I177" s="23" t="n"/>
      <c r="J177" s="23" t="n"/>
      <c r="K177" s="24" t="n"/>
      <c r="L177" s="25">
        <f>IF(ISNUMBER(J177),J177-IF(ISNUMBER(K177),K177,30),"")</f>
        <v/>
      </c>
      <c r="M177" s="26">
        <f>IF(J177="","",IF(ISNUMBER(J177),J177-TODAY(),"Check date"))</f>
        <v/>
      </c>
      <c r="N177" s="27">
        <f>IF(M177="","",IF(ISNUMBER(M177),IF(M177&lt;0,"Expired",IF(M177&lt;=30,"Due ≤30 days",IF(M177&lt;=90,"Due ≤90 days","OK"))),"Check date"))</f>
        <v/>
      </c>
      <c r="O177" s="21" t="n"/>
      <c r="P177" s="21" t="n"/>
      <c r="Q177" s="21" t="n"/>
      <c r="R177" s="21" t="n"/>
      <c r="S177" s="21" t="n"/>
    </row>
    <row r="178">
      <c r="A178" s="21" t="n"/>
      <c r="B178" s="21" t="n"/>
      <c r="C178" s="21" t="n"/>
      <c r="D178" s="21" t="n"/>
      <c r="E178" s="21" t="n"/>
      <c r="F178" s="22" t="n"/>
      <c r="G178" s="22" t="n"/>
      <c r="H178" s="21" t="n"/>
      <c r="I178" s="23" t="n"/>
      <c r="J178" s="23" t="n"/>
      <c r="K178" s="24" t="n"/>
      <c r="L178" s="25">
        <f>IF(ISNUMBER(J178),J178-IF(ISNUMBER(K178),K178,30),"")</f>
        <v/>
      </c>
      <c r="M178" s="26">
        <f>IF(J178="","",IF(ISNUMBER(J178),J178-TODAY(),"Check date"))</f>
        <v/>
      </c>
      <c r="N178" s="27">
        <f>IF(M178="","",IF(ISNUMBER(M178),IF(M178&lt;0,"Expired",IF(M178&lt;=30,"Due ≤30 days",IF(M178&lt;=90,"Due ≤90 days","OK"))),"Check date"))</f>
        <v/>
      </c>
      <c r="O178" s="21" t="n"/>
      <c r="P178" s="21" t="n"/>
      <c r="Q178" s="21" t="n"/>
      <c r="R178" s="21" t="n"/>
      <c r="S178" s="21" t="n"/>
    </row>
    <row r="179">
      <c r="A179" s="21" t="n"/>
      <c r="B179" s="21" t="n"/>
      <c r="C179" s="21" t="n"/>
      <c r="D179" s="21" t="n"/>
      <c r="E179" s="21" t="n"/>
      <c r="F179" s="22" t="n"/>
      <c r="G179" s="22" t="n"/>
      <c r="H179" s="21" t="n"/>
      <c r="I179" s="23" t="n"/>
      <c r="J179" s="23" t="n"/>
      <c r="K179" s="24" t="n"/>
      <c r="L179" s="25">
        <f>IF(ISNUMBER(J179),J179-IF(ISNUMBER(K179),K179,30),"")</f>
        <v/>
      </c>
      <c r="M179" s="26">
        <f>IF(J179="","",IF(ISNUMBER(J179),J179-TODAY(),"Check date"))</f>
        <v/>
      </c>
      <c r="N179" s="27">
        <f>IF(M179="","",IF(ISNUMBER(M179),IF(M179&lt;0,"Expired",IF(M179&lt;=30,"Due ≤30 days",IF(M179&lt;=90,"Due ≤90 days","OK"))),"Check date"))</f>
        <v/>
      </c>
      <c r="O179" s="21" t="n"/>
      <c r="P179" s="21" t="n"/>
      <c r="Q179" s="21" t="n"/>
      <c r="R179" s="21" t="n"/>
      <c r="S179" s="21" t="n"/>
    </row>
    <row r="180">
      <c r="A180" s="21" t="n"/>
      <c r="B180" s="21" t="n"/>
      <c r="C180" s="21" t="n"/>
      <c r="D180" s="21" t="n"/>
      <c r="E180" s="21" t="n"/>
      <c r="F180" s="22" t="n"/>
      <c r="G180" s="22" t="n"/>
      <c r="H180" s="21" t="n"/>
      <c r="I180" s="23" t="n"/>
      <c r="J180" s="23" t="n"/>
      <c r="K180" s="24" t="n"/>
      <c r="L180" s="25">
        <f>IF(ISNUMBER(J180),J180-IF(ISNUMBER(K180),K180,30),"")</f>
        <v/>
      </c>
      <c r="M180" s="26">
        <f>IF(J180="","",IF(ISNUMBER(J180),J180-TODAY(),"Check date"))</f>
        <v/>
      </c>
      <c r="N180" s="27">
        <f>IF(M180="","",IF(ISNUMBER(M180),IF(M180&lt;0,"Expired",IF(M180&lt;=30,"Due ≤30 days",IF(M180&lt;=90,"Due ≤90 days","OK"))),"Check date"))</f>
        <v/>
      </c>
      <c r="O180" s="21" t="n"/>
      <c r="P180" s="21" t="n"/>
      <c r="Q180" s="21" t="n"/>
      <c r="R180" s="21" t="n"/>
      <c r="S180" s="21" t="n"/>
    </row>
    <row r="181">
      <c r="A181" s="21" t="n"/>
      <c r="B181" s="21" t="n"/>
      <c r="C181" s="21" t="n"/>
      <c r="D181" s="21" t="n"/>
      <c r="E181" s="21" t="n"/>
      <c r="F181" s="22" t="n"/>
      <c r="G181" s="22" t="n"/>
      <c r="H181" s="21" t="n"/>
      <c r="I181" s="23" t="n"/>
      <c r="J181" s="23" t="n"/>
      <c r="K181" s="24" t="n"/>
      <c r="L181" s="25">
        <f>IF(ISNUMBER(J181),J181-IF(ISNUMBER(K181),K181,30),"")</f>
        <v/>
      </c>
      <c r="M181" s="26">
        <f>IF(J181="","",IF(ISNUMBER(J181),J181-TODAY(),"Check date"))</f>
        <v/>
      </c>
      <c r="N181" s="27">
        <f>IF(M181="","",IF(ISNUMBER(M181),IF(M181&lt;0,"Expired",IF(M181&lt;=30,"Due ≤30 days",IF(M181&lt;=90,"Due ≤90 days","OK"))),"Check date"))</f>
        <v/>
      </c>
      <c r="O181" s="21" t="n"/>
      <c r="P181" s="21" t="n"/>
      <c r="Q181" s="21" t="n"/>
      <c r="R181" s="21" t="n"/>
      <c r="S181" s="21" t="n"/>
    </row>
    <row r="182">
      <c r="A182" s="21" t="n"/>
      <c r="B182" s="21" t="n"/>
      <c r="C182" s="21" t="n"/>
      <c r="D182" s="21" t="n"/>
      <c r="E182" s="21" t="n"/>
      <c r="F182" s="22" t="n"/>
      <c r="G182" s="22" t="n"/>
      <c r="H182" s="21" t="n"/>
      <c r="I182" s="23" t="n"/>
      <c r="J182" s="23" t="n"/>
      <c r="K182" s="24" t="n"/>
      <c r="L182" s="25">
        <f>IF(ISNUMBER(J182),J182-IF(ISNUMBER(K182),K182,30),"")</f>
        <v/>
      </c>
      <c r="M182" s="26">
        <f>IF(J182="","",IF(ISNUMBER(J182),J182-TODAY(),"Check date"))</f>
        <v/>
      </c>
      <c r="N182" s="27">
        <f>IF(M182="","",IF(ISNUMBER(M182),IF(M182&lt;0,"Expired",IF(M182&lt;=30,"Due ≤30 days",IF(M182&lt;=90,"Due ≤90 days","OK"))),"Check date"))</f>
        <v/>
      </c>
      <c r="O182" s="21" t="n"/>
      <c r="P182" s="21" t="n"/>
      <c r="Q182" s="21" t="n"/>
      <c r="R182" s="21" t="n"/>
      <c r="S182" s="21" t="n"/>
    </row>
    <row r="183">
      <c r="A183" s="21" t="n"/>
      <c r="B183" s="21" t="n"/>
      <c r="C183" s="21" t="n"/>
      <c r="D183" s="21" t="n"/>
      <c r="E183" s="21" t="n"/>
      <c r="F183" s="22" t="n"/>
      <c r="G183" s="22" t="n"/>
      <c r="H183" s="21" t="n"/>
      <c r="I183" s="23" t="n"/>
      <c r="J183" s="23" t="n"/>
      <c r="K183" s="24" t="n"/>
      <c r="L183" s="25">
        <f>IF(ISNUMBER(J183),J183-IF(ISNUMBER(K183),K183,30),"")</f>
        <v/>
      </c>
      <c r="M183" s="26">
        <f>IF(J183="","",IF(ISNUMBER(J183),J183-TODAY(),"Check date"))</f>
        <v/>
      </c>
      <c r="N183" s="27">
        <f>IF(M183="","",IF(ISNUMBER(M183),IF(M183&lt;0,"Expired",IF(M183&lt;=30,"Due ≤30 days",IF(M183&lt;=90,"Due ≤90 days","OK"))),"Check date"))</f>
        <v/>
      </c>
      <c r="O183" s="21" t="n"/>
      <c r="P183" s="21" t="n"/>
      <c r="Q183" s="21" t="n"/>
      <c r="R183" s="21" t="n"/>
      <c r="S183" s="21" t="n"/>
    </row>
    <row r="184">
      <c r="A184" s="21" t="n"/>
      <c r="B184" s="21" t="n"/>
      <c r="C184" s="21" t="n"/>
      <c r="D184" s="21" t="n"/>
      <c r="E184" s="21" t="n"/>
      <c r="F184" s="22" t="n"/>
      <c r="G184" s="22" t="n"/>
      <c r="H184" s="21" t="n"/>
      <c r="I184" s="23" t="n"/>
      <c r="J184" s="23" t="n"/>
      <c r="K184" s="24" t="n"/>
      <c r="L184" s="25">
        <f>IF(ISNUMBER(J184),J184-IF(ISNUMBER(K184),K184,30),"")</f>
        <v/>
      </c>
      <c r="M184" s="26">
        <f>IF(J184="","",IF(ISNUMBER(J184),J184-TODAY(),"Check date"))</f>
        <v/>
      </c>
      <c r="N184" s="27">
        <f>IF(M184="","",IF(ISNUMBER(M184),IF(M184&lt;0,"Expired",IF(M184&lt;=30,"Due ≤30 days",IF(M184&lt;=90,"Due ≤90 days","OK"))),"Check date"))</f>
        <v/>
      </c>
      <c r="O184" s="21" t="n"/>
      <c r="P184" s="21" t="n"/>
      <c r="Q184" s="21" t="n"/>
      <c r="R184" s="21" t="n"/>
      <c r="S184" s="21" t="n"/>
    </row>
    <row r="185">
      <c r="A185" s="21" t="n"/>
      <c r="B185" s="21" t="n"/>
      <c r="C185" s="21" t="n"/>
      <c r="D185" s="21" t="n"/>
      <c r="E185" s="21" t="n"/>
      <c r="F185" s="22" t="n"/>
      <c r="G185" s="22" t="n"/>
      <c r="H185" s="21" t="n"/>
      <c r="I185" s="23" t="n"/>
      <c r="J185" s="23" t="n"/>
      <c r="K185" s="24" t="n"/>
      <c r="L185" s="25">
        <f>IF(ISNUMBER(J185),J185-IF(ISNUMBER(K185),K185,30),"")</f>
        <v/>
      </c>
      <c r="M185" s="26">
        <f>IF(J185="","",IF(ISNUMBER(J185),J185-TODAY(),"Check date"))</f>
        <v/>
      </c>
      <c r="N185" s="27">
        <f>IF(M185="","",IF(ISNUMBER(M185),IF(M185&lt;0,"Expired",IF(M185&lt;=30,"Due ≤30 days",IF(M185&lt;=90,"Due ≤90 days","OK"))),"Check date"))</f>
        <v/>
      </c>
      <c r="O185" s="21" t="n"/>
      <c r="P185" s="21" t="n"/>
      <c r="Q185" s="21" t="n"/>
      <c r="R185" s="21" t="n"/>
      <c r="S185" s="21" t="n"/>
    </row>
    <row r="186">
      <c r="A186" s="21" t="n"/>
      <c r="B186" s="21" t="n"/>
      <c r="C186" s="21" t="n"/>
      <c r="D186" s="21" t="n"/>
      <c r="E186" s="21" t="n"/>
      <c r="F186" s="22" t="n"/>
      <c r="G186" s="22" t="n"/>
      <c r="H186" s="21" t="n"/>
      <c r="I186" s="23" t="n"/>
      <c r="J186" s="23" t="n"/>
      <c r="K186" s="24" t="n"/>
      <c r="L186" s="25">
        <f>IF(ISNUMBER(J186),J186-IF(ISNUMBER(K186),K186,30),"")</f>
        <v/>
      </c>
      <c r="M186" s="26">
        <f>IF(J186="","",IF(ISNUMBER(J186),J186-TODAY(),"Check date"))</f>
        <v/>
      </c>
      <c r="N186" s="27">
        <f>IF(M186="","",IF(ISNUMBER(M186),IF(M186&lt;0,"Expired",IF(M186&lt;=30,"Due ≤30 days",IF(M186&lt;=90,"Due ≤90 days","OK"))),"Check date"))</f>
        <v/>
      </c>
      <c r="O186" s="21" t="n"/>
      <c r="P186" s="21" t="n"/>
      <c r="Q186" s="21" t="n"/>
      <c r="R186" s="21" t="n"/>
      <c r="S186" s="21" t="n"/>
    </row>
    <row r="187">
      <c r="A187" s="21" t="n"/>
      <c r="B187" s="21" t="n"/>
      <c r="C187" s="21" t="n"/>
      <c r="D187" s="21" t="n"/>
      <c r="E187" s="21" t="n"/>
      <c r="F187" s="22" t="n"/>
      <c r="G187" s="22" t="n"/>
      <c r="H187" s="21" t="n"/>
      <c r="I187" s="23" t="n"/>
      <c r="J187" s="23" t="n"/>
      <c r="K187" s="24" t="n"/>
      <c r="L187" s="25">
        <f>IF(ISNUMBER(J187),J187-IF(ISNUMBER(K187),K187,30),"")</f>
        <v/>
      </c>
      <c r="M187" s="26">
        <f>IF(J187="","",IF(ISNUMBER(J187),J187-TODAY(),"Check date"))</f>
        <v/>
      </c>
      <c r="N187" s="27">
        <f>IF(M187="","",IF(ISNUMBER(M187),IF(M187&lt;0,"Expired",IF(M187&lt;=30,"Due ≤30 days",IF(M187&lt;=90,"Due ≤90 days","OK"))),"Check date"))</f>
        <v/>
      </c>
      <c r="O187" s="21" t="n"/>
      <c r="P187" s="21" t="n"/>
      <c r="Q187" s="21" t="n"/>
      <c r="R187" s="21" t="n"/>
      <c r="S187" s="21" t="n"/>
    </row>
    <row r="188">
      <c r="A188" s="21" t="n"/>
      <c r="B188" s="21" t="n"/>
      <c r="C188" s="21" t="n"/>
      <c r="D188" s="21" t="n"/>
      <c r="E188" s="21" t="n"/>
      <c r="F188" s="22" t="n"/>
      <c r="G188" s="22" t="n"/>
      <c r="H188" s="21" t="n"/>
      <c r="I188" s="23" t="n"/>
      <c r="J188" s="23" t="n"/>
      <c r="K188" s="24" t="n"/>
      <c r="L188" s="25">
        <f>IF(ISNUMBER(J188),J188-IF(ISNUMBER(K188),K188,30),"")</f>
        <v/>
      </c>
      <c r="M188" s="26">
        <f>IF(J188="","",IF(ISNUMBER(J188),J188-TODAY(),"Check date"))</f>
        <v/>
      </c>
      <c r="N188" s="27">
        <f>IF(M188="","",IF(ISNUMBER(M188),IF(M188&lt;0,"Expired",IF(M188&lt;=30,"Due ≤30 days",IF(M188&lt;=90,"Due ≤90 days","OK"))),"Check date"))</f>
        <v/>
      </c>
      <c r="O188" s="21" t="n"/>
      <c r="P188" s="21" t="n"/>
      <c r="Q188" s="21" t="n"/>
      <c r="R188" s="21" t="n"/>
      <c r="S188" s="21" t="n"/>
    </row>
    <row r="189">
      <c r="A189" s="21" t="n"/>
      <c r="B189" s="21" t="n"/>
      <c r="C189" s="21" t="n"/>
      <c r="D189" s="21" t="n"/>
      <c r="E189" s="21" t="n"/>
      <c r="F189" s="22" t="n"/>
      <c r="G189" s="22" t="n"/>
      <c r="H189" s="21" t="n"/>
      <c r="I189" s="23" t="n"/>
      <c r="J189" s="23" t="n"/>
      <c r="K189" s="24" t="n"/>
      <c r="L189" s="25">
        <f>IF(ISNUMBER(J189),J189-IF(ISNUMBER(K189),K189,30),"")</f>
        <v/>
      </c>
      <c r="M189" s="26">
        <f>IF(J189="","",IF(ISNUMBER(J189),J189-TODAY(),"Check date"))</f>
        <v/>
      </c>
      <c r="N189" s="27">
        <f>IF(M189="","",IF(ISNUMBER(M189),IF(M189&lt;0,"Expired",IF(M189&lt;=30,"Due ≤30 days",IF(M189&lt;=90,"Due ≤90 days","OK"))),"Check date"))</f>
        <v/>
      </c>
      <c r="O189" s="21" t="n"/>
      <c r="P189" s="21" t="n"/>
      <c r="Q189" s="21" t="n"/>
      <c r="R189" s="21" t="n"/>
      <c r="S189" s="21" t="n"/>
    </row>
    <row r="190">
      <c r="A190" s="21" t="n"/>
      <c r="B190" s="21" t="n"/>
      <c r="C190" s="21" t="n"/>
      <c r="D190" s="21" t="n"/>
      <c r="E190" s="21" t="n"/>
      <c r="F190" s="22" t="n"/>
      <c r="G190" s="22" t="n"/>
      <c r="H190" s="21" t="n"/>
      <c r="I190" s="23" t="n"/>
      <c r="J190" s="23" t="n"/>
      <c r="K190" s="24" t="n"/>
      <c r="L190" s="25">
        <f>IF(ISNUMBER(J190),J190-IF(ISNUMBER(K190),K190,30),"")</f>
        <v/>
      </c>
      <c r="M190" s="26">
        <f>IF(J190="","",IF(ISNUMBER(J190),J190-TODAY(),"Check date"))</f>
        <v/>
      </c>
      <c r="N190" s="27">
        <f>IF(M190="","",IF(ISNUMBER(M190),IF(M190&lt;0,"Expired",IF(M190&lt;=30,"Due ≤30 days",IF(M190&lt;=90,"Due ≤90 days","OK"))),"Check date"))</f>
        <v/>
      </c>
      <c r="O190" s="21" t="n"/>
      <c r="P190" s="21" t="n"/>
      <c r="Q190" s="21" t="n"/>
      <c r="R190" s="21" t="n"/>
      <c r="S190" s="21" t="n"/>
    </row>
    <row r="191">
      <c r="A191" s="21" t="n"/>
      <c r="B191" s="21" t="n"/>
      <c r="C191" s="21" t="n"/>
      <c r="D191" s="21" t="n"/>
      <c r="E191" s="21" t="n"/>
      <c r="F191" s="22" t="n"/>
      <c r="G191" s="22" t="n"/>
      <c r="H191" s="21" t="n"/>
      <c r="I191" s="23" t="n"/>
      <c r="J191" s="23" t="n"/>
      <c r="K191" s="24" t="n"/>
      <c r="L191" s="25">
        <f>IF(ISNUMBER(J191),J191-IF(ISNUMBER(K191),K191,30),"")</f>
        <v/>
      </c>
      <c r="M191" s="26">
        <f>IF(J191="","",IF(ISNUMBER(J191),J191-TODAY(),"Check date"))</f>
        <v/>
      </c>
      <c r="N191" s="27">
        <f>IF(M191="","",IF(ISNUMBER(M191),IF(M191&lt;0,"Expired",IF(M191&lt;=30,"Due ≤30 days",IF(M191&lt;=90,"Due ≤90 days","OK"))),"Check date"))</f>
        <v/>
      </c>
      <c r="O191" s="21" t="n"/>
      <c r="P191" s="21" t="n"/>
      <c r="Q191" s="21" t="n"/>
      <c r="R191" s="21" t="n"/>
      <c r="S191" s="21" t="n"/>
    </row>
    <row r="192">
      <c r="A192" s="21" t="n"/>
      <c r="B192" s="21" t="n"/>
      <c r="C192" s="21" t="n"/>
      <c r="D192" s="21" t="n"/>
      <c r="E192" s="21" t="n"/>
      <c r="F192" s="22" t="n"/>
      <c r="G192" s="22" t="n"/>
      <c r="H192" s="21" t="n"/>
      <c r="I192" s="23" t="n"/>
      <c r="J192" s="23" t="n"/>
      <c r="K192" s="24" t="n"/>
      <c r="L192" s="25">
        <f>IF(ISNUMBER(J192),J192-IF(ISNUMBER(K192),K192,30),"")</f>
        <v/>
      </c>
      <c r="M192" s="26">
        <f>IF(J192="","",IF(ISNUMBER(J192),J192-TODAY(),"Check date"))</f>
        <v/>
      </c>
      <c r="N192" s="27">
        <f>IF(M192="","",IF(ISNUMBER(M192),IF(M192&lt;0,"Expired",IF(M192&lt;=30,"Due ≤30 days",IF(M192&lt;=90,"Due ≤90 days","OK"))),"Check date"))</f>
        <v/>
      </c>
      <c r="O192" s="21" t="n"/>
      <c r="P192" s="21" t="n"/>
      <c r="Q192" s="21" t="n"/>
      <c r="R192" s="21" t="n"/>
      <c r="S192" s="21" t="n"/>
    </row>
    <row r="193">
      <c r="A193" s="21" t="n"/>
      <c r="B193" s="21" t="n"/>
      <c r="C193" s="21" t="n"/>
      <c r="D193" s="21" t="n"/>
      <c r="E193" s="21" t="n"/>
      <c r="F193" s="22" t="n"/>
      <c r="G193" s="22" t="n"/>
      <c r="H193" s="21" t="n"/>
      <c r="I193" s="23" t="n"/>
      <c r="J193" s="23" t="n"/>
      <c r="K193" s="24" t="n"/>
      <c r="L193" s="25">
        <f>IF(ISNUMBER(J193),J193-IF(ISNUMBER(K193),K193,30),"")</f>
        <v/>
      </c>
      <c r="M193" s="26">
        <f>IF(J193="","",IF(ISNUMBER(J193),J193-TODAY(),"Check date"))</f>
        <v/>
      </c>
      <c r="N193" s="27">
        <f>IF(M193="","",IF(ISNUMBER(M193),IF(M193&lt;0,"Expired",IF(M193&lt;=30,"Due ≤30 days",IF(M193&lt;=90,"Due ≤90 days","OK"))),"Check date"))</f>
        <v/>
      </c>
      <c r="O193" s="21" t="n"/>
      <c r="P193" s="21" t="n"/>
      <c r="Q193" s="21" t="n"/>
      <c r="R193" s="21" t="n"/>
      <c r="S193" s="21" t="n"/>
    </row>
    <row r="194">
      <c r="A194" s="21" t="n"/>
      <c r="B194" s="21" t="n"/>
      <c r="C194" s="21" t="n"/>
      <c r="D194" s="21" t="n"/>
      <c r="E194" s="21" t="n"/>
      <c r="F194" s="22" t="n"/>
      <c r="G194" s="22" t="n"/>
      <c r="H194" s="21" t="n"/>
      <c r="I194" s="23" t="n"/>
      <c r="J194" s="23" t="n"/>
      <c r="K194" s="24" t="n"/>
      <c r="L194" s="25">
        <f>IF(ISNUMBER(J194),J194-IF(ISNUMBER(K194),K194,30),"")</f>
        <v/>
      </c>
      <c r="M194" s="26">
        <f>IF(J194="","",IF(ISNUMBER(J194),J194-TODAY(),"Check date"))</f>
        <v/>
      </c>
      <c r="N194" s="27">
        <f>IF(M194="","",IF(ISNUMBER(M194),IF(M194&lt;0,"Expired",IF(M194&lt;=30,"Due ≤30 days",IF(M194&lt;=90,"Due ≤90 days","OK"))),"Check date"))</f>
        <v/>
      </c>
      <c r="O194" s="21" t="n"/>
      <c r="P194" s="21" t="n"/>
      <c r="Q194" s="21" t="n"/>
      <c r="R194" s="21" t="n"/>
      <c r="S194" s="21" t="n"/>
    </row>
    <row r="195">
      <c r="A195" s="21" t="n"/>
      <c r="B195" s="21" t="n"/>
      <c r="C195" s="21" t="n"/>
      <c r="D195" s="21" t="n"/>
      <c r="E195" s="21" t="n"/>
      <c r="F195" s="22" t="n"/>
      <c r="G195" s="22" t="n"/>
      <c r="H195" s="21" t="n"/>
      <c r="I195" s="23" t="n"/>
      <c r="J195" s="23" t="n"/>
      <c r="K195" s="24" t="n"/>
      <c r="L195" s="25">
        <f>IF(ISNUMBER(J195),J195-IF(ISNUMBER(K195),K195,30),"")</f>
        <v/>
      </c>
      <c r="M195" s="26">
        <f>IF(J195="","",IF(ISNUMBER(J195),J195-TODAY(),"Check date"))</f>
        <v/>
      </c>
      <c r="N195" s="27">
        <f>IF(M195="","",IF(ISNUMBER(M195),IF(M195&lt;0,"Expired",IF(M195&lt;=30,"Due ≤30 days",IF(M195&lt;=90,"Due ≤90 days","OK"))),"Check date"))</f>
        <v/>
      </c>
      <c r="O195" s="21" t="n"/>
      <c r="P195" s="21" t="n"/>
      <c r="Q195" s="21" t="n"/>
      <c r="R195" s="21" t="n"/>
      <c r="S195" s="21" t="n"/>
    </row>
    <row r="196">
      <c r="A196" s="21" t="n"/>
      <c r="B196" s="21" t="n"/>
      <c r="C196" s="21" t="n"/>
      <c r="D196" s="21" t="n"/>
      <c r="E196" s="21" t="n"/>
      <c r="F196" s="22" t="n"/>
      <c r="G196" s="22" t="n"/>
      <c r="H196" s="21" t="n"/>
      <c r="I196" s="23" t="n"/>
      <c r="J196" s="23" t="n"/>
      <c r="K196" s="24" t="n"/>
      <c r="L196" s="25">
        <f>IF(ISNUMBER(J196),J196-IF(ISNUMBER(K196),K196,30),"")</f>
        <v/>
      </c>
      <c r="M196" s="26">
        <f>IF(J196="","",IF(ISNUMBER(J196),J196-TODAY(),"Check date"))</f>
        <v/>
      </c>
      <c r="N196" s="27">
        <f>IF(M196="","",IF(ISNUMBER(M196),IF(M196&lt;0,"Expired",IF(M196&lt;=30,"Due ≤30 days",IF(M196&lt;=90,"Due ≤90 days","OK"))),"Check date"))</f>
        <v/>
      </c>
      <c r="O196" s="21" t="n"/>
      <c r="P196" s="21" t="n"/>
      <c r="Q196" s="21" t="n"/>
      <c r="R196" s="21" t="n"/>
      <c r="S196" s="21" t="n"/>
    </row>
    <row r="197">
      <c r="A197" s="21" t="n"/>
      <c r="B197" s="21" t="n"/>
      <c r="C197" s="21" t="n"/>
      <c r="D197" s="21" t="n"/>
      <c r="E197" s="21" t="n"/>
      <c r="F197" s="22" t="n"/>
      <c r="G197" s="22" t="n"/>
      <c r="H197" s="21" t="n"/>
      <c r="I197" s="23" t="n"/>
      <c r="J197" s="23" t="n"/>
      <c r="K197" s="24" t="n"/>
      <c r="L197" s="25">
        <f>IF(ISNUMBER(J197),J197-IF(ISNUMBER(K197),K197,30),"")</f>
        <v/>
      </c>
      <c r="M197" s="26">
        <f>IF(J197="","",IF(ISNUMBER(J197),J197-TODAY(),"Check date"))</f>
        <v/>
      </c>
      <c r="N197" s="27">
        <f>IF(M197="","",IF(ISNUMBER(M197),IF(M197&lt;0,"Expired",IF(M197&lt;=30,"Due ≤30 days",IF(M197&lt;=90,"Due ≤90 days","OK"))),"Check date"))</f>
        <v/>
      </c>
      <c r="O197" s="21" t="n"/>
      <c r="P197" s="21" t="n"/>
      <c r="Q197" s="21" t="n"/>
      <c r="R197" s="21" t="n"/>
      <c r="S197" s="21" t="n"/>
    </row>
    <row r="198">
      <c r="A198" s="21" t="n"/>
      <c r="B198" s="21" t="n"/>
      <c r="C198" s="21" t="n"/>
      <c r="D198" s="21" t="n"/>
      <c r="E198" s="21" t="n"/>
      <c r="F198" s="22" t="n"/>
      <c r="G198" s="22" t="n"/>
      <c r="H198" s="21" t="n"/>
      <c r="I198" s="23" t="n"/>
      <c r="J198" s="23" t="n"/>
      <c r="K198" s="24" t="n"/>
      <c r="L198" s="25">
        <f>IF(ISNUMBER(J198),J198-IF(ISNUMBER(K198),K198,30),"")</f>
        <v/>
      </c>
      <c r="M198" s="26">
        <f>IF(J198="","",IF(ISNUMBER(J198),J198-TODAY(),"Check date"))</f>
        <v/>
      </c>
      <c r="N198" s="27">
        <f>IF(M198="","",IF(ISNUMBER(M198),IF(M198&lt;0,"Expired",IF(M198&lt;=30,"Due ≤30 days",IF(M198&lt;=90,"Due ≤90 days","OK"))),"Check date"))</f>
        <v/>
      </c>
      <c r="O198" s="21" t="n"/>
      <c r="P198" s="21" t="n"/>
      <c r="Q198" s="21" t="n"/>
      <c r="R198" s="21" t="n"/>
      <c r="S198" s="21" t="n"/>
    </row>
    <row r="199">
      <c r="A199" s="21" t="n"/>
      <c r="B199" s="21" t="n"/>
      <c r="C199" s="21" t="n"/>
      <c r="D199" s="21" t="n"/>
      <c r="E199" s="21" t="n"/>
      <c r="F199" s="22" t="n"/>
      <c r="G199" s="22" t="n"/>
      <c r="H199" s="21" t="n"/>
      <c r="I199" s="23" t="n"/>
      <c r="J199" s="23" t="n"/>
      <c r="K199" s="24" t="n"/>
      <c r="L199" s="25">
        <f>IF(ISNUMBER(J199),J199-IF(ISNUMBER(K199),K199,30),"")</f>
        <v/>
      </c>
      <c r="M199" s="26">
        <f>IF(J199="","",IF(ISNUMBER(J199),J199-TODAY(),"Check date"))</f>
        <v/>
      </c>
      <c r="N199" s="27">
        <f>IF(M199="","",IF(ISNUMBER(M199),IF(M199&lt;0,"Expired",IF(M199&lt;=30,"Due ≤30 days",IF(M199&lt;=90,"Due ≤90 days","OK"))),"Check date"))</f>
        <v/>
      </c>
      <c r="O199" s="21" t="n"/>
      <c r="P199" s="21" t="n"/>
      <c r="Q199" s="21" t="n"/>
      <c r="R199" s="21" t="n"/>
      <c r="S199" s="21" t="n"/>
    </row>
    <row r="200">
      <c r="A200" s="21" t="n"/>
      <c r="B200" s="21" t="n"/>
      <c r="C200" s="21" t="n"/>
      <c r="D200" s="21" t="n"/>
      <c r="E200" s="21" t="n"/>
      <c r="F200" s="22" t="n"/>
      <c r="G200" s="22" t="n"/>
      <c r="H200" s="21" t="n"/>
      <c r="I200" s="23" t="n"/>
      <c r="J200" s="23" t="n"/>
      <c r="K200" s="24" t="n"/>
      <c r="L200" s="25">
        <f>IF(ISNUMBER(J200),J200-IF(ISNUMBER(K200),K200,30),"")</f>
        <v/>
      </c>
      <c r="M200" s="26">
        <f>IF(J200="","",IF(ISNUMBER(J200),J200-TODAY(),"Check date"))</f>
        <v/>
      </c>
      <c r="N200" s="27">
        <f>IF(M200="","",IF(ISNUMBER(M200),IF(M200&lt;0,"Expired",IF(M200&lt;=30,"Due ≤30 days",IF(M200&lt;=90,"Due ≤90 days","OK"))),"Check date"))</f>
        <v/>
      </c>
      <c r="O200" s="21" t="n"/>
      <c r="P200" s="21" t="n"/>
      <c r="Q200" s="21" t="n"/>
      <c r="R200" s="21" t="n"/>
      <c r="S200" s="21" t="n"/>
    </row>
    <row r="201">
      <c r="A201" s="21" t="n"/>
      <c r="B201" s="21" t="n"/>
      <c r="C201" s="21" t="n"/>
      <c r="D201" s="21" t="n"/>
      <c r="E201" s="21" t="n"/>
      <c r="F201" s="22" t="n"/>
      <c r="G201" s="22" t="n"/>
      <c r="H201" s="21" t="n"/>
      <c r="I201" s="23" t="n"/>
      <c r="J201" s="23" t="n"/>
      <c r="K201" s="24" t="n"/>
      <c r="L201" s="25">
        <f>IF(ISNUMBER(J201),J201-IF(ISNUMBER(K201),K201,30),"")</f>
        <v/>
      </c>
      <c r="M201" s="26">
        <f>IF(J201="","",IF(ISNUMBER(J201),J201-TODAY(),"Check date"))</f>
        <v/>
      </c>
      <c r="N201" s="27">
        <f>IF(M201="","",IF(ISNUMBER(M201),IF(M201&lt;0,"Expired",IF(M201&lt;=30,"Due ≤30 days",IF(M201&lt;=90,"Due ≤90 days","OK"))),"Check date"))</f>
        <v/>
      </c>
      <c r="O201" s="21" t="n"/>
      <c r="P201" s="21" t="n"/>
      <c r="Q201" s="21" t="n"/>
      <c r="R201" s="21" t="n"/>
      <c r="S201" s="21" t="n"/>
    </row>
    <row r="202">
      <c r="A202" s="21" t="n"/>
      <c r="B202" s="21" t="n"/>
      <c r="C202" s="21" t="n"/>
      <c r="D202" s="21" t="n"/>
      <c r="E202" s="21" t="n"/>
      <c r="F202" s="22" t="n"/>
      <c r="G202" s="22" t="n"/>
      <c r="H202" s="21" t="n"/>
      <c r="I202" s="23" t="n"/>
      <c r="J202" s="23" t="n"/>
      <c r="K202" s="24" t="n"/>
      <c r="L202" s="25">
        <f>IF(ISNUMBER(J202),J202-IF(ISNUMBER(K202),K202,30),"")</f>
        <v/>
      </c>
      <c r="M202" s="26">
        <f>IF(J202="","",IF(ISNUMBER(J202),J202-TODAY(),"Check date"))</f>
        <v/>
      </c>
      <c r="N202" s="27">
        <f>IF(M202="","",IF(ISNUMBER(M202),IF(M202&lt;0,"Expired",IF(M202&lt;=30,"Due ≤30 days",IF(M202&lt;=90,"Due ≤90 days","OK"))),"Check date"))</f>
        <v/>
      </c>
      <c r="O202" s="21" t="n"/>
      <c r="P202" s="21" t="n"/>
      <c r="Q202" s="21" t="n"/>
      <c r="R202" s="21" t="n"/>
      <c r="S202" s="21" t="n"/>
    </row>
    <row r="203">
      <c r="A203" s="21" t="n"/>
      <c r="B203" s="21" t="n"/>
      <c r="C203" s="21" t="n"/>
      <c r="D203" s="21" t="n"/>
      <c r="E203" s="21" t="n"/>
      <c r="F203" s="22" t="n"/>
      <c r="G203" s="22" t="n"/>
      <c r="H203" s="21" t="n"/>
      <c r="I203" s="23" t="n"/>
      <c r="J203" s="23" t="n"/>
      <c r="K203" s="24" t="n"/>
      <c r="L203" s="25">
        <f>IF(ISNUMBER(J203),J203-IF(ISNUMBER(K203),K203,30),"")</f>
        <v/>
      </c>
      <c r="M203" s="26">
        <f>IF(J203="","",IF(ISNUMBER(J203),J203-TODAY(),"Check date"))</f>
        <v/>
      </c>
      <c r="N203" s="27">
        <f>IF(M203="","",IF(ISNUMBER(M203),IF(M203&lt;0,"Expired",IF(M203&lt;=30,"Due ≤30 days",IF(M203&lt;=90,"Due ≤90 days","OK"))),"Check date"))</f>
        <v/>
      </c>
      <c r="O203" s="21" t="n"/>
      <c r="P203" s="21" t="n"/>
      <c r="Q203" s="21" t="n"/>
      <c r="R203" s="21" t="n"/>
      <c r="S203" s="21" t="n"/>
    </row>
    <row r="204">
      <c r="A204" s="21" t="n"/>
      <c r="B204" s="21" t="n"/>
      <c r="C204" s="21" t="n"/>
      <c r="D204" s="21" t="n"/>
      <c r="E204" s="21" t="n"/>
      <c r="F204" s="22" t="n"/>
      <c r="G204" s="22" t="n"/>
      <c r="H204" s="21" t="n"/>
      <c r="I204" s="23" t="n"/>
      <c r="J204" s="23" t="n"/>
      <c r="K204" s="24" t="n"/>
      <c r="L204" s="25">
        <f>IF(ISNUMBER(J204),J204-IF(ISNUMBER(K204),K204,30),"")</f>
        <v/>
      </c>
      <c r="M204" s="26">
        <f>IF(J204="","",IF(ISNUMBER(J204),J204-TODAY(),"Check date"))</f>
        <v/>
      </c>
      <c r="N204" s="27">
        <f>IF(M204="","",IF(ISNUMBER(M204),IF(M204&lt;0,"Expired",IF(M204&lt;=30,"Due ≤30 days",IF(M204&lt;=90,"Due ≤90 days","OK"))),"Check date"))</f>
        <v/>
      </c>
      <c r="O204" s="21" t="n"/>
      <c r="P204" s="21" t="n"/>
      <c r="Q204" s="21" t="n"/>
      <c r="R204" s="21" t="n"/>
      <c r="S204" s="21" t="n"/>
    </row>
    <row r="205">
      <c r="A205" s="21" t="n"/>
      <c r="B205" s="21" t="n"/>
      <c r="C205" s="21" t="n"/>
      <c r="D205" s="21" t="n"/>
      <c r="E205" s="21" t="n"/>
      <c r="F205" s="22" t="n"/>
      <c r="G205" s="22" t="n"/>
      <c r="H205" s="21" t="n"/>
      <c r="I205" s="23" t="n"/>
      <c r="J205" s="23" t="n"/>
      <c r="K205" s="24" t="n"/>
      <c r="L205" s="25">
        <f>IF(ISNUMBER(J205),J205-IF(ISNUMBER(K205),K205,30),"")</f>
        <v/>
      </c>
      <c r="M205" s="26">
        <f>IF(J205="","",IF(ISNUMBER(J205),J205-TODAY(),"Check date"))</f>
        <v/>
      </c>
      <c r="N205" s="27">
        <f>IF(M205="","",IF(ISNUMBER(M205),IF(M205&lt;0,"Expired",IF(M205&lt;=30,"Due ≤30 days",IF(M205&lt;=90,"Due ≤90 days","OK"))),"Check date"))</f>
        <v/>
      </c>
      <c r="O205" s="21" t="n"/>
      <c r="P205" s="21" t="n"/>
      <c r="Q205" s="21" t="n"/>
      <c r="R205" s="21" t="n"/>
      <c r="S205" s="21" t="n"/>
    </row>
    <row r="206">
      <c r="A206" s="21" t="n"/>
      <c r="B206" s="21" t="n"/>
      <c r="C206" s="21" t="n"/>
      <c r="D206" s="21" t="n"/>
      <c r="E206" s="21" t="n"/>
      <c r="F206" s="22" t="n"/>
      <c r="G206" s="22" t="n"/>
      <c r="H206" s="21" t="n"/>
      <c r="I206" s="23" t="n"/>
      <c r="J206" s="23" t="n"/>
      <c r="K206" s="24" t="n"/>
      <c r="L206" s="25">
        <f>IF(ISNUMBER(J206),J206-IF(ISNUMBER(K206),K206,30),"")</f>
        <v/>
      </c>
      <c r="M206" s="26">
        <f>IF(J206="","",IF(ISNUMBER(J206),J206-TODAY(),"Check date"))</f>
        <v/>
      </c>
      <c r="N206" s="27">
        <f>IF(M206="","",IF(ISNUMBER(M206),IF(M206&lt;0,"Expired",IF(M206&lt;=30,"Due ≤30 days",IF(M206&lt;=90,"Due ≤90 days","OK"))),"Check date"))</f>
        <v/>
      </c>
      <c r="O206" s="21" t="n"/>
      <c r="P206" s="21" t="n"/>
      <c r="Q206" s="21" t="n"/>
      <c r="R206" s="21" t="n"/>
      <c r="S206" s="21" t="n"/>
    </row>
    <row r="207">
      <c r="A207" s="21" t="n"/>
      <c r="B207" s="21" t="n"/>
      <c r="C207" s="21" t="n"/>
      <c r="D207" s="21" t="n"/>
      <c r="E207" s="21" t="n"/>
      <c r="F207" s="22" t="n"/>
      <c r="G207" s="22" t="n"/>
      <c r="H207" s="21" t="n"/>
      <c r="I207" s="23" t="n"/>
      <c r="J207" s="23" t="n"/>
      <c r="K207" s="24" t="n"/>
      <c r="L207" s="25">
        <f>IF(ISNUMBER(J207),J207-IF(ISNUMBER(K207),K207,30),"")</f>
        <v/>
      </c>
      <c r="M207" s="26">
        <f>IF(J207="","",IF(ISNUMBER(J207),J207-TODAY(),"Check date"))</f>
        <v/>
      </c>
      <c r="N207" s="27">
        <f>IF(M207="","",IF(ISNUMBER(M207),IF(M207&lt;0,"Expired",IF(M207&lt;=30,"Due ≤30 days",IF(M207&lt;=90,"Due ≤90 days","OK"))),"Check date"))</f>
        <v/>
      </c>
      <c r="O207" s="21" t="n"/>
      <c r="P207" s="21" t="n"/>
      <c r="Q207" s="21" t="n"/>
      <c r="R207" s="21" t="n"/>
      <c r="S207" s="21" t="n"/>
    </row>
    <row r="208">
      <c r="A208" s="21" t="n"/>
      <c r="B208" s="21" t="n"/>
      <c r="C208" s="21" t="n"/>
      <c r="D208" s="21" t="n"/>
      <c r="E208" s="21" t="n"/>
      <c r="F208" s="22" t="n"/>
      <c r="G208" s="22" t="n"/>
      <c r="H208" s="21" t="n"/>
      <c r="I208" s="23" t="n"/>
      <c r="J208" s="23" t="n"/>
      <c r="K208" s="24" t="n"/>
      <c r="L208" s="25">
        <f>IF(ISNUMBER(J208),J208-IF(ISNUMBER(K208),K208,30),"")</f>
        <v/>
      </c>
      <c r="M208" s="26">
        <f>IF(J208="","",IF(ISNUMBER(J208),J208-TODAY(),"Check date"))</f>
        <v/>
      </c>
      <c r="N208" s="27">
        <f>IF(M208="","",IF(ISNUMBER(M208),IF(M208&lt;0,"Expired",IF(M208&lt;=30,"Due ≤30 days",IF(M208&lt;=90,"Due ≤90 days","OK"))),"Check date"))</f>
        <v/>
      </c>
      <c r="O208" s="21" t="n"/>
      <c r="P208" s="21" t="n"/>
      <c r="Q208" s="21" t="n"/>
      <c r="R208" s="21" t="n"/>
      <c r="S208" s="21" t="n"/>
    </row>
    <row r="209">
      <c r="A209" s="21" t="n"/>
      <c r="B209" s="21" t="n"/>
      <c r="C209" s="21" t="n"/>
      <c r="D209" s="21" t="n"/>
      <c r="E209" s="21" t="n"/>
      <c r="F209" s="22" t="n"/>
      <c r="G209" s="22" t="n"/>
      <c r="H209" s="21" t="n"/>
      <c r="I209" s="23" t="n"/>
      <c r="J209" s="23" t="n"/>
      <c r="K209" s="24" t="n"/>
      <c r="L209" s="25">
        <f>IF(ISNUMBER(J209),J209-IF(ISNUMBER(K209),K209,30),"")</f>
        <v/>
      </c>
      <c r="M209" s="26">
        <f>IF(J209="","",IF(ISNUMBER(J209),J209-TODAY(),"Check date"))</f>
        <v/>
      </c>
      <c r="N209" s="27">
        <f>IF(M209="","",IF(ISNUMBER(M209),IF(M209&lt;0,"Expired",IF(M209&lt;=30,"Due ≤30 days",IF(M209&lt;=90,"Due ≤90 days","OK"))),"Check date"))</f>
        <v/>
      </c>
      <c r="O209" s="21" t="n"/>
      <c r="P209" s="21" t="n"/>
      <c r="Q209" s="21" t="n"/>
      <c r="R209" s="21" t="n"/>
      <c r="S209" s="21" t="n"/>
    </row>
    <row r="210">
      <c r="A210" s="21" t="n"/>
      <c r="B210" s="21" t="n"/>
      <c r="C210" s="21" t="n"/>
      <c r="D210" s="21" t="n"/>
      <c r="E210" s="21" t="n"/>
      <c r="F210" s="22" t="n"/>
      <c r="G210" s="22" t="n"/>
      <c r="H210" s="21" t="n"/>
      <c r="I210" s="23" t="n"/>
      <c r="J210" s="23" t="n"/>
      <c r="K210" s="24" t="n"/>
      <c r="L210" s="25">
        <f>IF(ISNUMBER(J210),J210-IF(ISNUMBER(K210),K210,30),"")</f>
        <v/>
      </c>
      <c r="M210" s="26">
        <f>IF(J210="","",IF(ISNUMBER(J210),J210-TODAY(),"Check date"))</f>
        <v/>
      </c>
      <c r="N210" s="27">
        <f>IF(M210="","",IF(ISNUMBER(M210),IF(M210&lt;0,"Expired",IF(M210&lt;=30,"Due ≤30 days",IF(M210&lt;=90,"Due ≤90 days","OK"))),"Check date"))</f>
        <v/>
      </c>
      <c r="O210" s="21" t="n"/>
      <c r="P210" s="21" t="n"/>
      <c r="Q210" s="21" t="n"/>
      <c r="R210" s="21" t="n"/>
      <c r="S210" s="21" t="n"/>
    </row>
    <row r="211">
      <c r="A211" s="21" t="n"/>
      <c r="B211" s="21" t="n"/>
      <c r="C211" s="21" t="n"/>
      <c r="D211" s="21" t="n"/>
      <c r="E211" s="21" t="n"/>
      <c r="F211" s="22" t="n"/>
      <c r="G211" s="22" t="n"/>
      <c r="H211" s="21" t="n"/>
      <c r="I211" s="23" t="n"/>
      <c r="J211" s="23" t="n"/>
      <c r="K211" s="24" t="n"/>
      <c r="L211" s="25">
        <f>IF(ISNUMBER(J211),J211-IF(ISNUMBER(K211),K211,30),"")</f>
        <v/>
      </c>
      <c r="M211" s="26">
        <f>IF(J211="","",IF(ISNUMBER(J211),J211-TODAY(),"Check date"))</f>
        <v/>
      </c>
      <c r="N211" s="27">
        <f>IF(M211="","",IF(ISNUMBER(M211),IF(M211&lt;0,"Expired",IF(M211&lt;=30,"Due ≤30 days",IF(M211&lt;=90,"Due ≤90 days","OK"))),"Check date"))</f>
        <v/>
      </c>
      <c r="O211" s="21" t="n"/>
      <c r="P211" s="21" t="n"/>
      <c r="Q211" s="21" t="n"/>
      <c r="R211" s="21" t="n"/>
      <c r="S211" s="21" t="n"/>
    </row>
    <row r="212">
      <c r="A212" s="21" t="n"/>
      <c r="B212" s="21" t="n"/>
      <c r="C212" s="21" t="n"/>
      <c r="D212" s="21" t="n"/>
      <c r="E212" s="21" t="n"/>
      <c r="F212" s="22" t="n"/>
      <c r="G212" s="22" t="n"/>
      <c r="H212" s="21" t="n"/>
      <c r="I212" s="23" t="n"/>
      <c r="J212" s="23" t="n"/>
      <c r="K212" s="24" t="n"/>
      <c r="L212" s="25">
        <f>IF(ISNUMBER(J212),J212-IF(ISNUMBER(K212),K212,30),"")</f>
        <v/>
      </c>
      <c r="M212" s="26">
        <f>IF(J212="","",IF(ISNUMBER(J212),J212-TODAY(),"Check date"))</f>
        <v/>
      </c>
      <c r="N212" s="27">
        <f>IF(M212="","",IF(ISNUMBER(M212),IF(M212&lt;0,"Expired",IF(M212&lt;=30,"Due ≤30 days",IF(M212&lt;=90,"Due ≤90 days","OK"))),"Check date"))</f>
        <v/>
      </c>
      <c r="O212" s="21" t="n"/>
      <c r="P212" s="21" t="n"/>
      <c r="Q212" s="21" t="n"/>
      <c r="R212" s="21" t="n"/>
      <c r="S212" s="21" t="n"/>
    </row>
    <row r="213">
      <c r="A213" s="21" t="n"/>
      <c r="B213" s="21" t="n"/>
      <c r="C213" s="21" t="n"/>
      <c r="D213" s="21" t="n"/>
      <c r="E213" s="21" t="n"/>
      <c r="F213" s="22" t="n"/>
      <c r="G213" s="22" t="n"/>
      <c r="H213" s="21" t="n"/>
      <c r="I213" s="23" t="n"/>
      <c r="J213" s="23" t="n"/>
      <c r="K213" s="24" t="n"/>
      <c r="L213" s="25">
        <f>IF(ISNUMBER(J213),J213-IF(ISNUMBER(K213),K213,30),"")</f>
        <v/>
      </c>
      <c r="M213" s="26">
        <f>IF(J213="","",IF(ISNUMBER(J213),J213-TODAY(),"Check date"))</f>
        <v/>
      </c>
      <c r="N213" s="27">
        <f>IF(M213="","",IF(ISNUMBER(M213),IF(M213&lt;0,"Expired",IF(M213&lt;=30,"Due ≤30 days",IF(M213&lt;=90,"Due ≤90 days","OK"))),"Check date"))</f>
        <v/>
      </c>
      <c r="O213" s="21" t="n"/>
      <c r="P213" s="21" t="n"/>
      <c r="Q213" s="21" t="n"/>
      <c r="R213" s="21" t="n"/>
      <c r="S213" s="21" t="n"/>
    </row>
    <row r="214">
      <c r="A214" s="21" t="n"/>
      <c r="B214" s="21" t="n"/>
      <c r="C214" s="21" t="n"/>
      <c r="D214" s="21" t="n"/>
      <c r="E214" s="21" t="n"/>
      <c r="F214" s="22" t="n"/>
      <c r="G214" s="22" t="n"/>
      <c r="H214" s="21" t="n"/>
      <c r="I214" s="23" t="n"/>
      <c r="J214" s="23" t="n"/>
      <c r="K214" s="24" t="n"/>
      <c r="L214" s="25">
        <f>IF(ISNUMBER(J214),J214-IF(ISNUMBER(K214),K214,30),"")</f>
        <v/>
      </c>
      <c r="M214" s="26">
        <f>IF(J214="","",IF(ISNUMBER(J214),J214-TODAY(),"Check date"))</f>
        <v/>
      </c>
      <c r="N214" s="27">
        <f>IF(M214="","",IF(ISNUMBER(M214),IF(M214&lt;0,"Expired",IF(M214&lt;=30,"Due ≤30 days",IF(M214&lt;=90,"Due ≤90 days","OK"))),"Check date"))</f>
        <v/>
      </c>
      <c r="O214" s="21" t="n"/>
      <c r="P214" s="21" t="n"/>
      <c r="Q214" s="21" t="n"/>
      <c r="R214" s="21" t="n"/>
      <c r="S214" s="21" t="n"/>
    </row>
    <row r="215">
      <c r="A215" s="21" t="n"/>
      <c r="B215" s="21" t="n"/>
      <c r="C215" s="21" t="n"/>
      <c r="D215" s="21" t="n"/>
      <c r="E215" s="21" t="n"/>
      <c r="F215" s="22" t="n"/>
      <c r="G215" s="22" t="n"/>
      <c r="H215" s="21" t="n"/>
      <c r="I215" s="23" t="n"/>
      <c r="J215" s="23" t="n"/>
      <c r="K215" s="24" t="n"/>
      <c r="L215" s="25">
        <f>IF(ISNUMBER(J215),J215-IF(ISNUMBER(K215),K215,30),"")</f>
        <v/>
      </c>
      <c r="M215" s="26">
        <f>IF(J215="","",IF(ISNUMBER(J215),J215-TODAY(),"Check date"))</f>
        <v/>
      </c>
      <c r="N215" s="27">
        <f>IF(M215="","",IF(ISNUMBER(M215),IF(M215&lt;0,"Expired",IF(M215&lt;=30,"Due ≤30 days",IF(M215&lt;=90,"Due ≤90 days","OK"))),"Check date"))</f>
        <v/>
      </c>
      <c r="O215" s="21" t="n"/>
      <c r="P215" s="21" t="n"/>
      <c r="Q215" s="21" t="n"/>
      <c r="R215" s="21" t="n"/>
      <c r="S215" s="21" t="n"/>
    </row>
    <row r="216">
      <c r="A216" s="21" t="n"/>
      <c r="B216" s="21" t="n"/>
      <c r="C216" s="21" t="n"/>
      <c r="D216" s="21" t="n"/>
      <c r="E216" s="21" t="n"/>
      <c r="F216" s="22" t="n"/>
      <c r="G216" s="22" t="n"/>
      <c r="H216" s="21" t="n"/>
      <c r="I216" s="23" t="n"/>
      <c r="J216" s="23" t="n"/>
      <c r="K216" s="24" t="n"/>
      <c r="L216" s="25">
        <f>IF(ISNUMBER(J216),J216-IF(ISNUMBER(K216),K216,30),"")</f>
        <v/>
      </c>
      <c r="M216" s="26">
        <f>IF(J216="","",IF(ISNUMBER(J216),J216-TODAY(),"Check date"))</f>
        <v/>
      </c>
      <c r="N216" s="27">
        <f>IF(M216="","",IF(ISNUMBER(M216),IF(M216&lt;0,"Expired",IF(M216&lt;=30,"Due ≤30 days",IF(M216&lt;=90,"Due ≤90 days","OK"))),"Check date"))</f>
        <v/>
      </c>
      <c r="O216" s="21" t="n"/>
      <c r="P216" s="21" t="n"/>
      <c r="Q216" s="21" t="n"/>
      <c r="R216" s="21" t="n"/>
      <c r="S216" s="21" t="n"/>
    </row>
    <row r="217">
      <c r="A217" s="21" t="n"/>
      <c r="B217" s="21" t="n"/>
      <c r="C217" s="21" t="n"/>
      <c r="D217" s="21" t="n"/>
      <c r="E217" s="21" t="n"/>
      <c r="F217" s="22" t="n"/>
      <c r="G217" s="22" t="n"/>
      <c r="H217" s="21" t="n"/>
      <c r="I217" s="23" t="n"/>
      <c r="J217" s="23" t="n"/>
      <c r="K217" s="24" t="n"/>
      <c r="L217" s="25">
        <f>IF(ISNUMBER(J217),J217-IF(ISNUMBER(K217),K217,30),"")</f>
        <v/>
      </c>
      <c r="M217" s="26">
        <f>IF(J217="","",IF(ISNUMBER(J217),J217-TODAY(),"Check date"))</f>
        <v/>
      </c>
      <c r="N217" s="27">
        <f>IF(M217="","",IF(ISNUMBER(M217),IF(M217&lt;0,"Expired",IF(M217&lt;=30,"Due ≤30 days",IF(M217&lt;=90,"Due ≤90 days","OK"))),"Check date"))</f>
        <v/>
      </c>
      <c r="O217" s="21" t="n"/>
      <c r="P217" s="21" t="n"/>
      <c r="Q217" s="21" t="n"/>
      <c r="R217" s="21" t="n"/>
      <c r="S217" s="21" t="n"/>
    </row>
    <row r="218">
      <c r="A218" s="21" t="n"/>
      <c r="B218" s="21" t="n"/>
      <c r="C218" s="21" t="n"/>
      <c r="D218" s="21" t="n"/>
      <c r="E218" s="21" t="n"/>
      <c r="F218" s="22" t="n"/>
      <c r="G218" s="22" t="n"/>
      <c r="H218" s="21" t="n"/>
      <c r="I218" s="23" t="n"/>
      <c r="J218" s="23" t="n"/>
      <c r="K218" s="24" t="n"/>
      <c r="L218" s="25">
        <f>IF(ISNUMBER(J218),J218-IF(ISNUMBER(K218),K218,30),"")</f>
        <v/>
      </c>
      <c r="M218" s="26">
        <f>IF(J218="","",IF(ISNUMBER(J218),J218-TODAY(),"Check date"))</f>
        <v/>
      </c>
      <c r="N218" s="27">
        <f>IF(M218="","",IF(ISNUMBER(M218),IF(M218&lt;0,"Expired",IF(M218&lt;=30,"Due ≤30 days",IF(M218&lt;=90,"Due ≤90 days","OK"))),"Check date"))</f>
        <v/>
      </c>
      <c r="O218" s="21" t="n"/>
      <c r="P218" s="21" t="n"/>
      <c r="Q218" s="21" t="n"/>
      <c r="R218" s="21" t="n"/>
      <c r="S218" s="21" t="n"/>
    </row>
    <row r="219">
      <c r="A219" s="21" t="n"/>
      <c r="B219" s="21" t="n"/>
      <c r="C219" s="21" t="n"/>
      <c r="D219" s="21" t="n"/>
      <c r="E219" s="21" t="n"/>
      <c r="F219" s="22" t="n"/>
      <c r="G219" s="22" t="n"/>
      <c r="H219" s="21" t="n"/>
      <c r="I219" s="23" t="n"/>
      <c r="J219" s="23" t="n"/>
      <c r="K219" s="24" t="n"/>
      <c r="L219" s="25">
        <f>IF(ISNUMBER(J219),J219-IF(ISNUMBER(K219),K219,30),"")</f>
        <v/>
      </c>
      <c r="M219" s="26">
        <f>IF(J219="","",IF(ISNUMBER(J219),J219-TODAY(),"Check date"))</f>
        <v/>
      </c>
      <c r="N219" s="27">
        <f>IF(M219="","",IF(ISNUMBER(M219),IF(M219&lt;0,"Expired",IF(M219&lt;=30,"Due ≤30 days",IF(M219&lt;=90,"Due ≤90 days","OK"))),"Check date"))</f>
        <v/>
      </c>
      <c r="O219" s="21" t="n"/>
      <c r="P219" s="21" t="n"/>
      <c r="Q219" s="21" t="n"/>
      <c r="R219" s="21" t="n"/>
      <c r="S219" s="21" t="n"/>
    </row>
    <row r="220">
      <c r="A220" s="21" t="n"/>
      <c r="B220" s="21" t="n"/>
      <c r="C220" s="21" t="n"/>
      <c r="D220" s="21" t="n"/>
      <c r="E220" s="21" t="n"/>
      <c r="F220" s="22" t="n"/>
      <c r="G220" s="22" t="n"/>
      <c r="H220" s="21" t="n"/>
      <c r="I220" s="23" t="n"/>
      <c r="J220" s="23" t="n"/>
      <c r="K220" s="24" t="n"/>
      <c r="L220" s="25">
        <f>IF(ISNUMBER(J220),J220-IF(ISNUMBER(K220),K220,30),"")</f>
        <v/>
      </c>
      <c r="M220" s="26">
        <f>IF(J220="","",IF(ISNUMBER(J220),J220-TODAY(),"Check date"))</f>
        <v/>
      </c>
      <c r="N220" s="27">
        <f>IF(M220="","",IF(ISNUMBER(M220),IF(M220&lt;0,"Expired",IF(M220&lt;=30,"Due ≤30 days",IF(M220&lt;=90,"Due ≤90 days","OK"))),"Check date"))</f>
        <v/>
      </c>
      <c r="O220" s="21" t="n"/>
      <c r="P220" s="21" t="n"/>
      <c r="Q220" s="21" t="n"/>
      <c r="R220" s="21" t="n"/>
      <c r="S220" s="21" t="n"/>
    </row>
    <row r="221">
      <c r="A221" s="21" t="n"/>
      <c r="B221" s="21" t="n"/>
      <c r="C221" s="21" t="n"/>
      <c r="D221" s="21" t="n"/>
      <c r="E221" s="21" t="n"/>
      <c r="F221" s="22" t="n"/>
      <c r="G221" s="22" t="n"/>
      <c r="H221" s="21" t="n"/>
      <c r="I221" s="23" t="n"/>
      <c r="J221" s="23" t="n"/>
      <c r="K221" s="24" t="n"/>
      <c r="L221" s="25">
        <f>IF(ISNUMBER(J221),J221-IF(ISNUMBER(K221),K221,30),"")</f>
        <v/>
      </c>
      <c r="M221" s="26">
        <f>IF(J221="","",IF(ISNUMBER(J221),J221-TODAY(),"Check date"))</f>
        <v/>
      </c>
      <c r="N221" s="27">
        <f>IF(M221="","",IF(ISNUMBER(M221),IF(M221&lt;0,"Expired",IF(M221&lt;=30,"Due ≤30 days",IF(M221&lt;=90,"Due ≤90 days","OK"))),"Check date"))</f>
        <v/>
      </c>
      <c r="O221" s="21" t="n"/>
      <c r="P221" s="21" t="n"/>
      <c r="Q221" s="21" t="n"/>
      <c r="R221" s="21" t="n"/>
      <c r="S221" s="21" t="n"/>
    </row>
    <row r="222">
      <c r="A222" s="21" t="n"/>
      <c r="B222" s="21" t="n"/>
      <c r="C222" s="21" t="n"/>
      <c r="D222" s="21" t="n"/>
      <c r="E222" s="21" t="n"/>
      <c r="F222" s="22" t="n"/>
      <c r="G222" s="22" t="n"/>
      <c r="H222" s="21" t="n"/>
      <c r="I222" s="23" t="n"/>
      <c r="J222" s="23" t="n"/>
      <c r="K222" s="24" t="n"/>
      <c r="L222" s="25">
        <f>IF(ISNUMBER(J222),J222-IF(ISNUMBER(K222),K222,30),"")</f>
        <v/>
      </c>
      <c r="M222" s="26">
        <f>IF(J222="","",IF(ISNUMBER(J222),J222-TODAY(),"Check date"))</f>
        <v/>
      </c>
      <c r="N222" s="27">
        <f>IF(M222="","",IF(ISNUMBER(M222),IF(M222&lt;0,"Expired",IF(M222&lt;=30,"Due ≤30 days",IF(M222&lt;=90,"Due ≤90 days","OK"))),"Check date"))</f>
        <v/>
      </c>
      <c r="O222" s="21" t="n"/>
      <c r="P222" s="21" t="n"/>
      <c r="Q222" s="21" t="n"/>
      <c r="R222" s="21" t="n"/>
      <c r="S222" s="21" t="n"/>
    </row>
    <row r="223">
      <c r="A223" s="21" t="n"/>
      <c r="B223" s="21" t="n"/>
      <c r="C223" s="21" t="n"/>
      <c r="D223" s="21" t="n"/>
      <c r="E223" s="21" t="n"/>
      <c r="F223" s="22" t="n"/>
      <c r="G223" s="22" t="n"/>
      <c r="H223" s="21" t="n"/>
      <c r="I223" s="23" t="n"/>
      <c r="J223" s="23" t="n"/>
      <c r="K223" s="24" t="n"/>
      <c r="L223" s="25">
        <f>IF(ISNUMBER(J223),J223-IF(ISNUMBER(K223),K223,30),"")</f>
        <v/>
      </c>
      <c r="M223" s="26">
        <f>IF(J223="","",IF(ISNUMBER(J223),J223-TODAY(),"Check date"))</f>
        <v/>
      </c>
      <c r="N223" s="27">
        <f>IF(M223="","",IF(ISNUMBER(M223),IF(M223&lt;0,"Expired",IF(M223&lt;=30,"Due ≤30 days",IF(M223&lt;=90,"Due ≤90 days","OK"))),"Check date"))</f>
        <v/>
      </c>
      <c r="O223" s="21" t="n"/>
      <c r="P223" s="21" t="n"/>
      <c r="Q223" s="21" t="n"/>
      <c r="R223" s="21" t="n"/>
      <c r="S223" s="21" t="n"/>
    </row>
    <row r="224">
      <c r="A224" s="21" t="n"/>
      <c r="B224" s="21" t="n"/>
      <c r="C224" s="21" t="n"/>
      <c r="D224" s="21" t="n"/>
      <c r="E224" s="21" t="n"/>
      <c r="F224" s="22" t="n"/>
      <c r="G224" s="22" t="n"/>
      <c r="H224" s="21" t="n"/>
      <c r="I224" s="23" t="n"/>
      <c r="J224" s="23" t="n"/>
      <c r="K224" s="24" t="n"/>
      <c r="L224" s="25">
        <f>IF(ISNUMBER(J224),J224-IF(ISNUMBER(K224),K224,30),"")</f>
        <v/>
      </c>
      <c r="M224" s="26">
        <f>IF(J224="","",IF(ISNUMBER(J224),J224-TODAY(),"Check date"))</f>
        <v/>
      </c>
      <c r="N224" s="27">
        <f>IF(M224="","",IF(ISNUMBER(M224),IF(M224&lt;0,"Expired",IF(M224&lt;=30,"Due ≤30 days",IF(M224&lt;=90,"Due ≤90 days","OK"))),"Check date"))</f>
        <v/>
      </c>
      <c r="O224" s="21" t="n"/>
      <c r="P224" s="21" t="n"/>
      <c r="Q224" s="21" t="n"/>
      <c r="R224" s="21" t="n"/>
      <c r="S224" s="21" t="n"/>
    </row>
    <row r="225">
      <c r="A225" s="21" t="n"/>
      <c r="B225" s="21" t="n"/>
      <c r="C225" s="21" t="n"/>
      <c r="D225" s="21" t="n"/>
      <c r="E225" s="21" t="n"/>
      <c r="F225" s="22" t="n"/>
      <c r="G225" s="22" t="n"/>
      <c r="H225" s="21" t="n"/>
      <c r="I225" s="23" t="n"/>
      <c r="J225" s="23" t="n"/>
      <c r="K225" s="24" t="n"/>
      <c r="L225" s="25">
        <f>IF(ISNUMBER(J225),J225-IF(ISNUMBER(K225),K225,30),"")</f>
        <v/>
      </c>
      <c r="M225" s="26">
        <f>IF(J225="","",IF(ISNUMBER(J225),J225-TODAY(),"Check date"))</f>
        <v/>
      </c>
      <c r="N225" s="27">
        <f>IF(M225="","",IF(ISNUMBER(M225),IF(M225&lt;0,"Expired",IF(M225&lt;=30,"Due ≤30 days",IF(M225&lt;=90,"Due ≤90 days","OK"))),"Check date"))</f>
        <v/>
      </c>
      <c r="O225" s="21" t="n"/>
      <c r="P225" s="21" t="n"/>
      <c r="Q225" s="21" t="n"/>
      <c r="R225" s="21" t="n"/>
      <c r="S225" s="21" t="n"/>
    </row>
    <row r="226">
      <c r="A226" s="21" t="n"/>
      <c r="B226" s="21" t="n"/>
      <c r="C226" s="21" t="n"/>
      <c r="D226" s="21" t="n"/>
      <c r="E226" s="21" t="n"/>
      <c r="F226" s="22" t="n"/>
      <c r="G226" s="22" t="n"/>
      <c r="H226" s="21" t="n"/>
      <c r="I226" s="23" t="n"/>
      <c r="J226" s="23" t="n"/>
      <c r="K226" s="24" t="n"/>
      <c r="L226" s="25">
        <f>IF(ISNUMBER(J226),J226-IF(ISNUMBER(K226),K226,30),"")</f>
        <v/>
      </c>
      <c r="M226" s="26">
        <f>IF(J226="","",IF(ISNUMBER(J226),J226-TODAY(),"Check date"))</f>
        <v/>
      </c>
      <c r="N226" s="27">
        <f>IF(M226="","",IF(ISNUMBER(M226),IF(M226&lt;0,"Expired",IF(M226&lt;=30,"Due ≤30 days",IF(M226&lt;=90,"Due ≤90 days","OK"))),"Check date"))</f>
        <v/>
      </c>
      <c r="O226" s="21" t="n"/>
      <c r="P226" s="21" t="n"/>
      <c r="Q226" s="21" t="n"/>
      <c r="R226" s="21" t="n"/>
      <c r="S226" s="21" t="n"/>
    </row>
    <row r="227">
      <c r="A227" s="21" t="n"/>
      <c r="B227" s="21" t="n"/>
      <c r="C227" s="21" t="n"/>
      <c r="D227" s="21" t="n"/>
      <c r="E227" s="21" t="n"/>
      <c r="F227" s="22" t="n"/>
      <c r="G227" s="22" t="n"/>
      <c r="H227" s="21" t="n"/>
      <c r="I227" s="23" t="n"/>
      <c r="J227" s="23" t="n"/>
      <c r="K227" s="24" t="n"/>
      <c r="L227" s="25">
        <f>IF(ISNUMBER(J227),J227-IF(ISNUMBER(K227),K227,30),"")</f>
        <v/>
      </c>
      <c r="M227" s="26">
        <f>IF(J227="","",IF(ISNUMBER(J227),J227-TODAY(),"Check date"))</f>
        <v/>
      </c>
      <c r="N227" s="27">
        <f>IF(M227="","",IF(ISNUMBER(M227),IF(M227&lt;0,"Expired",IF(M227&lt;=30,"Due ≤30 days",IF(M227&lt;=90,"Due ≤90 days","OK"))),"Check date"))</f>
        <v/>
      </c>
      <c r="O227" s="21" t="n"/>
      <c r="P227" s="21" t="n"/>
      <c r="Q227" s="21" t="n"/>
      <c r="R227" s="21" t="n"/>
      <c r="S227" s="21" t="n"/>
    </row>
    <row r="228">
      <c r="A228" s="21" t="n"/>
      <c r="B228" s="21" t="n"/>
      <c r="C228" s="21" t="n"/>
      <c r="D228" s="21" t="n"/>
      <c r="E228" s="21" t="n"/>
      <c r="F228" s="22" t="n"/>
      <c r="G228" s="22" t="n"/>
      <c r="H228" s="21" t="n"/>
      <c r="I228" s="23" t="n"/>
      <c r="J228" s="23" t="n"/>
      <c r="K228" s="24" t="n"/>
      <c r="L228" s="25">
        <f>IF(ISNUMBER(J228),J228-IF(ISNUMBER(K228),K228,30),"")</f>
        <v/>
      </c>
      <c r="M228" s="26">
        <f>IF(J228="","",IF(ISNUMBER(J228),J228-TODAY(),"Check date"))</f>
        <v/>
      </c>
      <c r="N228" s="27">
        <f>IF(M228="","",IF(ISNUMBER(M228),IF(M228&lt;0,"Expired",IF(M228&lt;=30,"Due ≤30 days",IF(M228&lt;=90,"Due ≤90 days","OK"))),"Check date"))</f>
        <v/>
      </c>
      <c r="O228" s="21" t="n"/>
      <c r="P228" s="21" t="n"/>
      <c r="Q228" s="21" t="n"/>
      <c r="R228" s="21" t="n"/>
      <c r="S228" s="21" t="n"/>
    </row>
    <row r="229">
      <c r="A229" s="21" t="n"/>
      <c r="B229" s="21" t="n"/>
      <c r="C229" s="21" t="n"/>
      <c r="D229" s="21" t="n"/>
      <c r="E229" s="21" t="n"/>
      <c r="F229" s="22" t="n"/>
      <c r="G229" s="22" t="n"/>
      <c r="H229" s="21" t="n"/>
      <c r="I229" s="23" t="n"/>
      <c r="J229" s="23" t="n"/>
      <c r="K229" s="24" t="n"/>
      <c r="L229" s="25">
        <f>IF(ISNUMBER(J229),J229-IF(ISNUMBER(K229),K229,30),"")</f>
        <v/>
      </c>
      <c r="M229" s="26">
        <f>IF(J229="","",IF(ISNUMBER(J229),J229-TODAY(),"Check date"))</f>
        <v/>
      </c>
      <c r="N229" s="27">
        <f>IF(M229="","",IF(ISNUMBER(M229),IF(M229&lt;0,"Expired",IF(M229&lt;=30,"Due ≤30 days",IF(M229&lt;=90,"Due ≤90 days","OK"))),"Check date"))</f>
        <v/>
      </c>
      <c r="O229" s="21" t="n"/>
      <c r="P229" s="21" t="n"/>
      <c r="Q229" s="21" t="n"/>
      <c r="R229" s="21" t="n"/>
      <c r="S229" s="21" t="n"/>
    </row>
    <row r="230">
      <c r="A230" s="21" t="n"/>
      <c r="B230" s="21" t="n"/>
      <c r="C230" s="21" t="n"/>
      <c r="D230" s="21" t="n"/>
      <c r="E230" s="21" t="n"/>
      <c r="F230" s="22" t="n"/>
      <c r="G230" s="22" t="n"/>
      <c r="H230" s="21" t="n"/>
      <c r="I230" s="23" t="n"/>
      <c r="J230" s="23" t="n"/>
      <c r="K230" s="24" t="n"/>
      <c r="L230" s="25">
        <f>IF(ISNUMBER(J230),J230-IF(ISNUMBER(K230),K230,30),"")</f>
        <v/>
      </c>
      <c r="M230" s="26">
        <f>IF(J230="","",IF(ISNUMBER(J230),J230-TODAY(),"Check date"))</f>
        <v/>
      </c>
      <c r="N230" s="27">
        <f>IF(M230="","",IF(ISNUMBER(M230),IF(M230&lt;0,"Expired",IF(M230&lt;=30,"Due ≤30 days",IF(M230&lt;=90,"Due ≤90 days","OK"))),"Check date"))</f>
        <v/>
      </c>
      <c r="O230" s="21" t="n"/>
      <c r="P230" s="21" t="n"/>
      <c r="Q230" s="21" t="n"/>
      <c r="R230" s="21" t="n"/>
      <c r="S230" s="21" t="n"/>
    </row>
    <row r="231">
      <c r="A231" s="21" t="n"/>
      <c r="B231" s="21" t="n"/>
      <c r="C231" s="21" t="n"/>
      <c r="D231" s="21" t="n"/>
      <c r="E231" s="21" t="n"/>
      <c r="F231" s="22" t="n"/>
      <c r="G231" s="22" t="n"/>
      <c r="H231" s="21" t="n"/>
      <c r="I231" s="23" t="n"/>
      <c r="J231" s="23" t="n"/>
      <c r="K231" s="24" t="n"/>
      <c r="L231" s="25">
        <f>IF(ISNUMBER(J231),J231-IF(ISNUMBER(K231),K231,30),"")</f>
        <v/>
      </c>
      <c r="M231" s="26">
        <f>IF(J231="","",IF(ISNUMBER(J231),J231-TODAY(),"Check date"))</f>
        <v/>
      </c>
      <c r="N231" s="27">
        <f>IF(M231="","",IF(ISNUMBER(M231),IF(M231&lt;0,"Expired",IF(M231&lt;=30,"Due ≤30 days",IF(M231&lt;=90,"Due ≤90 days","OK"))),"Check date"))</f>
        <v/>
      </c>
      <c r="O231" s="21" t="n"/>
      <c r="P231" s="21" t="n"/>
      <c r="Q231" s="21" t="n"/>
      <c r="R231" s="21" t="n"/>
      <c r="S231" s="21" t="n"/>
    </row>
    <row r="232">
      <c r="A232" s="21" t="n"/>
      <c r="B232" s="21" t="n"/>
      <c r="C232" s="21" t="n"/>
      <c r="D232" s="21" t="n"/>
      <c r="E232" s="21" t="n"/>
      <c r="F232" s="22" t="n"/>
      <c r="G232" s="22" t="n"/>
      <c r="H232" s="21" t="n"/>
      <c r="I232" s="23" t="n"/>
      <c r="J232" s="23" t="n"/>
      <c r="K232" s="24" t="n"/>
      <c r="L232" s="25">
        <f>IF(ISNUMBER(J232),J232-IF(ISNUMBER(K232),K232,30),"")</f>
        <v/>
      </c>
      <c r="M232" s="26">
        <f>IF(J232="","",IF(ISNUMBER(J232),J232-TODAY(),"Check date"))</f>
        <v/>
      </c>
      <c r="N232" s="27">
        <f>IF(M232="","",IF(ISNUMBER(M232),IF(M232&lt;0,"Expired",IF(M232&lt;=30,"Due ≤30 days",IF(M232&lt;=90,"Due ≤90 days","OK"))),"Check date"))</f>
        <v/>
      </c>
      <c r="O232" s="21" t="n"/>
      <c r="P232" s="21" t="n"/>
      <c r="Q232" s="21" t="n"/>
      <c r="R232" s="21" t="n"/>
      <c r="S232" s="21" t="n"/>
    </row>
    <row r="233">
      <c r="A233" s="21" t="n"/>
      <c r="B233" s="21" t="n"/>
      <c r="C233" s="21" t="n"/>
      <c r="D233" s="21" t="n"/>
      <c r="E233" s="21" t="n"/>
      <c r="F233" s="22" t="n"/>
      <c r="G233" s="22" t="n"/>
      <c r="H233" s="21" t="n"/>
      <c r="I233" s="23" t="n"/>
      <c r="J233" s="23" t="n"/>
      <c r="K233" s="24" t="n"/>
      <c r="L233" s="25">
        <f>IF(ISNUMBER(J233),J233-IF(ISNUMBER(K233),K233,30),"")</f>
        <v/>
      </c>
      <c r="M233" s="26">
        <f>IF(J233="","",IF(ISNUMBER(J233),J233-TODAY(),"Check date"))</f>
        <v/>
      </c>
      <c r="N233" s="27">
        <f>IF(M233="","",IF(ISNUMBER(M233),IF(M233&lt;0,"Expired",IF(M233&lt;=30,"Due ≤30 days",IF(M233&lt;=90,"Due ≤90 days","OK"))),"Check date"))</f>
        <v/>
      </c>
      <c r="O233" s="21" t="n"/>
      <c r="P233" s="21" t="n"/>
      <c r="Q233" s="21" t="n"/>
      <c r="R233" s="21" t="n"/>
      <c r="S233" s="21" t="n"/>
    </row>
    <row r="234">
      <c r="A234" s="21" t="n"/>
      <c r="B234" s="21" t="n"/>
      <c r="C234" s="21" t="n"/>
      <c r="D234" s="21" t="n"/>
      <c r="E234" s="21" t="n"/>
      <c r="F234" s="22" t="n"/>
      <c r="G234" s="22" t="n"/>
      <c r="H234" s="21" t="n"/>
      <c r="I234" s="23" t="n"/>
      <c r="J234" s="23" t="n"/>
      <c r="K234" s="24" t="n"/>
      <c r="L234" s="25">
        <f>IF(ISNUMBER(J234),J234-IF(ISNUMBER(K234),K234,30),"")</f>
        <v/>
      </c>
      <c r="M234" s="26">
        <f>IF(J234="","",IF(ISNUMBER(J234),J234-TODAY(),"Check date"))</f>
        <v/>
      </c>
      <c r="N234" s="27">
        <f>IF(M234="","",IF(ISNUMBER(M234),IF(M234&lt;0,"Expired",IF(M234&lt;=30,"Due ≤30 days",IF(M234&lt;=90,"Due ≤90 days","OK"))),"Check date"))</f>
        <v/>
      </c>
      <c r="O234" s="21" t="n"/>
      <c r="P234" s="21" t="n"/>
      <c r="Q234" s="21" t="n"/>
      <c r="R234" s="21" t="n"/>
      <c r="S234" s="21" t="n"/>
    </row>
    <row r="235">
      <c r="A235" s="21" t="n"/>
      <c r="B235" s="21" t="n"/>
      <c r="C235" s="21" t="n"/>
      <c r="D235" s="21" t="n"/>
      <c r="E235" s="21" t="n"/>
      <c r="F235" s="22" t="n"/>
      <c r="G235" s="22" t="n"/>
      <c r="H235" s="21" t="n"/>
      <c r="I235" s="23" t="n"/>
      <c r="J235" s="23" t="n"/>
      <c r="K235" s="24" t="n"/>
      <c r="L235" s="25">
        <f>IF(ISNUMBER(J235),J235-IF(ISNUMBER(K235),K235,30),"")</f>
        <v/>
      </c>
      <c r="M235" s="26">
        <f>IF(J235="","",IF(ISNUMBER(J235),J235-TODAY(),"Check date"))</f>
        <v/>
      </c>
      <c r="N235" s="27">
        <f>IF(M235="","",IF(ISNUMBER(M235),IF(M235&lt;0,"Expired",IF(M235&lt;=30,"Due ≤30 days",IF(M235&lt;=90,"Due ≤90 days","OK"))),"Check date"))</f>
        <v/>
      </c>
      <c r="O235" s="21" t="n"/>
      <c r="P235" s="21" t="n"/>
      <c r="Q235" s="21" t="n"/>
      <c r="R235" s="21" t="n"/>
      <c r="S235" s="21" t="n"/>
    </row>
    <row r="236">
      <c r="A236" s="21" t="n"/>
      <c r="B236" s="21" t="n"/>
      <c r="C236" s="21" t="n"/>
      <c r="D236" s="21" t="n"/>
      <c r="E236" s="21" t="n"/>
      <c r="F236" s="22" t="n"/>
      <c r="G236" s="22" t="n"/>
      <c r="H236" s="21" t="n"/>
      <c r="I236" s="23" t="n"/>
      <c r="J236" s="23" t="n"/>
      <c r="K236" s="24" t="n"/>
      <c r="L236" s="25">
        <f>IF(ISNUMBER(J236),J236-IF(ISNUMBER(K236),K236,30),"")</f>
        <v/>
      </c>
      <c r="M236" s="26">
        <f>IF(J236="","",IF(ISNUMBER(J236),J236-TODAY(),"Check date"))</f>
        <v/>
      </c>
      <c r="N236" s="27">
        <f>IF(M236="","",IF(ISNUMBER(M236),IF(M236&lt;0,"Expired",IF(M236&lt;=30,"Due ≤30 days",IF(M236&lt;=90,"Due ≤90 days","OK"))),"Check date"))</f>
        <v/>
      </c>
      <c r="O236" s="21" t="n"/>
      <c r="P236" s="21" t="n"/>
      <c r="Q236" s="21" t="n"/>
      <c r="R236" s="21" t="n"/>
      <c r="S236" s="21" t="n"/>
    </row>
    <row r="237">
      <c r="A237" s="21" t="n"/>
      <c r="B237" s="21" t="n"/>
      <c r="C237" s="21" t="n"/>
      <c r="D237" s="21" t="n"/>
      <c r="E237" s="21" t="n"/>
      <c r="F237" s="22" t="n"/>
      <c r="G237" s="22" t="n"/>
      <c r="H237" s="21" t="n"/>
      <c r="I237" s="23" t="n"/>
      <c r="J237" s="23" t="n"/>
      <c r="K237" s="24" t="n"/>
      <c r="L237" s="25">
        <f>IF(ISNUMBER(J237),J237-IF(ISNUMBER(K237),K237,30),"")</f>
        <v/>
      </c>
      <c r="M237" s="26">
        <f>IF(J237="","",IF(ISNUMBER(J237),J237-TODAY(),"Check date"))</f>
        <v/>
      </c>
      <c r="N237" s="27">
        <f>IF(M237="","",IF(ISNUMBER(M237),IF(M237&lt;0,"Expired",IF(M237&lt;=30,"Due ≤30 days",IF(M237&lt;=90,"Due ≤90 days","OK"))),"Check date"))</f>
        <v/>
      </c>
      <c r="O237" s="21" t="n"/>
      <c r="P237" s="21" t="n"/>
      <c r="Q237" s="21" t="n"/>
      <c r="R237" s="21" t="n"/>
      <c r="S237" s="21" t="n"/>
    </row>
    <row r="238">
      <c r="A238" s="21" t="n"/>
      <c r="B238" s="21" t="n"/>
      <c r="C238" s="21" t="n"/>
      <c r="D238" s="21" t="n"/>
      <c r="E238" s="21" t="n"/>
      <c r="F238" s="22" t="n"/>
      <c r="G238" s="22" t="n"/>
      <c r="H238" s="21" t="n"/>
      <c r="I238" s="23" t="n"/>
      <c r="J238" s="23" t="n"/>
      <c r="K238" s="24" t="n"/>
      <c r="L238" s="25">
        <f>IF(ISNUMBER(J238),J238-IF(ISNUMBER(K238),K238,30),"")</f>
        <v/>
      </c>
      <c r="M238" s="26">
        <f>IF(J238="","",IF(ISNUMBER(J238),J238-TODAY(),"Check date"))</f>
        <v/>
      </c>
      <c r="N238" s="27">
        <f>IF(M238="","",IF(ISNUMBER(M238),IF(M238&lt;0,"Expired",IF(M238&lt;=30,"Due ≤30 days",IF(M238&lt;=90,"Due ≤90 days","OK"))),"Check date"))</f>
        <v/>
      </c>
      <c r="O238" s="21" t="n"/>
      <c r="P238" s="21" t="n"/>
      <c r="Q238" s="21" t="n"/>
      <c r="R238" s="21" t="n"/>
      <c r="S238" s="21" t="n"/>
    </row>
    <row r="239">
      <c r="A239" s="21" t="n"/>
      <c r="B239" s="21" t="n"/>
      <c r="C239" s="21" t="n"/>
      <c r="D239" s="21" t="n"/>
      <c r="E239" s="21" t="n"/>
      <c r="F239" s="22" t="n"/>
      <c r="G239" s="22" t="n"/>
      <c r="H239" s="21" t="n"/>
      <c r="I239" s="23" t="n"/>
      <c r="J239" s="23" t="n"/>
      <c r="K239" s="24" t="n"/>
      <c r="L239" s="25">
        <f>IF(ISNUMBER(J239),J239-IF(ISNUMBER(K239),K239,30),"")</f>
        <v/>
      </c>
      <c r="M239" s="26">
        <f>IF(J239="","",IF(ISNUMBER(J239),J239-TODAY(),"Check date"))</f>
        <v/>
      </c>
      <c r="N239" s="27">
        <f>IF(M239="","",IF(ISNUMBER(M239),IF(M239&lt;0,"Expired",IF(M239&lt;=30,"Due ≤30 days",IF(M239&lt;=90,"Due ≤90 days","OK"))),"Check date"))</f>
        <v/>
      </c>
      <c r="O239" s="21" t="n"/>
      <c r="P239" s="21" t="n"/>
      <c r="Q239" s="21" t="n"/>
      <c r="R239" s="21" t="n"/>
      <c r="S239" s="21" t="n"/>
    </row>
    <row r="240">
      <c r="A240" s="21" t="n"/>
      <c r="B240" s="21" t="n"/>
      <c r="C240" s="21" t="n"/>
      <c r="D240" s="21" t="n"/>
      <c r="E240" s="21" t="n"/>
      <c r="F240" s="22" t="n"/>
      <c r="G240" s="22" t="n"/>
      <c r="H240" s="21" t="n"/>
      <c r="I240" s="23" t="n"/>
      <c r="J240" s="23" t="n"/>
      <c r="K240" s="24" t="n"/>
      <c r="L240" s="25">
        <f>IF(ISNUMBER(J240),J240-IF(ISNUMBER(K240),K240,30),"")</f>
        <v/>
      </c>
      <c r="M240" s="26">
        <f>IF(J240="","",IF(ISNUMBER(J240),J240-TODAY(),"Check date"))</f>
        <v/>
      </c>
      <c r="N240" s="27">
        <f>IF(M240="","",IF(ISNUMBER(M240),IF(M240&lt;0,"Expired",IF(M240&lt;=30,"Due ≤30 days",IF(M240&lt;=90,"Due ≤90 days","OK"))),"Check date"))</f>
        <v/>
      </c>
      <c r="O240" s="21" t="n"/>
      <c r="P240" s="21" t="n"/>
      <c r="Q240" s="21" t="n"/>
      <c r="R240" s="21" t="n"/>
      <c r="S240" s="21" t="n"/>
    </row>
    <row r="241">
      <c r="A241" s="21" t="n"/>
      <c r="B241" s="21" t="n"/>
      <c r="C241" s="21" t="n"/>
      <c r="D241" s="21" t="n"/>
      <c r="E241" s="21" t="n"/>
      <c r="F241" s="22" t="n"/>
      <c r="G241" s="22" t="n"/>
      <c r="H241" s="21" t="n"/>
      <c r="I241" s="23" t="n"/>
      <c r="J241" s="23" t="n"/>
      <c r="K241" s="24" t="n"/>
      <c r="L241" s="25">
        <f>IF(ISNUMBER(J241),J241-IF(ISNUMBER(K241),K241,30),"")</f>
        <v/>
      </c>
      <c r="M241" s="26">
        <f>IF(J241="","",IF(ISNUMBER(J241),J241-TODAY(),"Check date"))</f>
        <v/>
      </c>
      <c r="N241" s="27">
        <f>IF(M241="","",IF(ISNUMBER(M241),IF(M241&lt;0,"Expired",IF(M241&lt;=30,"Due ≤30 days",IF(M241&lt;=90,"Due ≤90 days","OK"))),"Check date"))</f>
        <v/>
      </c>
      <c r="O241" s="21" t="n"/>
      <c r="P241" s="21" t="n"/>
      <c r="Q241" s="21" t="n"/>
      <c r="R241" s="21" t="n"/>
      <c r="S241" s="21" t="n"/>
    </row>
    <row r="242">
      <c r="A242" s="21" t="n"/>
      <c r="B242" s="21" t="n"/>
      <c r="C242" s="21" t="n"/>
      <c r="D242" s="21" t="n"/>
      <c r="E242" s="21" t="n"/>
      <c r="F242" s="22" t="n"/>
      <c r="G242" s="22" t="n"/>
      <c r="H242" s="21" t="n"/>
      <c r="I242" s="23" t="n"/>
      <c r="J242" s="23" t="n"/>
      <c r="K242" s="24" t="n"/>
      <c r="L242" s="25">
        <f>IF(ISNUMBER(J242),J242-IF(ISNUMBER(K242),K242,30),"")</f>
        <v/>
      </c>
      <c r="M242" s="26">
        <f>IF(J242="","",IF(ISNUMBER(J242),J242-TODAY(),"Check date"))</f>
        <v/>
      </c>
      <c r="N242" s="27">
        <f>IF(M242="","",IF(ISNUMBER(M242),IF(M242&lt;0,"Expired",IF(M242&lt;=30,"Due ≤30 days",IF(M242&lt;=90,"Due ≤90 days","OK"))),"Check date"))</f>
        <v/>
      </c>
      <c r="O242" s="21" t="n"/>
      <c r="P242" s="21" t="n"/>
      <c r="Q242" s="21" t="n"/>
      <c r="R242" s="21" t="n"/>
      <c r="S242" s="21" t="n"/>
    </row>
    <row r="243">
      <c r="A243" s="21" t="n"/>
      <c r="B243" s="21" t="n"/>
      <c r="C243" s="21" t="n"/>
      <c r="D243" s="21" t="n"/>
      <c r="E243" s="21" t="n"/>
      <c r="F243" s="22" t="n"/>
      <c r="G243" s="22" t="n"/>
      <c r="H243" s="21" t="n"/>
      <c r="I243" s="23" t="n"/>
      <c r="J243" s="23" t="n"/>
      <c r="K243" s="24" t="n"/>
      <c r="L243" s="25">
        <f>IF(ISNUMBER(J243),J243-IF(ISNUMBER(K243),K243,30),"")</f>
        <v/>
      </c>
      <c r="M243" s="26">
        <f>IF(J243="","",IF(ISNUMBER(J243),J243-TODAY(),"Check date"))</f>
        <v/>
      </c>
      <c r="N243" s="27">
        <f>IF(M243="","",IF(ISNUMBER(M243),IF(M243&lt;0,"Expired",IF(M243&lt;=30,"Due ≤30 days",IF(M243&lt;=90,"Due ≤90 days","OK"))),"Check date"))</f>
        <v/>
      </c>
      <c r="O243" s="21" t="n"/>
      <c r="P243" s="21" t="n"/>
      <c r="Q243" s="21" t="n"/>
      <c r="R243" s="21" t="n"/>
      <c r="S243" s="21" t="n"/>
    </row>
    <row r="244">
      <c r="A244" s="21" t="n"/>
      <c r="B244" s="21" t="n"/>
      <c r="C244" s="21" t="n"/>
      <c r="D244" s="21" t="n"/>
      <c r="E244" s="21" t="n"/>
      <c r="F244" s="22" t="n"/>
      <c r="G244" s="22" t="n"/>
      <c r="H244" s="21" t="n"/>
      <c r="I244" s="23" t="n"/>
      <c r="J244" s="23" t="n"/>
      <c r="K244" s="24" t="n"/>
      <c r="L244" s="25">
        <f>IF(ISNUMBER(J244),J244-IF(ISNUMBER(K244),K244,30),"")</f>
        <v/>
      </c>
      <c r="M244" s="26">
        <f>IF(J244="","",IF(ISNUMBER(J244),J244-TODAY(),"Check date"))</f>
        <v/>
      </c>
      <c r="N244" s="27">
        <f>IF(M244="","",IF(ISNUMBER(M244),IF(M244&lt;0,"Expired",IF(M244&lt;=30,"Due ≤30 days",IF(M244&lt;=90,"Due ≤90 days","OK"))),"Check date"))</f>
        <v/>
      </c>
      <c r="O244" s="21" t="n"/>
      <c r="P244" s="21" t="n"/>
      <c r="Q244" s="21" t="n"/>
      <c r="R244" s="21" t="n"/>
      <c r="S244" s="21" t="n"/>
    </row>
    <row r="245">
      <c r="A245" s="21" t="n"/>
      <c r="B245" s="21" t="n"/>
      <c r="C245" s="21" t="n"/>
      <c r="D245" s="21" t="n"/>
      <c r="E245" s="21" t="n"/>
      <c r="F245" s="22" t="n"/>
      <c r="G245" s="22" t="n"/>
      <c r="H245" s="21" t="n"/>
      <c r="I245" s="23" t="n"/>
      <c r="J245" s="23" t="n"/>
      <c r="K245" s="24" t="n"/>
      <c r="L245" s="25">
        <f>IF(ISNUMBER(J245),J245-IF(ISNUMBER(K245),K245,30),"")</f>
        <v/>
      </c>
      <c r="M245" s="26">
        <f>IF(J245="","",IF(ISNUMBER(J245),J245-TODAY(),"Check date"))</f>
        <v/>
      </c>
      <c r="N245" s="27">
        <f>IF(M245="","",IF(ISNUMBER(M245),IF(M245&lt;0,"Expired",IF(M245&lt;=30,"Due ≤30 days",IF(M245&lt;=90,"Due ≤90 days","OK"))),"Check date"))</f>
        <v/>
      </c>
      <c r="O245" s="21" t="n"/>
      <c r="P245" s="21" t="n"/>
      <c r="Q245" s="21" t="n"/>
      <c r="R245" s="21" t="n"/>
      <c r="S245" s="21" t="n"/>
    </row>
    <row r="246">
      <c r="A246" s="21" t="n"/>
      <c r="B246" s="21" t="n"/>
      <c r="C246" s="21" t="n"/>
      <c r="D246" s="21" t="n"/>
      <c r="E246" s="21" t="n"/>
      <c r="F246" s="22" t="n"/>
      <c r="G246" s="22" t="n"/>
      <c r="H246" s="21" t="n"/>
      <c r="I246" s="23" t="n"/>
      <c r="J246" s="23" t="n"/>
      <c r="K246" s="24" t="n"/>
      <c r="L246" s="25">
        <f>IF(ISNUMBER(J246),J246-IF(ISNUMBER(K246),K246,30),"")</f>
        <v/>
      </c>
      <c r="M246" s="26">
        <f>IF(J246="","",IF(ISNUMBER(J246),J246-TODAY(),"Check date"))</f>
        <v/>
      </c>
      <c r="N246" s="27">
        <f>IF(M246="","",IF(ISNUMBER(M246),IF(M246&lt;0,"Expired",IF(M246&lt;=30,"Due ≤30 days",IF(M246&lt;=90,"Due ≤90 days","OK"))),"Check date"))</f>
        <v/>
      </c>
      <c r="O246" s="21" t="n"/>
      <c r="P246" s="21" t="n"/>
      <c r="Q246" s="21" t="n"/>
      <c r="R246" s="21" t="n"/>
      <c r="S246" s="21" t="n"/>
    </row>
    <row r="247">
      <c r="A247" s="21" t="n"/>
      <c r="B247" s="21" t="n"/>
      <c r="C247" s="21" t="n"/>
      <c r="D247" s="21" t="n"/>
      <c r="E247" s="21" t="n"/>
      <c r="F247" s="22" t="n"/>
      <c r="G247" s="22" t="n"/>
      <c r="H247" s="21" t="n"/>
      <c r="I247" s="23" t="n"/>
      <c r="J247" s="23" t="n"/>
      <c r="K247" s="24" t="n"/>
      <c r="L247" s="25">
        <f>IF(ISNUMBER(J247),J247-IF(ISNUMBER(K247),K247,30),"")</f>
        <v/>
      </c>
      <c r="M247" s="26">
        <f>IF(J247="","",IF(ISNUMBER(J247),J247-TODAY(),"Check date"))</f>
        <v/>
      </c>
      <c r="N247" s="27">
        <f>IF(M247="","",IF(ISNUMBER(M247),IF(M247&lt;0,"Expired",IF(M247&lt;=30,"Due ≤30 days",IF(M247&lt;=90,"Due ≤90 days","OK"))),"Check date"))</f>
        <v/>
      </c>
      <c r="O247" s="21" t="n"/>
      <c r="P247" s="21" t="n"/>
      <c r="Q247" s="21" t="n"/>
      <c r="R247" s="21" t="n"/>
      <c r="S247" s="21" t="n"/>
    </row>
    <row r="248">
      <c r="A248" s="21" t="n"/>
      <c r="B248" s="21" t="n"/>
      <c r="C248" s="21" t="n"/>
      <c r="D248" s="21" t="n"/>
      <c r="E248" s="21" t="n"/>
      <c r="F248" s="22" t="n"/>
      <c r="G248" s="22" t="n"/>
      <c r="H248" s="21" t="n"/>
      <c r="I248" s="23" t="n"/>
      <c r="J248" s="23" t="n"/>
      <c r="K248" s="24" t="n"/>
      <c r="L248" s="25">
        <f>IF(ISNUMBER(J248),J248-IF(ISNUMBER(K248),K248,30),"")</f>
        <v/>
      </c>
      <c r="M248" s="26">
        <f>IF(J248="","",IF(ISNUMBER(J248),J248-TODAY(),"Check date"))</f>
        <v/>
      </c>
      <c r="N248" s="27">
        <f>IF(M248="","",IF(ISNUMBER(M248),IF(M248&lt;0,"Expired",IF(M248&lt;=30,"Due ≤30 days",IF(M248&lt;=90,"Due ≤90 days","OK"))),"Check date"))</f>
        <v/>
      </c>
      <c r="O248" s="21" t="n"/>
      <c r="P248" s="21" t="n"/>
      <c r="Q248" s="21" t="n"/>
      <c r="R248" s="21" t="n"/>
      <c r="S248" s="21" t="n"/>
    </row>
    <row r="249">
      <c r="A249" s="21" t="n"/>
      <c r="B249" s="21" t="n"/>
      <c r="C249" s="21" t="n"/>
      <c r="D249" s="21" t="n"/>
      <c r="E249" s="21" t="n"/>
      <c r="F249" s="22" t="n"/>
      <c r="G249" s="22" t="n"/>
      <c r="H249" s="21" t="n"/>
      <c r="I249" s="23" t="n"/>
      <c r="J249" s="23" t="n"/>
      <c r="K249" s="24" t="n"/>
      <c r="L249" s="25">
        <f>IF(ISNUMBER(J249),J249-IF(ISNUMBER(K249),K249,30),"")</f>
        <v/>
      </c>
      <c r="M249" s="26">
        <f>IF(J249="","",IF(ISNUMBER(J249),J249-TODAY(),"Check date"))</f>
        <v/>
      </c>
      <c r="N249" s="27">
        <f>IF(M249="","",IF(ISNUMBER(M249),IF(M249&lt;0,"Expired",IF(M249&lt;=30,"Due ≤30 days",IF(M249&lt;=90,"Due ≤90 days","OK"))),"Check date"))</f>
        <v/>
      </c>
      <c r="O249" s="21" t="n"/>
      <c r="P249" s="21" t="n"/>
      <c r="Q249" s="21" t="n"/>
      <c r="R249" s="21" t="n"/>
      <c r="S249" s="21" t="n"/>
    </row>
    <row r="250">
      <c r="A250" s="21" t="n"/>
      <c r="B250" s="21" t="n"/>
      <c r="C250" s="21" t="n"/>
      <c r="D250" s="21" t="n"/>
      <c r="E250" s="21" t="n"/>
      <c r="F250" s="22" t="n"/>
      <c r="G250" s="22" t="n"/>
      <c r="H250" s="21" t="n"/>
      <c r="I250" s="23" t="n"/>
      <c r="J250" s="23" t="n"/>
      <c r="K250" s="24" t="n"/>
      <c r="L250" s="25">
        <f>IF(ISNUMBER(J250),J250-IF(ISNUMBER(K250),K250,30),"")</f>
        <v/>
      </c>
      <c r="M250" s="26">
        <f>IF(J250="","",IF(ISNUMBER(J250),J250-TODAY(),"Check date"))</f>
        <v/>
      </c>
      <c r="N250" s="27">
        <f>IF(M250="","",IF(ISNUMBER(M250),IF(M250&lt;0,"Expired",IF(M250&lt;=30,"Due ≤30 days",IF(M250&lt;=90,"Due ≤90 days","OK"))),"Check date"))</f>
        <v/>
      </c>
      <c r="O250" s="21" t="n"/>
      <c r="P250" s="21" t="n"/>
      <c r="Q250" s="21" t="n"/>
      <c r="R250" s="21" t="n"/>
      <c r="S250" s="21" t="n"/>
    </row>
    <row r="251">
      <c r="A251" s="21" t="n"/>
      <c r="B251" s="21" t="n"/>
      <c r="C251" s="21" t="n"/>
      <c r="D251" s="21" t="n"/>
      <c r="E251" s="21" t="n"/>
      <c r="F251" s="22" t="n"/>
      <c r="G251" s="22" t="n"/>
      <c r="H251" s="21" t="n"/>
      <c r="I251" s="23" t="n"/>
      <c r="J251" s="23" t="n"/>
      <c r="K251" s="24" t="n"/>
      <c r="L251" s="25">
        <f>IF(ISNUMBER(J251),J251-IF(ISNUMBER(K251),K251,30),"")</f>
        <v/>
      </c>
      <c r="M251" s="26">
        <f>IF(J251="","",IF(ISNUMBER(J251),J251-TODAY(),"Check date"))</f>
        <v/>
      </c>
      <c r="N251" s="27">
        <f>IF(M251="","",IF(ISNUMBER(M251),IF(M251&lt;0,"Expired",IF(M251&lt;=30,"Due ≤30 days",IF(M251&lt;=90,"Due ≤90 days","OK"))),"Check date"))</f>
        <v/>
      </c>
      <c r="O251" s="21" t="n"/>
      <c r="P251" s="21" t="n"/>
      <c r="Q251" s="21" t="n"/>
      <c r="R251" s="21" t="n"/>
      <c r="S251" s="21" t="n"/>
    </row>
    <row r="252">
      <c r="A252" s="21" t="n"/>
      <c r="B252" s="21" t="n"/>
      <c r="C252" s="21" t="n"/>
      <c r="D252" s="21" t="n"/>
      <c r="E252" s="21" t="n"/>
      <c r="F252" s="22" t="n"/>
      <c r="G252" s="22" t="n"/>
      <c r="H252" s="21" t="n"/>
      <c r="I252" s="23" t="n"/>
      <c r="J252" s="23" t="n"/>
      <c r="K252" s="24" t="n"/>
      <c r="L252" s="25">
        <f>IF(ISNUMBER(J252),J252-IF(ISNUMBER(K252),K252,30),"")</f>
        <v/>
      </c>
      <c r="M252" s="26">
        <f>IF(J252="","",IF(ISNUMBER(J252),J252-TODAY(),"Check date"))</f>
        <v/>
      </c>
      <c r="N252" s="27">
        <f>IF(M252="","",IF(ISNUMBER(M252),IF(M252&lt;0,"Expired",IF(M252&lt;=30,"Due ≤30 days",IF(M252&lt;=90,"Due ≤90 days","OK"))),"Check date"))</f>
        <v/>
      </c>
      <c r="O252" s="21" t="n"/>
      <c r="P252" s="21" t="n"/>
      <c r="Q252" s="21" t="n"/>
      <c r="R252" s="21" t="n"/>
      <c r="S252" s="21" t="n"/>
    </row>
    <row r="253">
      <c r="A253" s="21" t="n"/>
      <c r="B253" s="21" t="n"/>
      <c r="C253" s="21" t="n"/>
      <c r="D253" s="21" t="n"/>
      <c r="E253" s="21" t="n"/>
      <c r="F253" s="22" t="n"/>
      <c r="G253" s="22" t="n"/>
      <c r="H253" s="21" t="n"/>
      <c r="I253" s="23" t="n"/>
      <c r="J253" s="23" t="n"/>
      <c r="K253" s="24" t="n"/>
      <c r="L253" s="25">
        <f>IF(ISNUMBER(J253),J253-IF(ISNUMBER(K253),K253,30),"")</f>
        <v/>
      </c>
      <c r="M253" s="26">
        <f>IF(J253="","",IF(ISNUMBER(J253),J253-TODAY(),"Check date"))</f>
        <v/>
      </c>
      <c r="N253" s="27">
        <f>IF(M253="","",IF(ISNUMBER(M253),IF(M253&lt;0,"Expired",IF(M253&lt;=30,"Due ≤30 days",IF(M253&lt;=90,"Due ≤90 days","OK"))),"Check date"))</f>
        <v/>
      </c>
      <c r="O253" s="21" t="n"/>
      <c r="P253" s="21" t="n"/>
      <c r="Q253" s="21" t="n"/>
      <c r="R253" s="21" t="n"/>
      <c r="S253" s="21" t="n"/>
    </row>
    <row r="254">
      <c r="A254" s="21" t="n"/>
      <c r="B254" s="21" t="n"/>
      <c r="C254" s="21" t="n"/>
      <c r="D254" s="21" t="n"/>
      <c r="E254" s="21" t="n"/>
      <c r="F254" s="22" t="n"/>
      <c r="G254" s="22" t="n"/>
      <c r="H254" s="21" t="n"/>
      <c r="I254" s="23" t="n"/>
      <c r="J254" s="23" t="n"/>
      <c r="K254" s="24" t="n"/>
      <c r="L254" s="25">
        <f>IF(ISNUMBER(J254),J254-IF(ISNUMBER(K254),K254,30),"")</f>
        <v/>
      </c>
      <c r="M254" s="26">
        <f>IF(J254="","",IF(ISNUMBER(J254),J254-TODAY(),"Check date"))</f>
        <v/>
      </c>
      <c r="N254" s="27">
        <f>IF(M254="","",IF(ISNUMBER(M254),IF(M254&lt;0,"Expired",IF(M254&lt;=30,"Due ≤30 days",IF(M254&lt;=90,"Due ≤90 days","OK"))),"Check date"))</f>
        <v/>
      </c>
      <c r="O254" s="21" t="n"/>
      <c r="P254" s="21" t="n"/>
      <c r="Q254" s="21" t="n"/>
      <c r="R254" s="21" t="n"/>
      <c r="S254" s="21" t="n"/>
    </row>
    <row r="255">
      <c r="A255" s="21" t="n"/>
      <c r="B255" s="21" t="n"/>
      <c r="C255" s="21" t="n"/>
      <c r="D255" s="21" t="n"/>
      <c r="E255" s="21" t="n"/>
      <c r="F255" s="22" t="n"/>
      <c r="G255" s="22" t="n"/>
      <c r="H255" s="21" t="n"/>
      <c r="I255" s="23" t="n"/>
      <c r="J255" s="23" t="n"/>
      <c r="K255" s="24" t="n"/>
      <c r="L255" s="25">
        <f>IF(ISNUMBER(J255),J255-IF(ISNUMBER(K255),K255,30),"")</f>
        <v/>
      </c>
      <c r="M255" s="26">
        <f>IF(J255="","",IF(ISNUMBER(J255),J255-TODAY(),"Check date"))</f>
        <v/>
      </c>
      <c r="N255" s="27">
        <f>IF(M255="","",IF(ISNUMBER(M255),IF(M255&lt;0,"Expired",IF(M255&lt;=30,"Due ≤30 days",IF(M255&lt;=90,"Due ≤90 days","OK"))),"Check date"))</f>
        <v/>
      </c>
      <c r="O255" s="21" t="n"/>
      <c r="P255" s="21" t="n"/>
      <c r="Q255" s="21" t="n"/>
      <c r="R255" s="21" t="n"/>
      <c r="S255" s="21" t="n"/>
    </row>
    <row r="256">
      <c r="A256" s="21" t="n"/>
      <c r="B256" s="21" t="n"/>
      <c r="C256" s="21" t="n"/>
      <c r="D256" s="21" t="n"/>
      <c r="E256" s="21" t="n"/>
      <c r="F256" s="22" t="n"/>
      <c r="G256" s="22" t="n"/>
      <c r="H256" s="21" t="n"/>
      <c r="I256" s="23" t="n"/>
      <c r="J256" s="23" t="n"/>
      <c r="K256" s="24" t="n"/>
      <c r="L256" s="25">
        <f>IF(ISNUMBER(J256),J256-IF(ISNUMBER(K256),K256,30),"")</f>
        <v/>
      </c>
      <c r="M256" s="26">
        <f>IF(J256="","",IF(ISNUMBER(J256),J256-TODAY(),"Check date"))</f>
        <v/>
      </c>
      <c r="N256" s="27">
        <f>IF(M256="","",IF(ISNUMBER(M256),IF(M256&lt;0,"Expired",IF(M256&lt;=30,"Due ≤30 days",IF(M256&lt;=90,"Due ≤90 days","OK"))),"Check date"))</f>
        <v/>
      </c>
      <c r="O256" s="21" t="n"/>
      <c r="P256" s="21" t="n"/>
      <c r="Q256" s="21" t="n"/>
      <c r="R256" s="21" t="n"/>
      <c r="S256" s="21" t="n"/>
    </row>
    <row r="257">
      <c r="A257" s="21" t="n"/>
      <c r="B257" s="21" t="n"/>
      <c r="C257" s="21" t="n"/>
      <c r="D257" s="21" t="n"/>
      <c r="E257" s="21" t="n"/>
      <c r="F257" s="22" t="n"/>
      <c r="G257" s="22" t="n"/>
      <c r="H257" s="21" t="n"/>
      <c r="I257" s="23" t="n"/>
      <c r="J257" s="23" t="n"/>
      <c r="K257" s="24" t="n"/>
      <c r="L257" s="25">
        <f>IF(ISNUMBER(J257),J257-IF(ISNUMBER(K257),K257,30),"")</f>
        <v/>
      </c>
      <c r="M257" s="26">
        <f>IF(J257="","",IF(ISNUMBER(J257),J257-TODAY(),"Check date"))</f>
        <v/>
      </c>
      <c r="N257" s="27">
        <f>IF(M257="","",IF(ISNUMBER(M257),IF(M257&lt;0,"Expired",IF(M257&lt;=30,"Due ≤30 days",IF(M257&lt;=90,"Due ≤90 days","OK"))),"Check date"))</f>
        <v/>
      </c>
      <c r="O257" s="21" t="n"/>
      <c r="P257" s="21" t="n"/>
      <c r="Q257" s="21" t="n"/>
      <c r="R257" s="21" t="n"/>
      <c r="S257" s="21" t="n"/>
    </row>
    <row r="258">
      <c r="A258" s="21" t="n"/>
      <c r="B258" s="21" t="n"/>
      <c r="C258" s="21" t="n"/>
      <c r="D258" s="21" t="n"/>
      <c r="E258" s="21" t="n"/>
      <c r="F258" s="22" t="n"/>
      <c r="G258" s="22" t="n"/>
      <c r="H258" s="21" t="n"/>
      <c r="I258" s="23" t="n"/>
      <c r="J258" s="23" t="n"/>
      <c r="K258" s="24" t="n"/>
      <c r="L258" s="25">
        <f>IF(ISNUMBER(J258),J258-IF(ISNUMBER(K258),K258,30),"")</f>
        <v/>
      </c>
      <c r="M258" s="26">
        <f>IF(J258="","",IF(ISNUMBER(J258),J258-TODAY(),"Check date"))</f>
        <v/>
      </c>
      <c r="N258" s="27">
        <f>IF(M258="","",IF(ISNUMBER(M258),IF(M258&lt;0,"Expired",IF(M258&lt;=30,"Due ≤30 days",IF(M258&lt;=90,"Due ≤90 days","OK"))),"Check date"))</f>
        <v/>
      </c>
      <c r="O258" s="21" t="n"/>
      <c r="P258" s="21" t="n"/>
      <c r="Q258" s="21" t="n"/>
      <c r="R258" s="21" t="n"/>
      <c r="S258" s="21" t="n"/>
    </row>
    <row r="259">
      <c r="A259" s="21" t="n"/>
      <c r="B259" s="21" t="n"/>
      <c r="C259" s="21" t="n"/>
      <c r="D259" s="21" t="n"/>
      <c r="E259" s="21" t="n"/>
      <c r="F259" s="22" t="n"/>
      <c r="G259" s="22" t="n"/>
      <c r="H259" s="21" t="n"/>
      <c r="I259" s="23" t="n"/>
      <c r="J259" s="23" t="n"/>
      <c r="K259" s="24" t="n"/>
      <c r="L259" s="25">
        <f>IF(ISNUMBER(J259),J259-IF(ISNUMBER(K259),K259,30),"")</f>
        <v/>
      </c>
      <c r="M259" s="26">
        <f>IF(J259="","",IF(ISNUMBER(J259),J259-TODAY(),"Check date"))</f>
        <v/>
      </c>
      <c r="N259" s="27">
        <f>IF(M259="","",IF(ISNUMBER(M259),IF(M259&lt;0,"Expired",IF(M259&lt;=30,"Due ≤30 days",IF(M259&lt;=90,"Due ≤90 days","OK"))),"Check date"))</f>
        <v/>
      </c>
      <c r="O259" s="21" t="n"/>
      <c r="P259" s="21" t="n"/>
      <c r="Q259" s="21" t="n"/>
      <c r="R259" s="21" t="n"/>
      <c r="S259" s="21" t="n"/>
    </row>
    <row r="260">
      <c r="A260" s="21" t="n"/>
      <c r="B260" s="21" t="n"/>
      <c r="C260" s="21" t="n"/>
      <c r="D260" s="21" t="n"/>
      <c r="E260" s="21" t="n"/>
      <c r="F260" s="22" t="n"/>
      <c r="G260" s="22" t="n"/>
      <c r="H260" s="21" t="n"/>
      <c r="I260" s="23" t="n"/>
      <c r="J260" s="23" t="n"/>
      <c r="K260" s="24" t="n"/>
      <c r="L260" s="25">
        <f>IF(ISNUMBER(J260),J260-IF(ISNUMBER(K260),K260,30),"")</f>
        <v/>
      </c>
      <c r="M260" s="26">
        <f>IF(J260="","",IF(ISNUMBER(J260),J260-TODAY(),"Check date"))</f>
        <v/>
      </c>
      <c r="N260" s="27">
        <f>IF(M260="","",IF(ISNUMBER(M260),IF(M260&lt;0,"Expired",IF(M260&lt;=30,"Due ≤30 days",IF(M260&lt;=90,"Due ≤90 days","OK"))),"Check date"))</f>
        <v/>
      </c>
      <c r="O260" s="21" t="n"/>
      <c r="P260" s="21" t="n"/>
      <c r="Q260" s="21" t="n"/>
      <c r="R260" s="21" t="n"/>
      <c r="S260" s="21" t="n"/>
    </row>
    <row r="261">
      <c r="A261" s="21" t="n"/>
      <c r="B261" s="21" t="n"/>
      <c r="C261" s="21" t="n"/>
      <c r="D261" s="21" t="n"/>
      <c r="E261" s="21" t="n"/>
      <c r="F261" s="22" t="n"/>
      <c r="G261" s="22" t="n"/>
      <c r="H261" s="21" t="n"/>
      <c r="I261" s="23" t="n"/>
      <c r="J261" s="23" t="n"/>
      <c r="K261" s="24" t="n"/>
      <c r="L261" s="25">
        <f>IF(ISNUMBER(J261),J261-IF(ISNUMBER(K261),K261,30),"")</f>
        <v/>
      </c>
      <c r="M261" s="26">
        <f>IF(J261="","",IF(ISNUMBER(J261),J261-TODAY(),"Check date"))</f>
        <v/>
      </c>
      <c r="N261" s="27">
        <f>IF(M261="","",IF(ISNUMBER(M261),IF(M261&lt;0,"Expired",IF(M261&lt;=30,"Due ≤30 days",IF(M261&lt;=90,"Due ≤90 days","OK"))),"Check date"))</f>
        <v/>
      </c>
      <c r="O261" s="21" t="n"/>
      <c r="P261" s="21" t="n"/>
      <c r="Q261" s="21" t="n"/>
      <c r="R261" s="21" t="n"/>
      <c r="S261" s="21" t="n"/>
    </row>
    <row r="262">
      <c r="A262" s="21" t="n"/>
      <c r="B262" s="21" t="n"/>
      <c r="C262" s="21" t="n"/>
      <c r="D262" s="21" t="n"/>
      <c r="E262" s="21" t="n"/>
      <c r="F262" s="22" t="n"/>
      <c r="G262" s="22" t="n"/>
      <c r="H262" s="21" t="n"/>
      <c r="I262" s="23" t="n"/>
      <c r="J262" s="23" t="n"/>
      <c r="K262" s="24" t="n"/>
      <c r="L262" s="25">
        <f>IF(ISNUMBER(J262),J262-IF(ISNUMBER(K262),K262,30),"")</f>
        <v/>
      </c>
      <c r="M262" s="26">
        <f>IF(J262="","",IF(ISNUMBER(J262),J262-TODAY(),"Check date"))</f>
        <v/>
      </c>
      <c r="N262" s="27">
        <f>IF(M262="","",IF(ISNUMBER(M262),IF(M262&lt;0,"Expired",IF(M262&lt;=30,"Due ≤30 days",IF(M262&lt;=90,"Due ≤90 days","OK"))),"Check date"))</f>
        <v/>
      </c>
      <c r="O262" s="21" t="n"/>
      <c r="P262" s="21" t="n"/>
      <c r="Q262" s="21" t="n"/>
      <c r="R262" s="21" t="n"/>
      <c r="S262" s="21" t="n"/>
    </row>
    <row r="263">
      <c r="A263" s="21" t="n"/>
      <c r="B263" s="21" t="n"/>
      <c r="C263" s="21" t="n"/>
      <c r="D263" s="21" t="n"/>
      <c r="E263" s="21" t="n"/>
      <c r="F263" s="22" t="n"/>
      <c r="G263" s="22" t="n"/>
      <c r="H263" s="21" t="n"/>
      <c r="I263" s="23" t="n"/>
      <c r="J263" s="23" t="n"/>
      <c r="K263" s="24" t="n"/>
      <c r="L263" s="25">
        <f>IF(ISNUMBER(J263),J263-IF(ISNUMBER(K263),K263,30),"")</f>
        <v/>
      </c>
      <c r="M263" s="26">
        <f>IF(J263="","",IF(ISNUMBER(J263),J263-TODAY(),"Check date"))</f>
        <v/>
      </c>
      <c r="N263" s="27">
        <f>IF(M263="","",IF(ISNUMBER(M263),IF(M263&lt;0,"Expired",IF(M263&lt;=30,"Due ≤30 days",IF(M263&lt;=90,"Due ≤90 days","OK"))),"Check date"))</f>
        <v/>
      </c>
      <c r="O263" s="21" t="n"/>
      <c r="P263" s="21" t="n"/>
      <c r="Q263" s="21" t="n"/>
      <c r="R263" s="21" t="n"/>
      <c r="S263" s="21" t="n"/>
    </row>
    <row r="264">
      <c r="A264" s="21" t="n"/>
      <c r="B264" s="21" t="n"/>
      <c r="C264" s="21" t="n"/>
      <c r="D264" s="21" t="n"/>
      <c r="E264" s="21" t="n"/>
      <c r="F264" s="22" t="n"/>
      <c r="G264" s="22" t="n"/>
      <c r="H264" s="21" t="n"/>
      <c r="I264" s="23" t="n"/>
      <c r="J264" s="23" t="n"/>
      <c r="K264" s="24" t="n"/>
      <c r="L264" s="25">
        <f>IF(ISNUMBER(J264),J264-IF(ISNUMBER(K264),K264,30),"")</f>
        <v/>
      </c>
      <c r="M264" s="26">
        <f>IF(J264="","",IF(ISNUMBER(J264),J264-TODAY(),"Check date"))</f>
        <v/>
      </c>
      <c r="N264" s="27">
        <f>IF(M264="","",IF(ISNUMBER(M264),IF(M264&lt;0,"Expired",IF(M264&lt;=30,"Due ≤30 days",IF(M264&lt;=90,"Due ≤90 days","OK"))),"Check date"))</f>
        <v/>
      </c>
      <c r="O264" s="21" t="n"/>
      <c r="P264" s="21" t="n"/>
      <c r="Q264" s="21" t="n"/>
      <c r="R264" s="21" t="n"/>
      <c r="S264" s="21" t="n"/>
    </row>
    <row r="265">
      <c r="A265" s="21" t="n"/>
      <c r="B265" s="21" t="n"/>
      <c r="C265" s="21" t="n"/>
      <c r="D265" s="21" t="n"/>
      <c r="E265" s="21" t="n"/>
      <c r="F265" s="22" t="n"/>
      <c r="G265" s="22" t="n"/>
      <c r="H265" s="21" t="n"/>
      <c r="I265" s="23" t="n"/>
      <c r="J265" s="23" t="n"/>
      <c r="K265" s="24" t="n"/>
      <c r="L265" s="25">
        <f>IF(ISNUMBER(J265),J265-IF(ISNUMBER(K265),K265,30),"")</f>
        <v/>
      </c>
      <c r="M265" s="26">
        <f>IF(J265="","",IF(ISNUMBER(J265),J265-TODAY(),"Check date"))</f>
        <v/>
      </c>
      <c r="N265" s="27">
        <f>IF(M265="","",IF(ISNUMBER(M265),IF(M265&lt;0,"Expired",IF(M265&lt;=30,"Due ≤30 days",IF(M265&lt;=90,"Due ≤90 days","OK"))),"Check date"))</f>
        <v/>
      </c>
      <c r="O265" s="21" t="n"/>
      <c r="P265" s="21" t="n"/>
      <c r="Q265" s="21" t="n"/>
      <c r="R265" s="21" t="n"/>
      <c r="S265" s="21" t="n"/>
    </row>
    <row r="266">
      <c r="A266" s="21" t="n"/>
      <c r="B266" s="21" t="n"/>
      <c r="C266" s="21" t="n"/>
      <c r="D266" s="21" t="n"/>
      <c r="E266" s="21" t="n"/>
      <c r="F266" s="22" t="n"/>
      <c r="G266" s="22" t="n"/>
      <c r="H266" s="21" t="n"/>
      <c r="I266" s="23" t="n"/>
      <c r="J266" s="23" t="n"/>
      <c r="K266" s="24" t="n"/>
      <c r="L266" s="25">
        <f>IF(ISNUMBER(J266),J266-IF(ISNUMBER(K266),K266,30),"")</f>
        <v/>
      </c>
      <c r="M266" s="26">
        <f>IF(J266="","",IF(ISNUMBER(J266),J266-TODAY(),"Check date"))</f>
        <v/>
      </c>
      <c r="N266" s="27">
        <f>IF(M266="","",IF(ISNUMBER(M266),IF(M266&lt;0,"Expired",IF(M266&lt;=30,"Due ≤30 days",IF(M266&lt;=90,"Due ≤90 days","OK"))),"Check date"))</f>
        <v/>
      </c>
      <c r="O266" s="21" t="n"/>
      <c r="P266" s="21" t="n"/>
      <c r="Q266" s="21" t="n"/>
      <c r="R266" s="21" t="n"/>
      <c r="S266" s="21" t="n"/>
    </row>
    <row r="267">
      <c r="A267" s="21" t="n"/>
      <c r="B267" s="21" t="n"/>
      <c r="C267" s="21" t="n"/>
      <c r="D267" s="21" t="n"/>
      <c r="E267" s="21" t="n"/>
      <c r="F267" s="22" t="n"/>
      <c r="G267" s="22" t="n"/>
      <c r="H267" s="21" t="n"/>
      <c r="I267" s="23" t="n"/>
      <c r="J267" s="23" t="n"/>
      <c r="K267" s="24" t="n"/>
      <c r="L267" s="25">
        <f>IF(ISNUMBER(J267),J267-IF(ISNUMBER(K267),K267,30),"")</f>
        <v/>
      </c>
      <c r="M267" s="26">
        <f>IF(J267="","",IF(ISNUMBER(J267),J267-TODAY(),"Check date"))</f>
        <v/>
      </c>
      <c r="N267" s="27">
        <f>IF(M267="","",IF(ISNUMBER(M267),IF(M267&lt;0,"Expired",IF(M267&lt;=30,"Due ≤30 days",IF(M267&lt;=90,"Due ≤90 days","OK"))),"Check date"))</f>
        <v/>
      </c>
      <c r="O267" s="21" t="n"/>
      <c r="P267" s="21" t="n"/>
      <c r="Q267" s="21" t="n"/>
      <c r="R267" s="21" t="n"/>
      <c r="S267" s="21" t="n"/>
    </row>
    <row r="268">
      <c r="A268" s="21" t="n"/>
      <c r="B268" s="21" t="n"/>
      <c r="C268" s="21" t="n"/>
      <c r="D268" s="21" t="n"/>
      <c r="E268" s="21" t="n"/>
      <c r="F268" s="22" t="n"/>
      <c r="G268" s="22" t="n"/>
      <c r="H268" s="21" t="n"/>
      <c r="I268" s="23" t="n"/>
      <c r="J268" s="23" t="n"/>
      <c r="K268" s="24" t="n"/>
      <c r="L268" s="25">
        <f>IF(ISNUMBER(J268),J268-IF(ISNUMBER(K268),K268,30),"")</f>
        <v/>
      </c>
      <c r="M268" s="26">
        <f>IF(J268="","",IF(ISNUMBER(J268),J268-TODAY(),"Check date"))</f>
        <v/>
      </c>
      <c r="N268" s="27">
        <f>IF(M268="","",IF(ISNUMBER(M268),IF(M268&lt;0,"Expired",IF(M268&lt;=30,"Due ≤30 days",IF(M268&lt;=90,"Due ≤90 days","OK"))),"Check date"))</f>
        <v/>
      </c>
      <c r="O268" s="21" t="n"/>
      <c r="P268" s="21" t="n"/>
      <c r="Q268" s="21" t="n"/>
      <c r="R268" s="21" t="n"/>
      <c r="S268" s="21" t="n"/>
    </row>
    <row r="269">
      <c r="A269" s="21" t="n"/>
      <c r="B269" s="21" t="n"/>
      <c r="C269" s="21" t="n"/>
      <c r="D269" s="21" t="n"/>
      <c r="E269" s="21" t="n"/>
      <c r="F269" s="22" t="n"/>
      <c r="G269" s="22" t="n"/>
      <c r="H269" s="21" t="n"/>
      <c r="I269" s="23" t="n"/>
      <c r="J269" s="23" t="n"/>
      <c r="K269" s="24" t="n"/>
      <c r="L269" s="25">
        <f>IF(ISNUMBER(J269),J269-IF(ISNUMBER(K269),K269,30),"")</f>
        <v/>
      </c>
      <c r="M269" s="26">
        <f>IF(J269="","",IF(ISNUMBER(J269),J269-TODAY(),"Check date"))</f>
        <v/>
      </c>
      <c r="N269" s="27">
        <f>IF(M269="","",IF(ISNUMBER(M269),IF(M269&lt;0,"Expired",IF(M269&lt;=30,"Due ≤30 days",IF(M269&lt;=90,"Due ≤90 days","OK"))),"Check date"))</f>
        <v/>
      </c>
      <c r="O269" s="21" t="n"/>
      <c r="P269" s="21" t="n"/>
      <c r="Q269" s="21" t="n"/>
      <c r="R269" s="21" t="n"/>
      <c r="S269" s="21" t="n"/>
    </row>
    <row r="270">
      <c r="A270" s="21" t="n"/>
      <c r="B270" s="21" t="n"/>
      <c r="C270" s="21" t="n"/>
      <c r="D270" s="21" t="n"/>
      <c r="E270" s="21" t="n"/>
      <c r="F270" s="22" t="n"/>
      <c r="G270" s="22" t="n"/>
      <c r="H270" s="21" t="n"/>
      <c r="I270" s="23" t="n"/>
      <c r="J270" s="23" t="n"/>
      <c r="K270" s="24" t="n"/>
      <c r="L270" s="25">
        <f>IF(ISNUMBER(J270),J270-IF(ISNUMBER(K270),K270,30),"")</f>
        <v/>
      </c>
      <c r="M270" s="26">
        <f>IF(J270="","",IF(ISNUMBER(J270),J270-TODAY(),"Check date"))</f>
        <v/>
      </c>
      <c r="N270" s="27">
        <f>IF(M270="","",IF(ISNUMBER(M270),IF(M270&lt;0,"Expired",IF(M270&lt;=30,"Due ≤30 days",IF(M270&lt;=90,"Due ≤90 days","OK"))),"Check date"))</f>
        <v/>
      </c>
      <c r="O270" s="21" t="n"/>
      <c r="P270" s="21" t="n"/>
      <c r="Q270" s="21" t="n"/>
      <c r="R270" s="21" t="n"/>
      <c r="S270" s="21" t="n"/>
    </row>
    <row r="271">
      <c r="A271" s="21" t="n"/>
      <c r="B271" s="21" t="n"/>
      <c r="C271" s="21" t="n"/>
      <c r="D271" s="21" t="n"/>
      <c r="E271" s="21" t="n"/>
      <c r="F271" s="22" t="n"/>
      <c r="G271" s="22" t="n"/>
      <c r="H271" s="21" t="n"/>
      <c r="I271" s="23" t="n"/>
      <c r="J271" s="23" t="n"/>
      <c r="K271" s="24" t="n"/>
      <c r="L271" s="25">
        <f>IF(ISNUMBER(J271),J271-IF(ISNUMBER(K271),K271,30),"")</f>
        <v/>
      </c>
      <c r="M271" s="26">
        <f>IF(J271="","",IF(ISNUMBER(J271),J271-TODAY(),"Check date"))</f>
        <v/>
      </c>
      <c r="N271" s="27">
        <f>IF(M271="","",IF(ISNUMBER(M271),IF(M271&lt;0,"Expired",IF(M271&lt;=30,"Due ≤30 days",IF(M271&lt;=90,"Due ≤90 days","OK"))),"Check date"))</f>
        <v/>
      </c>
      <c r="O271" s="21" t="n"/>
      <c r="P271" s="21" t="n"/>
      <c r="Q271" s="21" t="n"/>
      <c r="R271" s="21" t="n"/>
      <c r="S271" s="21" t="n"/>
    </row>
    <row r="272">
      <c r="A272" s="21" t="n"/>
      <c r="B272" s="21" t="n"/>
      <c r="C272" s="21" t="n"/>
      <c r="D272" s="21" t="n"/>
      <c r="E272" s="21" t="n"/>
      <c r="F272" s="22" t="n"/>
      <c r="G272" s="22" t="n"/>
      <c r="H272" s="21" t="n"/>
      <c r="I272" s="23" t="n"/>
      <c r="J272" s="23" t="n"/>
      <c r="K272" s="24" t="n"/>
      <c r="L272" s="25">
        <f>IF(ISNUMBER(J272),J272-IF(ISNUMBER(K272),K272,30),"")</f>
        <v/>
      </c>
      <c r="M272" s="26">
        <f>IF(J272="","",IF(ISNUMBER(J272),J272-TODAY(),"Check date"))</f>
        <v/>
      </c>
      <c r="N272" s="27">
        <f>IF(M272="","",IF(ISNUMBER(M272),IF(M272&lt;0,"Expired",IF(M272&lt;=30,"Due ≤30 days",IF(M272&lt;=90,"Due ≤90 days","OK"))),"Check date"))</f>
        <v/>
      </c>
      <c r="O272" s="21" t="n"/>
      <c r="P272" s="21" t="n"/>
      <c r="Q272" s="21" t="n"/>
      <c r="R272" s="21" t="n"/>
      <c r="S272" s="21" t="n"/>
    </row>
    <row r="273">
      <c r="A273" s="21" t="n"/>
      <c r="B273" s="21" t="n"/>
      <c r="C273" s="21" t="n"/>
      <c r="D273" s="21" t="n"/>
      <c r="E273" s="21" t="n"/>
      <c r="F273" s="22" t="n"/>
      <c r="G273" s="22" t="n"/>
      <c r="H273" s="21" t="n"/>
      <c r="I273" s="23" t="n"/>
      <c r="J273" s="23" t="n"/>
      <c r="K273" s="24" t="n"/>
      <c r="L273" s="25">
        <f>IF(ISNUMBER(J273),J273-IF(ISNUMBER(K273),K273,30),"")</f>
        <v/>
      </c>
      <c r="M273" s="26">
        <f>IF(J273="","",IF(ISNUMBER(J273),J273-TODAY(),"Check date"))</f>
        <v/>
      </c>
      <c r="N273" s="27">
        <f>IF(M273="","",IF(ISNUMBER(M273),IF(M273&lt;0,"Expired",IF(M273&lt;=30,"Due ≤30 days",IF(M273&lt;=90,"Due ≤90 days","OK"))),"Check date"))</f>
        <v/>
      </c>
      <c r="O273" s="21" t="n"/>
      <c r="P273" s="21" t="n"/>
      <c r="Q273" s="21" t="n"/>
      <c r="R273" s="21" t="n"/>
      <c r="S273" s="21" t="n"/>
    </row>
    <row r="274">
      <c r="A274" s="21" t="n"/>
      <c r="B274" s="21" t="n"/>
      <c r="C274" s="21" t="n"/>
      <c r="D274" s="21" t="n"/>
      <c r="E274" s="21" t="n"/>
      <c r="F274" s="22" t="n"/>
      <c r="G274" s="22" t="n"/>
      <c r="H274" s="21" t="n"/>
      <c r="I274" s="23" t="n"/>
      <c r="J274" s="23" t="n"/>
      <c r="K274" s="24" t="n"/>
      <c r="L274" s="25">
        <f>IF(ISNUMBER(J274),J274-IF(ISNUMBER(K274),K274,30),"")</f>
        <v/>
      </c>
      <c r="M274" s="26">
        <f>IF(J274="","",IF(ISNUMBER(J274),J274-TODAY(),"Check date"))</f>
        <v/>
      </c>
      <c r="N274" s="27">
        <f>IF(M274="","",IF(ISNUMBER(M274),IF(M274&lt;0,"Expired",IF(M274&lt;=30,"Due ≤30 days",IF(M274&lt;=90,"Due ≤90 days","OK"))),"Check date"))</f>
        <v/>
      </c>
      <c r="O274" s="21" t="n"/>
      <c r="P274" s="21" t="n"/>
      <c r="Q274" s="21" t="n"/>
      <c r="R274" s="21" t="n"/>
      <c r="S274" s="21" t="n"/>
    </row>
    <row r="275">
      <c r="A275" s="21" t="n"/>
      <c r="B275" s="21" t="n"/>
      <c r="C275" s="21" t="n"/>
      <c r="D275" s="21" t="n"/>
      <c r="E275" s="21" t="n"/>
      <c r="F275" s="22" t="n"/>
      <c r="G275" s="22" t="n"/>
      <c r="H275" s="21" t="n"/>
      <c r="I275" s="23" t="n"/>
      <c r="J275" s="23" t="n"/>
      <c r="K275" s="24" t="n"/>
      <c r="L275" s="25">
        <f>IF(ISNUMBER(J275),J275-IF(ISNUMBER(K275),K275,30),"")</f>
        <v/>
      </c>
      <c r="M275" s="26">
        <f>IF(J275="","",IF(ISNUMBER(J275),J275-TODAY(),"Check date"))</f>
        <v/>
      </c>
      <c r="N275" s="27">
        <f>IF(M275="","",IF(ISNUMBER(M275),IF(M275&lt;0,"Expired",IF(M275&lt;=30,"Due ≤30 days",IF(M275&lt;=90,"Due ≤90 days","OK"))),"Check date"))</f>
        <v/>
      </c>
      <c r="O275" s="21" t="n"/>
      <c r="P275" s="21" t="n"/>
      <c r="Q275" s="21" t="n"/>
      <c r="R275" s="21" t="n"/>
      <c r="S275" s="21" t="n"/>
    </row>
    <row r="276">
      <c r="A276" s="21" t="n"/>
      <c r="B276" s="21" t="n"/>
      <c r="C276" s="21" t="n"/>
      <c r="D276" s="21" t="n"/>
      <c r="E276" s="21" t="n"/>
      <c r="F276" s="22" t="n"/>
      <c r="G276" s="22" t="n"/>
      <c r="H276" s="21" t="n"/>
      <c r="I276" s="23" t="n"/>
      <c r="J276" s="23" t="n"/>
      <c r="K276" s="24" t="n"/>
      <c r="L276" s="25">
        <f>IF(ISNUMBER(J276),J276-IF(ISNUMBER(K276),K276,30),"")</f>
        <v/>
      </c>
      <c r="M276" s="26">
        <f>IF(J276="","",IF(ISNUMBER(J276),J276-TODAY(),"Check date"))</f>
        <v/>
      </c>
      <c r="N276" s="27">
        <f>IF(M276="","",IF(ISNUMBER(M276),IF(M276&lt;0,"Expired",IF(M276&lt;=30,"Due ≤30 days",IF(M276&lt;=90,"Due ≤90 days","OK"))),"Check date"))</f>
        <v/>
      </c>
      <c r="O276" s="21" t="n"/>
      <c r="P276" s="21" t="n"/>
      <c r="Q276" s="21" t="n"/>
      <c r="R276" s="21" t="n"/>
      <c r="S276" s="21" t="n"/>
    </row>
    <row r="277">
      <c r="A277" s="21" t="n"/>
      <c r="B277" s="21" t="n"/>
      <c r="C277" s="21" t="n"/>
      <c r="D277" s="21" t="n"/>
      <c r="E277" s="21" t="n"/>
      <c r="F277" s="22" t="n"/>
      <c r="G277" s="22" t="n"/>
      <c r="H277" s="21" t="n"/>
      <c r="I277" s="23" t="n"/>
      <c r="J277" s="23" t="n"/>
      <c r="K277" s="24" t="n"/>
      <c r="L277" s="25">
        <f>IF(ISNUMBER(J277),J277-IF(ISNUMBER(K277),K277,30),"")</f>
        <v/>
      </c>
      <c r="M277" s="26">
        <f>IF(J277="","",IF(ISNUMBER(J277),J277-TODAY(),"Check date"))</f>
        <v/>
      </c>
      <c r="N277" s="27">
        <f>IF(M277="","",IF(ISNUMBER(M277),IF(M277&lt;0,"Expired",IF(M277&lt;=30,"Due ≤30 days",IF(M277&lt;=90,"Due ≤90 days","OK"))),"Check date"))</f>
        <v/>
      </c>
      <c r="O277" s="21" t="n"/>
      <c r="P277" s="21" t="n"/>
      <c r="Q277" s="21" t="n"/>
      <c r="R277" s="21" t="n"/>
      <c r="S277" s="21" t="n"/>
    </row>
    <row r="278">
      <c r="A278" s="21" t="n"/>
      <c r="B278" s="21" t="n"/>
      <c r="C278" s="21" t="n"/>
      <c r="D278" s="21" t="n"/>
      <c r="E278" s="21" t="n"/>
      <c r="F278" s="22" t="n"/>
      <c r="G278" s="22" t="n"/>
      <c r="H278" s="21" t="n"/>
      <c r="I278" s="23" t="n"/>
      <c r="J278" s="23" t="n"/>
      <c r="K278" s="24" t="n"/>
      <c r="L278" s="25">
        <f>IF(ISNUMBER(J278),J278-IF(ISNUMBER(K278),K278,30),"")</f>
        <v/>
      </c>
      <c r="M278" s="26">
        <f>IF(J278="","",IF(ISNUMBER(J278),J278-TODAY(),"Check date"))</f>
        <v/>
      </c>
      <c r="N278" s="27">
        <f>IF(M278="","",IF(ISNUMBER(M278),IF(M278&lt;0,"Expired",IF(M278&lt;=30,"Due ≤30 days",IF(M278&lt;=90,"Due ≤90 days","OK"))),"Check date"))</f>
        <v/>
      </c>
      <c r="O278" s="21" t="n"/>
      <c r="P278" s="21" t="n"/>
      <c r="Q278" s="21" t="n"/>
      <c r="R278" s="21" t="n"/>
      <c r="S278" s="21" t="n"/>
    </row>
    <row r="279">
      <c r="A279" s="21" t="n"/>
      <c r="B279" s="21" t="n"/>
      <c r="C279" s="21" t="n"/>
      <c r="D279" s="21" t="n"/>
      <c r="E279" s="21" t="n"/>
      <c r="F279" s="22" t="n"/>
      <c r="G279" s="22" t="n"/>
      <c r="H279" s="21" t="n"/>
      <c r="I279" s="23" t="n"/>
      <c r="J279" s="23" t="n"/>
      <c r="K279" s="24" t="n"/>
      <c r="L279" s="25">
        <f>IF(ISNUMBER(J279),J279-IF(ISNUMBER(K279),K279,30),"")</f>
        <v/>
      </c>
      <c r="M279" s="26">
        <f>IF(J279="","",IF(ISNUMBER(J279),J279-TODAY(),"Check date"))</f>
        <v/>
      </c>
      <c r="N279" s="27">
        <f>IF(M279="","",IF(ISNUMBER(M279),IF(M279&lt;0,"Expired",IF(M279&lt;=30,"Due ≤30 days",IF(M279&lt;=90,"Due ≤90 days","OK"))),"Check date"))</f>
        <v/>
      </c>
      <c r="O279" s="21" t="n"/>
      <c r="P279" s="21" t="n"/>
      <c r="Q279" s="21" t="n"/>
      <c r="R279" s="21" t="n"/>
      <c r="S279" s="21" t="n"/>
    </row>
    <row r="280">
      <c r="A280" s="21" t="n"/>
      <c r="B280" s="21" t="n"/>
      <c r="C280" s="21" t="n"/>
      <c r="D280" s="21" t="n"/>
      <c r="E280" s="21" t="n"/>
      <c r="F280" s="22" t="n"/>
      <c r="G280" s="22" t="n"/>
      <c r="H280" s="21" t="n"/>
      <c r="I280" s="23" t="n"/>
      <c r="J280" s="23" t="n"/>
      <c r="K280" s="24" t="n"/>
      <c r="L280" s="25">
        <f>IF(ISNUMBER(J280),J280-IF(ISNUMBER(K280),K280,30),"")</f>
        <v/>
      </c>
      <c r="M280" s="26">
        <f>IF(J280="","",IF(ISNUMBER(J280),J280-TODAY(),"Check date"))</f>
        <v/>
      </c>
      <c r="N280" s="27">
        <f>IF(M280="","",IF(ISNUMBER(M280),IF(M280&lt;0,"Expired",IF(M280&lt;=30,"Due ≤30 days",IF(M280&lt;=90,"Due ≤90 days","OK"))),"Check date"))</f>
        <v/>
      </c>
      <c r="O280" s="21" t="n"/>
      <c r="P280" s="21" t="n"/>
      <c r="Q280" s="21" t="n"/>
      <c r="R280" s="21" t="n"/>
      <c r="S280" s="21" t="n"/>
    </row>
    <row r="281">
      <c r="A281" s="21" t="n"/>
      <c r="B281" s="21" t="n"/>
      <c r="C281" s="21" t="n"/>
      <c r="D281" s="21" t="n"/>
      <c r="E281" s="21" t="n"/>
      <c r="F281" s="22" t="n"/>
      <c r="G281" s="22" t="n"/>
      <c r="H281" s="21" t="n"/>
      <c r="I281" s="23" t="n"/>
      <c r="J281" s="23" t="n"/>
      <c r="K281" s="24" t="n"/>
      <c r="L281" s="25">
        <f>IF(ISNUMBER(J281),J281-IF(ISNUMBER(K281),K281,30),"")</f>
        <v/>
      </c>
      <c r="M281" s="26">
        <f>IF(J281="","",IF(ISNUMBER(J281),J281-TODAY(),"Check date"))</f>
        <v/>
      </c>
      <c r="N281" s="27">
        <f>IF(M281="","",IF(ISNUMBER(M281),IF(M281&lt;0,"Expired",IF(M281&lt;=30,"Due ≤30 days",IF(M281&lt;=90,"Due ≤90 days","OK"))),"Check date"))</f>
        <v/>
      </c>
      <c r="O281" s="21" t="n"/>
      <c r="P281" s="21" t="n"/>
      <c r="Q281" s="21" t="n"/>
      <c r="R281" s="21" t="n"/>
      <c r="S281" s="21" t="n"/>
    </row>
    <row r="282">
      <c r="A282" s="21" t="n"/>
      <c r="B282" s="21" t="n"/>
      <c r="C282" s="21" t="n"/>
      <c r="D282" s="21" t="n"/>
      <c r="E282" s="21" t="n"/>
      <c r="F282" s="22" t="n"/>
      <c r="G282" s="22" t="n"/>
      <c r="H282" s="21" t="n"/>
      <c r="I282" s="23" t="n"/>
      <c r="J282" s="23" t="n"/>
      <c r="K282" s="24" t="n"/>
      <c r="L282" s="25">
        <f>IF(ISNUMBER(J282),J282-IF(ISNUMBER(K282),K282,30),"")</f>
        <v/>
      </c>
      <c r="M282" s="26">
        <f>IF(J282="","",IF(ISNUMBER(J282),J282-TODAY(),"Check date"))</f>
        <v/>
      </c>
      <c r="N282" s="27">
        <f>IF(M282="","",IF(ISNUMBER(M282),IF(M282&lt;0,"Expired",IF(M282&lt;=30,"Due ≤30 days",IF(M282&lt;=90,"Due ≤90 days","OK"))),"Check date"))</f>
        <v/>
      </c>
      <c r="O282" s="21" t="n"/>
      <c r="P282" s="21" t="n"/>
      <c r="Q282" s="21" t="n"/>
      <c r="R282" s="21" t="n"/>
      <c r="S282" s="21" t="n"/>
    </row>
    <row r="283">
      <c r="A283" s="21" t="n"/>
      <c r="B283" s="21" t="n"/>
      <c r="C283" s="21" t="n"/>
      <c r="D283" s="21" t="n"/>
      <c r="E283" s="21" t="n"/>
      <c r="F283" s="22" t="n"/>
      <c r="G283" s="22" t="n"/>
      <c r="H283" s="21" t="n"/>
      <c r="I283" s="23" t="n"/>
      <c r="J283" s="23" t="n"/>
      <c r="K283" s="24" t="n"/>
      <c r="L283" s="25">
        <f>IF(ISNUMBER(J283),J283-IF(ISNUMBER(K283),K283,30),"")</f>
        <v/>
      </c>
      <c r="M283" s="26">
        <f>IF(J283="","",IF(ISNUMBER(J283),J283-TODAY(),"Check date"))</f>
        <v/>
      </c>
      <c r="N283" s="27">
        <f>IF(M283="","",IF(ISNUMBER(M283),IF(M283&lt;0,"Expired",IF(M283&lt;=30,"Due ≤30 days",IF(M283&lt;=90,"Due ≤90 days","OK"))),"Check date"))</f>
        <v/>
      </c>
      <c r="O283" s="21" t="n"/>
      <c r="P283" s="21" t="n"/>
      <c r="Q283" s="21" t="n"/>
      <c r="R283" s="21" t="n"/>
      <c r="S283" s="21" t="n"/>
    </row>
    <row r="284">
      <c r="A284" s="21" t="n"/>
      <c r="B284" s="21" t="n"/>
      <c r="C284" s="21" t="n"/>
      <c r="D284" s="21" t="n"/>
      <c r="E284" s="21" t="n"/>
      <c r="F284" s="22" t="n"/>
      <c r="G284" s="22" t="n"/>
      <c r="H284" s="21" t="n"/>
      <c r="I284" s="23" t="n"/>
      <c r="J284" s="23" t="n"/>
      <c r="K284" s="24" t="n"/>
      <c r="L284" s="25">
        <f>IF(ISNUMBER(J284),J284-IF(ISNUMBER(K284),K284,30),"")</f>
        <v/>
      </c>
      <c r="M284" s="26">
        <f>IF(J284="","",IF(ISNUMBER(J284),J284-TODAY(),"Check date"))</f>
        <v/>
      </c>
      <c r="N284" s="27">
        <f>IF(M284="","",IF(ISNUMBER(M284),IF(M284&lt;0,"Expired",IF(M284&lt;=30,"Due ≤30 days",IF(M284&lt;=90,"Due ≤90 days","OK"))),"Check date"))</f>
        <v/>
      </c>
      <c r="O284" s="21" t="n"/>
      <c r="P284" s="21" t="n"/>
      <c r="Q284" s="21" t="n"/>
      <c r="R284" s="21" t="n"/>
      <c r="S284" s="21" t="n"/>
    </row>
    <row r="285">
      <c r="A285" s="21" t="n"/>
      <c r="B285" s="21" t="n"/>
      <c r="C285" s="21" t="n"/>
      <c r="D285" s="21" t="n"/>
      <c r="E285" s="21" t="n"/>
      <c r="F285" s="22" t="n"/>
      <c r="G285" s="22" t="n"/>
      <c r="H285" s="21" t="n"/>
      <c r="I285" s="23" t="n"/>
      <c r="J285" s="23" t="n"/>
      <c r="K285" s="24" t="n"/>
      <c r="L285" s="25">
        <f>IF(ISNUMBER(J285),J285-IF(ISNUMBER(K285),K285,30),"")</f>
        <v/>
      </c>
      <c r="M285" s="26">
        <f>IF(J285="","",IF(ISNUMBER(J285),J285-TODAY(),"Check date"))</f>
        <v/>
      </c>
      <c r="N285" s="27">
        <f>IF(M285="","",IF(ISNUMBER(M285),IF(M285&lt;0,"Expired",IF(M285&lt;=30,"Due ≤30 days",IF(M285&lt;=90,"Due ≤90 days","OK"))),"Check date"))</f>
        <v/>
      </c>
      <c r="O285" s="21" t="n"/>
      <c r="P285" s="21" t="n"/>
      <c r="Q285" s="21" t="n"/>
      <c r="R285" s="21" t="n"/>
      <c r="S285" s="21" t="n"/>
    </row>
    <row r="286">
      <c r="A286" s="21" t="n"/>
      <c r="B286" s="21" t="n"/>
      <c r="C286" s="21" t="n"/>
      <c r="D286" s="21" t="n"/>
      <c r="E286" s="21" t="n"/>
      <c r="F286" s="22" t="n"/>
      <c r="G286" s="22" t="n"/>
      <c r="H286" s="21" t="n"/>
      <c r="I286" s="23" t="n"/>
      <c r="J286" s="23" t="n"/>
      <c r="K286" s="24" t="n"/>
      <c r="L286" s="25">
        <f>IF(ISNUMBER(J286),J286-IF(ISNUMBER(K286),K286,30),"")</f>
        <v/>
      </c>
      <c r="M286" s="26">
        <f>IF(J286="","",IF(ISNUMBER(J286),J286-TODAY(),"Check date"))</f>
        <v/>
      </c>
      <c r="N286" s="27">
        <f>IF(M286="","",IF(ISNUMBER(M286),IF(M286&lt;0,"Expired",IF(M286&lt;=30,"Due ≤30 days",IF(M286&lt;=90,"Due ≤90 days","OK"))),"Check date"))</f>
        <v/>
      </c>
      <c r="O286" s="21" t="n"/>
      <c r="P286" s="21" t="n"/>
      <c r="Q286" s="21" t="n"/>
      <c r="R286" s="21" t="n"/>
      <c r="S286" s="21" t="n"/>
    </row>
    <row r="287">
      <c r="A287" s="21" t="n"/>
      <c r="B287" s="21" t="n"/>
      <c r="C287" s="21" t="n"/>
      <c r="D287" s="21" t="n"/>
      <c r="E287" s="21" t="n"/>
      <c r="F287" s="22" t="n"/>
      <c r="G287" s="22" t="n"/>
      <c r="H287" s="21" t="n"/>
      <c r="I287" s="23" t="n"/>
      <c r="J287" s="23" t="n"/>
      <c r="K287" s="24" t="n"/>
      <c r="L287" s="25">
        <f>IF(ISNUMBER(J287),J287-IF(ISNUMBER(K287),K287,30),"")</f>
        <v/>
      </c>
      <c r="M287" s="26">
        <f>IF(J287="","",IF(ISNUMBER(J287),J287-TODAY(),"Check date"))</f>
        <v/>
      </c>
      <c r="N287" s="27">
        <f>IF(M287="","",IF(ISNUMBER(M287),IF(M287&lt;0,"Expired",IF(M287&lt;=30,"Due ≤30 days",IF(M287&lt;=90,"Due ≤90 days","OK"))),"Check date"))</f>
        <v/>
      </c>
      <c r="O287" s="21" t="n"/>
      <c r="P287" s="21" t="n"/>
      <c r="Q287" s="21" t="n"/>
      <c r="R287" s="21" t="n"/>
      <c r="S287" s="21" t="n"/>
    </row>
    <row r="288">
      <c r="A288" s="21" t="n"/>
      <c r="B288" s="21" t="n"/>
      <c r="C288" s="21" t="n"/>
      <c r="D288" s="21" t="n"/>
      <c r="E288" s="21" t="n"/>
      <c r="F288" s="22" t="n"/>
      <c r="G288" s="22" t="n"/>
      <c r="H288" s="21" t="n"/>
      <c r="I288" s="23" t="n"/>
      <c r="J288" s="23" t="n"/>
      <c r="K288" s="24" t="n"/>
      <c r="L288" s="25">
        <f>IF(ISNUMBER(J288),J288-IF(ISNUMBER(K288),K288,30),"")</f>
        <v/>
      </c>
      <c r="M288" s="26">
        <f>IF(J288="","",IF(ISNUMBER(J288),J288-TODAY(),"Check date"))</f>
        <v/>
      </c>
      <c r="N288" s="27">
        <f>IF(M288="","",IF(ISNUMBER(M288),IF(M288&lt;0,"Expired",IF(M288&lt;=30,"Due ≤30 days",IF(M288&lt;=90,"Due ≤90 days","OK"))),"Check date"))</f>
        <v/>
      </c>
      <c r="O288" s="21" t="n"/>
      <c r="P288" s="21" t="n"/>
      <c r="Q288" s="21" t="n"/>
      <c r="R288" s="21" t="n"/>
      <c r="S288" s="21" t="n"/>
    </row>
    <row r="289">
      <c r="A289" s="21" t="n"/>
      <c r="B289" s="21" t="n"/>
      <c r="C289" s="21" t="n"/>
      <c r="D289" s="21" t="n"/>
      <c r="E289" s="21" t="n"/>
      <c r="F289" s="22" t="n"/>
      <c r="G289" s="22" t="n"/>
      <c r="H289" s="21" t="n"/>
      <c r="I289" s="23" t="n"/>
      <c r="J289" s="23" t="n"/>
      <c r="K289" s="24" t="n"/>
      <c r="L289" s="25">
        <f>IF(ISNUMBER(J289),J289-IF(ISNUMBER(K289),K289,30),"")</f>
        <v/>
      </c>
      <c r="M289" s="26">
        <f>IF(J289="","",IF(ISNUMBER(J289),J289-TODAY(),"Check date"))</f>
        <v/>
      </c>
      <c r="N289" s="27">
        <f>IF(M289="","",IF(ISNUMBER(M289),IF(M289&lt;0,"Expired",IF(M289&lt;=30,"Due ≤30 days",IF(M289&lt;=90,"Due ≤90 days","OK"))),"Check date"))</f>
        <v/>
      </c>
      <c r="O289" s="21" t="n"/>
      <c r="P289" s="21" t="n"/>
      <c r="Q289" s="21" t="n"/>
      <c r="R289" s="21" t="n"/>
      <c r="S289" s="21" t="n"/>
    </row>
    <row r="290">
      <c r="A290" s="21" t="n"/>
      <c r="B290" s="21" t="n"/>
      <c r="C290" s="21" t="n"/>
      <c r="D290" s="21" t="n"/>
      <c r="E290" s="21" t="n"/>
      <c r="F290" s="22" t="n"/>
      <c r="G290" s="22" t="n"/>
      <c r="H290" s="21" t="n"/>
      <c r="I290" s="23" t="n"/>
      <c r="J290" s="23" t="n"/>
      <c r="K290" s="24" t="n"/>
      <c r="L290" s="25">
        <f>IF(ISNUMBER(J290),J290-IF(ISNUMBER(K290),K290,30),"")</f>
        <v/>
      </c>
      <c r="M290" s="26">
        <f>IF(J290="","",IF(ISNUMBER(J290),J290-TODAY(),"Check date"))</f>
        <v/>
      </c>
      <c r="N290" s="27">
        <f>IF(M290="","",IF(ISNUMBER(M290),IF(M290&lt;0,"Expired",IF(M290&lt;=30,"Due ≤30 days",IF(M290&lt;=90,"Due ≤90 days","OK"))),"Check date"))</f>
        <v/>
      </c>
      <c r="O290" s="21" t="n"/>
      <c r="P290" s="21" t="n"/>
      <c r="Q290" s="21" t="n"/>
      <c r="R290" s="21" t="n"/>
      <c r="S290" s="21" t="n"/>
    </row>
    <row r="291">
      <c r="A291" s="21" t="n"/>
      <c r="B291" s="21" t="n"/>
      <c r="C291" s="21" t="n"/>
      <c r="D291" s="21" t="n"/>
      <c r="E291" s="21" t="n"/>
      <c r="F291" s="22" t="n"/>
      <c r="G291" s="22" t="n"/>
      <c r="H291" s="21" t="n"/>
      <c r="I291" s="23" t="n"/>
      <c r="J291" s="23" t="n"/>
      <c r="K291" s="24" t="n"/>
      <c r="L291" s="25">
        <f>IF(ISNUMBER(J291),J291-IF(ISNUMBER(K291),K291,30),"")</f>
        <v/>
      </c>
      <c r="M291" s="26">
        <f>IF(J291="","",IF(ISNUMBER(J291),J291-TODAY(),"Check date"))</f>
        <v/>
      </c>
      <c r="N291" s="27">
        <f>IF(M291="","",IF(ISNUMBER(M291),IF(M291&lt;0,"Expired",IF(M291&lt;=30,"Due ≤30 days",IF(M291&lt;=90,"Due ≤90 days","OK"))),"Check date"))</f>
        <v/>
      </c>
      <c r="O291" s="21" t="n"/>
      <c r="P291" s="21" t="n"/>
      <c r="Q291" s="21" t="n"/>
      <c r="R291" s="21" t="n"/>
      <c r="S291" s="21" t="n"/>
    </row>
    <row r="292">
      <c r="A292" s="21" t="n"/>
      <c r="B292" s="21" t="n"/>
      <c r="C292" s="21" t="n"/>
      <c r="D292" s="21" t="n"/>
      <c r="E292" s="21" t="n"/>
      <c r="F292" s="22" t="n"/>
      <c r="G292" s="22" t="n"/>
      <c r="H292" s="21" t="n"/>
      <c r="I292" s="23" t="n"/>
      <c r="J292" s="23" t="n"/>
      <c r="K292" s="24" t="n"/>
      <c r="L292" s="25">
        <f>IF(ISNUMBER(J292),J292-IF(ISNUMBER(K292),K292,30),"")</f>
        <v/>
      </c>
      <c r="M292" s="26">
        <f>IF(J292="","",IF(ISNUMBER(J292),J292-TODAY(),"Check date"))</f>
        <v/>
      </c>
      <c r="N292" s="27">
        <f>IF(M292="","",IF(ISNUMBER(M292),IF(M292&lt;0,"Expired",IF(M292&lt;=30,"Due ≤30 days",IF(M292&lt;=90,"Due ≤90 days","OK"))),"Check date"))</f>
        <v/>
      </c>
      <c r="O292" s="21" t="n"/>
      <c r="P292" s="21" t="n"/>
      <c r="Q292" s="21" t="n"/>
      <c r="R292" s="21" t="n"/>
      <c r="S292" s="21" t="n"/>
    </row>
    <row r="293">
      <c r="A293" s="21" t="n"/>
      <c r="B293" s="21" t="n"/>
      <c r="C293" s="21" t="n"/>
      <c r="D293" s="21" t="n"/>
      <c r="E293" s="21" t="n"/>
      <c r="F293" s="22" t="n"/>
      <c r="G293" s="22" t="n"/>
      <c r="H293" s="21" t="n"/>
      <c r="I293" s="23" t="n"/>
      <c r="J293" s="23" t="n"/>
      <c r="K293" s="24" t="n"/>
      <c r="L293" s="25">
        <f>IF(ISNUMBER(J293),J293-IF(ISNUMBER(K293),K293,30),"")</f>
        <v/>
      </c>
      <c r="M293" s="26">
        <f>IF(J293="","",IF(ISNUMBER(J293),J293-TODAY(),"Check date"))</f>
        <v/>
      </c>
      <c r="N293" s="27">
        <f>IF(M293="","",IF(ISNUMBER(M293),IF(M293&lt;0,"Expired",IF(M293&lt;=30,"Due ≤30 days",IF(M293&lt;=90,"Due ≤90 days","OK"))),"Check date"))</f>
        <v/>
      </c>
      <c r="O293" s="21" t="n"/>
      <c r="P293" s="21" t="n"/>
      <c r="Q293" s="21" t="n"/>
      <c r="R293" s="21" t="n"/>
      <c r="S293" s="21" t="n"/>
    </row>
    <row r="294">
      <c r="A294" s="21" t="n"/>
      <c r="B294" s="21" t="n"/>
      <c r="C294" s="21" t="n"/>
      <c r="D294" s="21" t="n"/>
      <c r="E294" s="21" t="n"/>
      <c r="F294" s="22" t="n"/>
      <c r="G294" s="22" t="n"/>
      <c r="H294" s="21" t="n"/>
      <c r="I294" s="23" t="n"/>
      <c r="J294" s="23" t="n"/>
      <c r="K294" s="24" t="n"/>
      <c r="L294" s="25">
        <f>IF(ISNUMBER(J294),J294-IF(ISNUMBER(K294),K294,30),"")</f>
        <v/>
      </c>
      <c r="M294" s="26">
        <f>IF(J294="","",IF(ISNUMBER(J294),J294-TODAY(),"Check date"))</f>
        <v/>
      </c>
      <c r="N294" s="27">
        <f>IF(M294="","",IF(ISNUMBER(M294),IF(M294&lt;0,"Expired",IF(M294&lt;=30,"Due ≤30 days",IF(M294&lt;=90,"Due ≤90 days","OK"))),"Check date"))</f>
        <v/>
      </c>
      <c r="O294" s="21" t="n"/>
      <c r="P294" s="21" t="n"/>
      <c r="Q294" s="21" t="n"/>
      <c r="R294" s="21" t="n"/>
      <c r="S294" s="21" t="n"/>
    </row>
    <row r="295">
      <c r="A295" s="21" t="n"/>
      <c r="B295" s="21" t="n"/>
      <c r="C295" s="21" t="n"/>
      <c r="D295" s="21" t="n"/>
      <c r="E295" s="21" t="n"/>
      <c r="F295" s="22" t="n"/>
      <c r="G295" s="22" t="n"/>
      <c r="H295" s="21" t="n"/>
      <c r="I295" s="23" t="n"/>
      <c r="J295" s="23" t="n"/>
      <c r="K295" s="24" t="n"/>
      <c r="L295" s="25">
        <f>IF(ISNUMBER(J295),J295-IF(ISNUMBER(K295),K295,30),"")</f>
        <v/>
      </c>
      <c r="M295" s="26">
        <f>IF(J295="","",IF(ISNUMBER(J295),J295-TODAY(),"Check date"))</f>
        <v/>
      </c>
      <c r="N295" s="27">
        <f>IF(M295="","",IF(ISNUMBER(M295),IF(M295&lt;0,"Expired",IF(M295&lt;=30,"Due ≤30 days",IF(M295&lt;=90,"Due ≤90 days","OK"))),"Check date"))</f>
        <v/>
      </c>
      <c r="O295" s="21" t="n"/>
      <c r="P295" s="21" t="n"/>
      <c r="Q295" s="21" t="n"/>
      <c r="R295" s="21" t="n"/>
      <c r="S295" s="21" t="n"/>
    </row>
    <row r="296">
      <c r="A296" s="21" t="n"/>
      <c r="B296" s="21" t="n"/>
      <c r="C296" s="21" t="n"/>
      <c r="D296" s="21" t="n"/>
      <c r="E296" s="21" t="n"/>
      <c r="F296" s="22" t="n"/>
      <c r="G296" s="22" t="n"/>
      <c r="H296" s="21" t="n"/>
      <c r="I296" s="23" t="n"/>
      <c r="J296" s="23" t="n"/>
      <c r="K296" s="24" t="n"/>
      <c r="L296" s="25">
        <f>IF(ISNUMBER(J296),J296-IF(ISNUMBER(K296),K296,30),"")</f>
        <v/>
      </c>
      <c r="M296" s="26">
        <f>IF(J296="","",IF(ISNUMBER(J296),J296-TODAY(),"Check date"))</f>
        <v/>
      </c>
      <c r="N296" s="27">
        <f>IF(M296="","",IF(ISNUMBER(M296),IF(M296&lt;0,"Expired",IF(M296&lt;=30,"Due ≤30 days",IF(M296&lt;=90,"Due ≤90 days","OK"))),"Check date"))</f>
        <v/>
      </c>
      <c r="O296" s="21" t="n"/>
      <c r="P296" s="21" t="n"/>
      <c r="Q296" s="21" t="n"/>
      <c r="R296" s="21" t="n"/>
      <c r="S296" s="21" t="n"/>
    </row>
    <row r="297">
      <c r="A297" s="21" t="n"/>
      <c r="B297" s="21" t="n"/>
      <c r="C297" s="21" t="n"/>
      <c r="D297" s="21" t="n"/>
      <c r="E297" s="21" t="n"/>
      <c r="F297" s="22" t="n"/>
      <c r="G297" s="22" t="n"/>
      <c r="H297" s="21" t="n"/>
      <c r="I297" s="23" t="n"/>
      <c r="J297" s="23" t="n"/>
      <c r="K297" s="24" t="n"/>
      <c r="L297" s="25">
        <f>IF(ISNUMBER(J297),J297-IF(ISNUMBER(K297),K297,30),"")</f>
        <v/>
      </c>
      <c r="M297" s="26">
        <f>IF(J297="","",IF(ISNUMBER(J297),J297-TODAY(),"Check date"))</f>
        <v/>
      </c>
      <c r="N297" s="27">
        <f>IF(M297="","",IF(ISNUMBER(M297),IF(M297&lt;0,"Expired",IF(M297&lt;=30,"Due ≤30 days",IF(M297&lt;=90,"Due ≤90 days","OK"))),"Check date"))</f>
        <v/>
      </c>
      <c r="O297" s="21" t="n"/>
      <c r="P297" s="21" t="n"/>
      <c r="Q297" s="21" t="n"/>
      <c r="R297" s="21" t="n"/>
      <c r="S297" s="21" t="n"/>
    </row>
    <row r="298">
      <c r="A298" s="21" t="n"/>
      <c r="B298" s="21" t="n"/>
      <c r="C298" s="21" t="n"/>
      <c r="D298" s="21" t="n"/>
      <c r="E298" s="21" t="n"/>
      <c r="F298" s="22" t="n"/>
      <c r="G298" s="22" t="n"/>
      <c r="H298" s="21" t="n"/>
      <c r="I298" s="23" t="n"/>
      <c r="J298" s="23" t="n"/>
      <c r="K298" s="24" t="n"/>
      <c r="L298" s="25">
        <f>IF(ISNUMBER(J298),J298-IF(ISNUMBER(K298),K298,30),"")</f>
        <v/>
      </c>
      <c r="M298" s="26">
        <f>IF(J298="","",IF(ISNUMBER(J298),J298-TODAY(),"Check date"))</f>
        <v/>
      </c>
      <c r="N298" s="27">
        <f>IF(M298="","",IF(ISNUMBER(M298),IF(M298&lt;0,"Expired",IF(M298&lt;=30,"Due ≤30 days",IF(M298&lt;=90,"Due ≤90 days","OK"))),"Check date"))</f>
        <v/>
      </c>
      <c r="O298" s="21" t="n"/>
      <c r="P298" s="21" t="n"/>
      <c r="Q298" s="21" t="n"/>
      <c r="R298" s="21" t="n"/>
      <c r="S298" s="21" t="n"/>
    </row>
    <row r="299">
      <c r="A299" s="21" t="n"/>
      <c r="B299" s="21" t="n"/>
      <c r="C299" s="21" t="n"/>
      <c r="D299" s="21" t="n"/>
      <c r="E299" s="21" t="n"/>
      <c r="F299" s="22" t="n"/>
      <c r="G299" s="22" t="n"/>
      <c r="H299" s="21" t="n"/>
      <c r="I299" s="23" t="n"/>
      <c r="J299" s="23" t="n"/>
      <c r="K299" s="24" t="n"/>
      <c r="L299" s="25">
        <f>IF(ISNUMBER(J299),J299-IF(ISNUMBER(K299),K299,30),"")</f>
        <v/>
      </c>
      <c r="M299" s="26">
        <f>IF(J299="","",IF(ISNUMBER(J299),J299-TODAY(),"Check date"))</f>
        <v/>
      </c>
      <c r="N299" s="27">
        <f>IF(M299="","",IF(ISNUMBER(M299),IF(M299&lt;0,"Expired",IF(M299&lt;=30,"Due ≤30 days",IF(M299&lt;=90,"Due ≤90 days","OK"))),"Check date"))</f>
        <v/>
      </c>
      <c r="O299" s="21" t="n"/>
      <c r="P299" s="21" t="n"/>
      <c r="Q299" s="21" t="n"/>
      <c r="R299" s="21" t="n"/>
      <c r="S299" s="21" t="n"/>
    </row>
    <row r="300">
      <c r="A300" s="21" t="n"/>
      <c r="B300" s="21" t="n"/>
      <c r="C300" s="21" t="n"/>
      <c r="D300" s="21" t="n"/>
      <c r="E300" s="21" t="n"/>
      <c r="F300" s="22" t="n"/>
      <c r="G300" s="22" t="n"/>
      <c r="H300" s="21" t="n"/>
      <c r="I300" s="23" t="n"/>
      <c r="J300" s="23" t="n"/>
      <c r="K300" s="24" t="n"/>
      <c r="L300" s="25">
        <f>IF(ISNUMBER(J300),J300-IF(ISNUMBER(K300),K300,30),"")</f>
        <v/>
      </c>
      <c r="M300" s="26">
        <f>IF(J300="","",IF(ISNUMBER(J300),J300-TODAY(),"Check date"))</f>
        <v/>
      </c>
      <c r="N300" s="27">
        <f>IF(M300="","",IF(ISNUMBER(M300),IF(M300&lt;0,"Expired",IF(M300&lt;=30,"Due ≤30 days",IF(M300&lt;=90,"Due ≤90 days","OK"))),"Check date"))</f>
        <v/>
      </c>
      <c r="O300" s="21" t="n"/>
      <c r="P300" s="21" t="n"/>
      <c r="Q300" s="21" t="n"/>
      <c r="R300" s="21" t="n"/>
      <c r="S300" s="21" t="n"/>
    </row>
    <row r="301">
      <c r="A301" s="21" t="n"/>
      <c r="B301" s="21" t="n"/>
      <c r="C301" s="21" t="n"/>
      <c r="D301" s="21" t="n"/>
      <c r="E301" s="21" t="n"/>
      <c r="F301" s="22" t="n"/>
      <c r="G301" s="22" t="n"/>
      <c r="H301" s="21" t="n"/>
      <c r="I301" s="23" t="n"/>
      <c r="J301" s="23" t="n"/>
      <c r="K301" s="24" t="n"/>
      <c r="L301" s="25">
        <f>IF(ISNUMBER(J301),J301-IF(ISNUMBER(K301),K301,30),"")</f>
        <v/>
      </c>
      <c r="M301" s="26">
        <f>IF(J301="","",IF(ISNUMBER(J301),J301-TODAY(),"Check date"))</f>
        <v/>
      </c>
      <c r="N301" s="27">
        <f>IF(M301="","",IF(ISNUMBER(M301),IF(M301&lt;0,"Expired",IF(M301&lt;=30,"Due ≤30 days",IF(M301&lt;=90,"Due ≤90 days","OK"))),"Check date"))</f>
        <v/>
      </c>
      <c r="O301" s="21" t="n"/>
      <c r="P301" s="21" t="n"/>
      <c r="Q301" s="21" t="n"/>
      <c r="R301" s="21" t="n"/>
      <c r="S301" s="21" t="n"/>
    </row>
    <row r="302">
      <c r="A302" s="21" t="n"/>
      <c r="B302" s="21" t="n"/>
      <c r="C302" s="21" t="n"/>
      <c r="D302" s="21" t="n"/>
      <c r="E302" s="21" t="n"/>
      <c r="F302" s="22" t="n"/>
      <c r="G302" s="22" t="n"/>
      <c r="H302" s="21" t="n"/>
      <c r="I302" s="23" t="n"/>
      <c r="J302" s="23" t="n"/>
      <c r="K302" s="24" t="n"/>
      <c r="L302" s="25">
        <f>IF(ISNUMBER(J302),J302-IF(ISNUMBER(K302),K302,30),"")</f>
        <v/>
      </c>
      <c r="M302" s="26">
        <f>IF(J302="","",IF(ISNUMBER(J302),J302-TODAY(),"Check date"))</f>
        <v/>
      </c>
      <c r="N302" s="27">
        <f>IF(M302="","",IF(ISNUMBER(M302),IF(M302&lt;0,"Expired",IF(M302&lt;=30,"Due ≤30 days",IF(M302&lt;=90,"Due ≤90 days","OK"))),"Check date"))</f>
        <v/>
      </c>
      <c r="O302" s="21" t="n"/>
      <c r="P302" s="21" t="n"/>
      <c r="Q302" s="21" t="n"/>
      <c r="R302" s="21" t="n"/>
      <c r="S302" s="21" t="n"/>
    </row>
    <row r="303">
      <c r="A303" s="21" t="n"/>
      <c r="B303" s="21" t="n"/>
      <c r="C303" s="21" t="n"/>
      <c r="D303" s="21" t="n"/>
      <c r="E303" s="21" t="n"/>
      <c r="F303" s="22" t="n"/>
      <c r="G303" s="22" t="n"/>
      <c r="H303" s="21" t="n"/>
      <c r="I303" s="23" t="n"/>
      <c r="J303" s="23" t="n"/>
      <c r="K303" s="24" t="n"/>
      <c r="L303" s="25">
        <f>IF(ISNUMBER(J303),J303-IF(ISNUMBER(K303),K303,30),"")</f>
        <v/>
      </c>
      <c r="M303" s="26">
        <f>IF(J303="","",IF(ISNUMBER(J303),J303-TODAY(),"Check date"))</f>
        <v/>
      </c>
      <c r="N303" s="27">
        <f>IF(M303="","",IF(ISNUMBER(M303),IF(M303&lt;0,"Expired",IF(M303&lt;=30,"Due ≤30 days",IF(M303&lt;=90,"Due ≤90 days","OK"))),"Check date"))</f>
        <v/>
      </c>
      <c r="O303" s="21" t="n"/>
      <c r="P303" s="21" t="n"/>
      <c r="Q303" s="21" t="n"/>
      <c r="R303" s="21" t="n"/>
      <c r="S303" s="21" t="n"/>
    </row>
    <row r="304">
      <c r="A304" s="21" t="n"/>
      <c r="B304" s="21" t="n"/>
      <c r="C304" s="21" t="n"/>
      <c r="D304" s="21" t="n"/>
      <c r="E304" s="21" t="n"/>
      <c r="F304" s="22" t="n"/>
      <c r="G304" s="22" t="n"/>
      <c r="H304" s="21" t="n"/>
      <c r="I304" s="23" t="n"/>
      <c r="J304" s="23" t="n"/>
      <c r="K304" s="24" t="n"/>
      <c r="L304" s="25">
        <f>IF(ISNUMBER(J304),J304-IF(ISNUMBER(K304),K304,30),"")</f>
        <v/>
      </c>
      <c r="M304" s="26">
        <f>IF(J304="","",IF(ISNUMBER(J304),J304-TODAY(),"Check date"))</f>
        <v/>
      </c>
      <c r="N304" s="27">
        <f>IF(M304="","",IF(ISNUMBER(M304),IF(M304&lt;0,"Expired",IF(M304&lt;=30,"Due ≤30 days",IF(M304&lt;=90,"Due ≤90 days","OK"))),"Check date"))</f>
        <v/>
      </c>
      <c r="O304" s="21" t="n"/>
      <c r="P304" s="21" t="n"/>
      <c r="Q304" s="21" t="n"/>
      <c r="R304" s="21" t="n"/>
      <c r="S304" s="21" t="n"/>
    </row>
    <row r="305">
      <c r="A305" s="21" t="n"/>
      <c r="B305" s="21" t="n"/>
      <c r="C305" s="21" t="n"/>
      <c r="D305" s="21" t="n"/>
      <c r="E305" s="21" t="n"/>
      <c r="F305" s="22" t="n"/>
      <c r="G305" s="22" t="n"/>
      <c r="H305" s="21" t="n"/>
      <c r="I305" s="23" t="n"/>
      <c r="J305" s="23" t="n"/>
      <c r="K305" s="24" t="n"/>
      <c r="L305" s="25">
        <f>IF(ISNUMBER(J305),J305-IF(ISNUMBER(K305),K305,30),"")</f>
        <v/>
      </c>
      <c r="M305" s="26">
        <f>IF(J305="","",IF(ISNUMBER(J305),J305-TODAY(),"Check date"))</f>
        <v/>
      </c>
      <c r="N305" s="27">
        <f>IF(M305="","",IF(ISNUMBER(M305),IF(M305&lt;0,"Expired",IF(M305&lt;=30,"Due ≤30 days",IF(M305&lt;=90,"Due ≤90 days","OK"))),"Check date"))</f>
        <v/>
      </c>
      <c r="O305" s="21" t="n"/>
      <c r="P305" s="21" t="n"/>
      <c r="Q305" s="21" t="n"/>
      <c r="R305" s="21" t="n"/>
      <c r="S305" s="21" t="n"/>
    </row>
    <row r="306">
      <c r="A306" s="21" t="n"/>
      <c r="B306" s="21" t="n"/>
      <c r="C306" s="21" t="n"/>
      <c r="D306" s="21" t="n"/>
      <c r="E306" s="21" t="n"/>
      <c r="F306" s="22" t="n"/>
      <c r="G306" s="22" t="n"/>
      <c r="H306" s="21" t="n"/>
      <c r="I306" s="23" t="n"/>
      <c r="J306" s="23" t="n"/>
      <c r="K306" s="24" t="n"/>
      <c r="L306" s="25">
        <f>IF(ISNUMBER(J306),J306-IF(ISNUMBER(K306),K306,30),"")</f>
        <v/>
      </c>
      <c r="M306" s="26">
        <f>IF(J306="","",IF(ISNUMBER(J306),J306-TODAY(),"Check date"))</f>
        <v/>
      </c>
      <c r="N306" s="27">
        <f>IF(M306="","",IF(ISNUMBER(M306),IF(M306&lt;0,"Expired",IF(M306&lt;=30,"Due ≤30 days",IF(M306&lt;=90,"Due ≤90 days","OK"))),"Check date"))</f>
        <v/>
      </c>
      <c r="O306" s="21" t="n"/>
      <c r="P306" s="21" t="n"/>
      <c r="Q306" s="21" t="n"/>
      <c r="R306" s="21" t="n"/>
      <c r="S306" s="21" t="n"/>
    </row>
    <row r="307">
      <c r="A307" s="21" t="n"/>
      <c r="B307" s="21" t="n"/>
      <c r="C307" s="21" t="n"/>
      <c r="D307" s="21" t="n"/>
      <c r="E307" s="21" t="n"/>
      <c r="F307" s="22" t="n"/>
      <c r="G307" s="22" t="n"/>
      <c r="H307" s="21" t="n"/>
      <c r="I307" s="23" t="n"/>
      <c r="J307" s="23" t="n"/>
      <c r="K307" s="24" t="n"/>
      <c r="L307" s="25">
        <f>IF(ISNUMBER(J307),J307-IF(ISNUMBER(K307),K307,30),"")</f>
        <v/>
      </c>
      <c r="M307" s="26">
        <f>IF(J307="","",IF(ISNUMBER(J307),J307-TODAY(),"Check date"))</f>
        <v/>
      </c>
      <c r="N307" s="27">
        <f>IF(M307="","",IF(ISNUMBER(M307),IF(M307&lt;0,"Expired",IF(M307&lt;=30,"Due ≤30 days",IF(M307&lt;=90,"Due ≤90 days","OK"))),"Check date"))</f>
        <v/>
      </c>
      <c r="O307" s="21" t="n"/>
      <c r="P307" s="21" t="n"/>
      <c r="Q307" s="21" t="n"/>
      <c r="R307" s="21" t="n"/>
      <c r="S307" s="21" t="n"/>
    </row>
    <row r="308">
      <c r="A308" s="21" t="n"/>
      <c r="B308" s="21" t="n"/>
      <c r="C308" s="21" t="n"/>
      <c r="D308" s="21" t="n"/>
      <c r="E308" s="21" t="n"/>
      <c r="F308" s="22" t="n"/>
      <c r="G308" s="22" t="n"/>
      <c r="H308" s="21" t="n"/>
      <c r="I308" s="23" t="n"/>
      <c r="J308" s="23" t="n"/>
      <c r="K308" s="24" t="n"/>
      <c r="L308" s="25">
        <f>IF(ISNUMBER(J308),J308-IF(ISNUMBER(K308),K308,30),"")</f>
        <v/>
      </c>
      <c r="M308" s="26">
        <f>IF(J308="","",IF(ISNUMBER(J308),J308-TODAY(),"Check date"))</f>
        <v/>
      </c>
      <c r="N308" s="27">
        <f>IF(M308="","",IF(ISNUMBER(M308),IF(M308&lt;0,"Expired",IF(M308&lt;=30,"Due ≤30 days",IF(M308&lt;=90,"Due ≤90 days","OK"))),"Check date"))</f>
        <v/>
      </c>
      <c r="O308" s="21" t="n"/>
      <c r="P308" s="21" t="n"/>
      <c r="Q308" s="21" t="n"/>
      <c r="R308" s="21" t="n"/>
      <c r="S308" s="21" t="n"/>
    </row>
    <row r="309">
      <c r="A309" s="21" t="n"/>
      <c r="B309" s="21" t="n"/>
      <c r="C309" s="21" t="n"/>
      <c r="D309" s="21" t="n"/>
      <c r="E309" s="21" t="n"/>
      <c r="F309" s="22" t="n"/>
      <c r="G309" s="22" t="n"/>
      <c r="H309" s="21" t="n"/>
      <c r="I309" s="23" t="n"/>
      <c r="J309" s="23" t="n"/>
      <c r="K309" s="24" t="n"/>
      <c r="L309" s="25">
        <f>IF(ISNUMBER(J309),J309-IF(ISNUMBER(K309),K309,30),"")</f>
        <v/>
      </c>
      <c r="M309" s="26">
        <f>IF(J309="","",IF(ISNUMBER(J309),J309-TODAY(),"Check date"))</f>
        <v/>
      </c>
      <c r="N309" s="27">
        <f>IF(M309="","",IF(ISNUMBER(M309),IF(M309&lt;0,"Expired",IF(M309&lt;=30,"Due ≤30 days",IF(M309&lt;=90,"Due ≤90 days","OK"))),"Check date"))</f>
        <v/>
      </c>
      <c r="O309" s="21" t="n"/>
      <c r="P309" s="21" t="n"/>
      <c r="Q309" s="21" t="n"/>
      <c r="R309" s="21" t="n"/>
      <c r="S309" s="21" t="n"/>
    </row>
    <row r="310">
      <c r="A310" s="21" t="n"/>
      <c r="B310" s="21" t="n"/>
      <c r="C310" s="21" t="n"/>
      <c r="D310" s="21" t="n"/>
      <c r="E310" s="21" t="n"/>
      <c r="F310" s="22" t="n"/>
      <c r="G310" s="22" t="n"/>
      <c r="H310" s="21" t="n"/>
      <c r="I310" s="23" t="n"/>
      <c r="J310" s="23" t="n"/>
      <c r="K310" s="24" t="n"/>
      <c r="L310" s="25">
        <f>IF(ISNUMBER(J310),J310-IF(ISNUMBER(K310),K310,30),"")</f>
        <v/>
      </c>
      <c r="M310" s="26">
        <f>IF(J310="","",IF(ISNUMBER(J310),J310-TODAY(),"Check date"))</f>
        <v/>
      </c>
      <c r="N310" s="27">
        <f>IF(M310="","",IF(ISNUMBER(M310),IF(M310&lt;0,"Expired",IF(M310&lt;=30,"Due ≤30 days",IF(M310&lt;=90,"Due ≤90 days","OK"))),"Check date"))</f>
        <v/>
      </c>
      <c r="O310" s="21" t="n"/>
      <c r="P310" s="21" t="n"/>
      <c r="Q310" s="21" t="n"/>
      <c r="R310" s="21" t="n"/>
      <c r="S310" s="21" t="n"/>
    </row>
    <row r="311">
      <c r="A311" s="21" t="n"/>
      <c r="B311" s="21" t="n"/>
      <c r="C311" s="21" t="n"/>
      <c r="D311" s="21" t="n"/>
      <c r="E311" s="21" t="n"/>
      <c r="F311" s="22" t="n"/>
      <c r="G311" s="22" t="n"/>
      <c r="H311" s="21" t="n"/>
      <c r="I311" s="23" t="n"/>
      <c r="J311" s="23" t="n"/>
      <c r="K311" s="24" t="n"/>
      <c r="L311" s="25">
        <f>IF(ISNUMBER(J311),J311-IF(ISNUMBER(K311),K311,30),"")</f>
        <v/>
      </c>
      <c r="M311" s="26">
        <f>IF(J311="","",IF(ISNUMBER(J311),J311-TODAY(),"Check date"))</f>
        <v/>
      </c>
      <c r="N311" s="27">
        <f>IF(M311="","",IF(ISNUMBER(M311),IF(M311&lt;0,"Expired",IF(M311&lt;=30,"Due ≤30 days",IF(M311&lt;=90,"Due ≤90 days","OK"))),"Check date"))</f>
        <v/>
      </c>
      <c r="O311" s="21" t="n"/>
      <c r="P311" s="21" t="n"/>
      <c r="Q311" s="21" t="n"/>
      <c r="R311" s="21" t="n"/>
      <c r="S311" s="21" t="n"/>
    </row>
    <row r="312">
      <c r="A312" s="21" t="n"/>
      <c r="B312" s="21" t="n"/>
      <c r="C312" s="21" t="n"/>
      <c r="D312" s="21" t="n"/>
      <c r="E312" s="21" t="n"/>
      <c r="F312" s="22" t="n"/>
      <c r="G312" s="22" t="n"/>
      <c r="H312" s="21" t="n"/>
      <c r="I312" s="23" t="n"/>
      <c r="J312" s="23" t="n"/>
      <c r="K312" s="24" t="n"/>
      <c r="L312" s="25">
        <f>IF(ISNUMBER(J312),J312-IF(ISNUMBER(K312),K312,30),"")</f>
        <v/>
      </c>
      <c r="M312" s="26">
        <f>IF(J312="","",IF(ISNUMBER(J312),J312-TODAY(),"Check date"))</f>
        <v/>
      </c>
      <c r="N312" s="27">
        <f>IF(M312="","",IF(ISNUMBER(M312),IF(M312&lt;0,"Expired",IF(M312&lt;=30,"Due ≤30 days",IF(M312&lt;=90,"Due ≤90 days","OK"))),"Check date"))</f>
        <v/>
      </c>
      <c r="O312" s="21" t="n"/>
      <c r="P312" s="21" t="n"/>
      <c r="Q312" s="21" t="n"/>
      <c r="R312" s="21" t="n"/>
      <c r="S312" s="21" t="n"/>
    </row>
    <row r="313">
      <c r="A313" s="21" t="n"/>
      <c r="B313" s="21" t="n"/>
      <c r="C313" s="21" t="n"/>
      <c r="D313" s="21" t="n"/>
      <c r="E313" s="21" t="n"/>
      <c r="F313" s="22" t="n"/>
      <c r="G313" s="22" t="n"/>
      <c r="H313" s="21" t="n"/>
      <c r="I313" s="23" t="n"/>
      <c r="J313" s="23" t="n"/>
      <c r="K313" s="24" t="n"/>
      <c r="L313" s="25">
        <f>IF(ISNUMBER(J313),J313-IF(ISNUMBER(K313),K313,30),"")</f>
        <v/>
      </c>
      <c r="M313" s="26">
        <f>IF(J313="","",IF(ISNUMBER(J313),J313-TODAY(),"Check date"))</f>
        <v/>
      </c>
      <c r="N313" s="27">
        <f>IF(M313="","",IF(ISNUMBER(M313),IF(M313&lt;0,"Expired",IF(M313&lt;=30,"Due ≤30 days",IF(M313&lt;=90,"Due ≤90 days","OK"))),"Check date"))</f>
        <v/>
      </c>
      <c r="O313" s="21" t="n"/>
      <c r="P313" s="21" t="n"/>
      <c r="Q313" s="21" t="n"/>
      <c r="R313" s="21" t="n"/>
      <c r="S313" s="21" t="n"/>
    </row>
    <row r="314">
      <c r="A314" s="21" t="n"/>
      <c r="B314" s="21" t="n"/>
      <c r="C314" s="21" t="n"/>
      <c r="D314" s="21" t="n"/>
      <c r="E314" s="21" t="n"/>
      <c r="F314" s="22" t="n"/>
      <c r="G314" s="22" t="n"/>
      <c r="H314" s="21" t="n"/>
      <c r="I314" s="23" t="n"/>
      <c r="J314" s="23" t="n"/>
      <c r="K314" s="24" t="n"/>
      <c r="L314" s="25">
        <f>IF(ISNUMBER(J314),J314-IF(ISNUMBER(K314),K314,30),"")</f>
        <v/>
      </c>
      <c r="M314" s="26">
        <f>IF(J314="","",IF(ISNUMBER(J314),J314-TODAY(),"Check date"))</f>
        <v/>
      </c>
      <c r="N314" s="27">
        <f>IF(M314="","",IF(ISNUMBER(M314),IF(M314&lt;0,"Expired",IF(M314&lt;=30,"Due ≤30 days",IF(M314&lt;=90,"Due ≤90 days","OK"))),"Check date"))</f>
        <v/>
      </c>
      <c r="O314" s="21" t="n"/>
      <c r="P314" s="21" t="n"/>
      <c r="Q314" s="21" t="n"/>
      <c r="R314" s="21" t="n"/>
      <c r="S314" s="21" t="n"/>
    </row>
    <row r="315">
      <c r="A315" s="21" t="n"/>
      <c r="B315" s="21" t="n"/>
      <c r="C315" s="21" t="n"/>
      <c r="D315" s="21" t="n"/>
      <c r="E315" s="21" t="n"/>
      <c r="F315" s="22" t="n"/>
      <c r="G315" s="22" t="n"/>
      <c r="H315" s="21" t="n"/>
      <c r="I315" s="23" t="n"/>
      <c r="J315" s="23" t="n"/>
      <c r="K315" s="24" t="n"/>
      <c r="L315" s="25">
        <f>IF(ISNUMBER(J315),J315-IF(ISNUMBER(K315),K315,30),"")</f>
        <v/>
      </c>
      <c r="M315" s="26">
        <f>IF(J315="","",IF(ISNUMBER(J315),J315-TODAY(),"Check date"))</f>
        <v/>
      </c>
      <c r="N315" s="27">
        <f>IF(M315="","",IF(ISNUMBER(M315),IF(M315&lt;0,"Expired",IF(M315&lt;=30,"Due ≤30 days",IF(M315&lt;=90,"Due ≤90 days","OK"))),"Check date"))</f>
        <v/>
      </c>
      <c r="O315" s="21" t="n"/>
      <c r="P315" s="21" t="n"/>
      <c r="Q315" s="21" t="n"/>
      <c r="R315" s="21" t="n"/>
      <c r="S315" s="21" t="n"/>
    </row>
    <row r="316">
      <c r="A316" s="21" t="n"/>
      <c r="B316" s="21" t="n"/>
      <c r="C316" s="21" t="n"/>
      <c r="D316" s="21" t="n"/>
      <c r="E316" s="21" t="n"/>
      <c r="F316" s="22" t="n"/>
      <c r="G316" s="22" t="n"/>
      <c r="H316" s="21" t="n"/>
      <c r="I316" s="23" t="n"/>
      <c r="J316" s="23" t="n"/>
      <c r="K316" s="24" t="n"/>
      <c r="L316" s="25">
        <f>IF(ISNUMBER(J316),J316-IF(ISNUMBER(K316),K316,30),"")</f>
        <v/>
      </c>
      <c r="M316" s="26">
        <f>IF(J316="","",IF(ISNUMBER(J316),J316-TODAY(),"Check date"))</f>
        <v/>
      </c>
      <c r="N316" s="27">
        <f>IF(M316="","",IF(ISNUMBER(M316),IF(M316&lt;0,"Expired",IF(M316&lt;=30,"Due ≤30 days",IF(M316&lt;=90,"Due ≤90 days","OK"))),"Check date"))</f>
        <v/>
      </c>
      <c r="O316" s="21" t="n"/>
      <c r="P316" s="21" t="n"/>
      <c r="Q316" s="21" t="n"/>
      <c r="R316" s="21" t="n"/>
      <c r="S316" s="21" t="n"/>
    </row>
    <row r="317">
      <c r="A317" s="21" t="n"/>
      <c r="B317" s="21" t="n"/>
      <c r="C317" s="21" t="n"/>
      <c r="D317" s="21" t="n"/>
      <c r="E317" s="21" t="n"/>
      <c r="F317" s="22" t="n"/>
      <c r="G317" s="22" t="n"/>
      <c r="H317" s="21" t="n"/>
      <c r="I317" s="23" t="n"/>
      <c r="J317" s="23" t="n"/>
      <c r="K317" s="24" t="n"/>
      <c r="L317" s="25">
        <f>IF(ISNUMBER(J317),J317-IF(ISNUMBER(K317),K317,30),"")</f>
        <v/>
      </c>
      <c r="M317" s="26">
        <f>IF(J317="","",IF(ISNUMBER(J317),J317-TODAY(),"Check date"))</f>
        <v/>
      </c>
      <c r="N317" s="27">
        <f>IF(M317="","",IF(ISNUMBER(M317),IF(M317&lt;0,"Expired",IF(M317&lt;=30,"Due ≤30 days",IF(M317&lt;=90,"Due ≤90 days","OK"))),"Check date"))</f>
        <v/>
      </c>
      <c r="O317" s="21" t="n"/>
      <c r="P317" s="21" t="n"/>
      <c r="Q317" s="21" t="n"/>
      <c r="R317" s="21" t="n"/>
      <c r="S317" s="21" t="n"/>
    </row>
    <row r="318">
      <c r="A318" s="21" t="n"/>
      <c r="B318" s="21" t="n"/>
      <c r="C318" s="21" t="n"/>
      <c r="D318" s="21" t="n"/>
      <c r="E318" s="21" t="n"/>
      <c r="F318" s="22" t="n"/>
      <c r="G318" s="22" t="n"/>
      <c r="H318" s="21" t="n"/>
      <c r="I318" s="23" t="n"/>
      <c r="J318" s="23" t="n"/>
      <c r="K318" s="24" t="n"/>
      <c r="L318" s="25">
        <f>IF(ISNUMBER(J318),J318-IF(ISNUMBER(K318),K318,30),"")</f>
        <v/>
      </c>
      <c r="M318" s="26">
        <f>IF(J318="","",IF(ISNUMBER(J318),J318-TODAY(),"Check date"))</f>
        <v/>
      </c>
      <c r="N318" s="27">
        <f>IF(M318="","",IF(ISNUMBER(M318),IF(M318&lt;0,"Expired",IF(M318&lt;=30,"Due ≤30 days",IF(M318&lt;=90,"Due ≤90 days","OK"))),"Check date"))</f>
        <v/>
      </c>
      <c r="O318" s="21" t="n"/>
      <c r="P318" s="21" t="n"/>
      <c r="Q318" s="21" t="n"/>
      <c r="R318" s="21" t="n"/>
      <c r="S318" s="21" t="n"/>
    </row>
    <row r="319">
      <c r="A319" s="21" t="n"/>
      <c r="B319" s="21" t="n"/>
      <c r="C319" s="21" t="n"/>
      <c r="D319" s="21" t="n"/>
      <c r="E319" s="21" t="n"/>
      <c r="F319" s="22" t="n"/>
      <c r="G319" s="22" t="n"/>
      <c r="H319" s="21" t="n"/>
      <c r="I319" s="23" t="n"/>
      <c r="J319" s="23" t="n"/>
      <c r="K319" s="24" t="n"/>
      <c r="L319" s="25">
        <f>IF(ISNUMBER(J319),J319-IF(ISNUMBER(K319),K319,30),"")</f>
        <v/>
      </c>
      <c r="M319" s="26">
        <f>IF(J319="","",IF(ISNUMBER(J319),J319-TODAY(),"Check date"))</f>
        <v/>
      </c>
      <c r="N319" s="27">
        <f>IF(M319="","",IF(ISNUMBER(M319),IF(M319&lt;0,"Expired",IF(M319&lt;=30,"Due ≤30 days",IF(M319&lt;=90,"Due ≤90 days","OK"))),"Check date"))</f>
        <v/>
      </c>
      <c r="O319" s="21" t="n"/>
      <c r="P319" s="21" t="n"/>
      <c r="Q319" s="21" t="n"/>
      <c r="R319" s="21" t="n"/>
      <c r="S319" s="21" t="n"/>
    </row>
    <row r="320">
      <c r="A320" s="21" t="n"/>
      <c r="B320" s="21" t="n"/>
      <c r="C320" s="21" t="n"/>
      <c r="D320" s="21" t="n"/>
      <c r="E320" s="21" t="n"/>
      <c r="F320" s="22" t="n"/>
      <c r="G320" s="22" t="n"/>
      <c r="H320" s="21" t="n"/>
      <c r="I320" s="23" t="n"/>
      <c r="J320" s="23" t="n"/>
      <c r="K320" s="24" t="n"/>
      <c r="L320" s="25">
        <f>IF(ISNUMBER(J320),J320-IF(ISNUMBER(K320),K320,30),"")</f>
        <v/>
      </c>
      <c r="M320" s="26">
        <f>IF(J320="","",IF(ISNUMBER(J320),J320-TODAY(),"Check date"))</f>
        <v/>
      </c>
      <c r="N320" s="27">
        <f>IF(M320="","",IF(ISNUMBER(M320),IF(M320&lt;0,"Expired",IF(M320&lt;=30,"Due ≤30 days",IF(M320&lt;=90,"Due ≤90 days","OK"))),"Check date"))</f>
        <v/>
      </c>
      <c r="O320" s="21" t="n"/>
      <c r="P320" s="21" t="n"/>
      <c r="Q320" s="21" t="n"/>
      <c r="R320" s="21" t="n"/>
      <c r="S320" s="21" t="n"/>
    </row>
    <row r="321">
      <c r="A321" s="21" t="n"/>
      <c r="B321" s="21" t="n"/>
      <c r="C321" s="21" t="n"/>
      <c r="D321" s="21" t="n"/>
      <c r="E321" s="21" t="n"/>
      <c r="F321" s="22" t="n"/>
      <c r="G321" s="22" t="n"/>
      <c r="H321" s="21" t="n"/>
      <c r="I321" s="23" t="n"/>
      <c r="J321" s="23" t="n"/>
      <c r="K321" s="24" t="n"/>
      <c r="L321" s="25">
        <f>IF(ISNUMBER(J321),J321-IF(ISNUMBER(K321),K321,30),"")</f>
        <v/>
      </c>
      <c r="M321" s="26">
        <f>IF(J321="","",IF(ISNUMBER(J321),J321-TODAY(),"Check date"))</f>
        <v/>
      </c>
      <c r="N321" s="27">
        <f>IF(M321="","",IF(ISNUMBER(M321),IF(M321&lt;0,"Expired",IF(M321&lt;=30,"Due ≤30 days",IF(M321&lt;=90,"Due ≤90 days","OK"))),"Check date"))</f>
        <v/>
      </c>
      <c r="O321" s="21" t="n"/>
      <c r="P321" s="21" t="n"/>
      <c r="Q321" s="21" t="n"/>
      <c r="R321" s="21" t="n"/>
      <c r="S321" s="21" t="n"/>
    </row>
    <row r="322">
      <c r="A322" s="21" t="n"/>
      <c r="B322" s="21" t="n"/>
      <c r="C322" s="21" t="n"/>
      <c r="D322" s="21" t="n"/>
      <c r="E322" s="21" t="n"/>
      <c r="F322" s="22" t="n"/>
      <c r="G322" s="22" t="n"/>
      <c r="H322" s="21" t="n"/>
      <c r="I322" s="23" t="n"/>
      <c r="J322" s="23" t="n"/>
      <c r="K322" s="24" t="n"/>
      <c r="L322" s="25">
        <f>IF(ISNUMBER(J322),J322-IF(ISNUMBER(K322),K322,30),"")</f>
        <v/>
      </c>
      <c r="M322" s="26">
        <f>IF(J322="","",IF(ISNUMBER(J322),J322-TODAY(),"Check date"))</f>
        <v/>
      </c>
      <c r="N322" s="27">
        <f>IF(M322="","",IF(ISNUMBER(M322),IF(M322&lt;0,"Expired",IF(M322&lt;=30,"Due ≤30 days",IF(M322&lt;=90,"Due ≤90 days","OK"))),"Check date"))</f>
        <v/>
      </c>
      <c r="O322" s="21" t="n"/>
      <c r="P322" s="21" t="n"/>
      <c r="Q322" s="21" t="n"/>
      <c r="R322" s="21" t="n"/>
      <c r="S322" s="21" t="n"/>
    </row>
    <row r="323">
      <c r="A323" s="21" t="n"/>
      <c r="B323" s="21" t="n"/>
      <c r="C323" s="21" t="n"/>
      <c r="D323" s="21" t="n"/>
      <c r="E323" s="21" t="n"/>
      <c r="F323" s="22" t="n"/>
      <c r="G323" s="22" t="n"/>
      <c r="H323" s="21" t="n"/>
      <c r="I323" s="23" t="n"/>
      <c r="J323" s="23" t="n"/>
      <c r="K323" s="24" t="n"/>
      <c r="L323" s="25">
        <f>IF(ISNUMBER(J323),J323-IF(ISNUMBER(K323),K323,30),"")</f>
        <v/>
      </c>
      <c r="M323" s="26">
        <f>IF(J323="","",IF(ISNUMBER(J323),J323-TODAY(),"Check date"))</f>
        <v/>
      </c>
      <c r="N323" s="27">
        <f>IF(M323="","",IF(ISNUMBER(M323),IF(M323&lt;0,"Expired",IF(M323&lt;=30,"Due ≤30 days",IF(M323&lt;=90,"Due ≤90 days","OK"))),"Check date"))</f>
        <v/>
      </c>
      <c r="O323" s="21" t="n"/>
      <c r="P323" s="21" t="n"/>
      <c r="Q323" s="21" t="n"/>
      <c r="R323" s="21" t="n"/>
      <c r="S323" s="21" t="n"/>
    </row>
    <row r="324">
      <c r="A324" s="21" t="n"/>
      <c r="B324" s="21" t="n"/>
      <c r="C324" s="21" t="n"/>
      <c r="D324" s="21" t="n"/>
      <c r="E324" s="21" t="n"/>
      <c r="F324" s="22" t="n"/>
      <c r="G324" s="22" t="n"/>
      <c r="H324" s="21" t="n"/>
      <c r="I324" s="23" t="n"/>
      <c r="J324" s="23" t="n"/>
      <c r="K324" s="24" t="n"/>
      <c r="L324" s="25">
        <f>IF(ISNUMBER(J324),J324-IF(ISNUMBER(K324),K324,30),"")</f>
        <v/>
      </c>
      <c r="M324" s="26">
        <f>IF(J324="","",IF(ISNUMBER(J324),J324-TODAY(),"Check date"))</f>
        <v/>
      </c>
      <c r="N324" s="27">
        <f>IF(M324="","",IF(ISNUMBER(M324),IF(M324&lt;0,"Expired",IF(M324&lt;=30,"Due ≤30 days",IF(M324&lt;=90,"Due ≤90 days","OK"))),"Check date"))</f>
        <v/>
      </c>
      <c r="O324" s="21" t="n"/>
      <c r="P324" s="21" t="n"/>
      <c r="Q324" s="21" t="n"/>
      <c r="R324" s="21" t="n"/>
      <c r="S324" s="21" t="n"/>
    </row>
    <row r="325">
      <c r="A325" s="21" t="n"/>
      <c r="B325" s="21" t="n"/>
      <c r="C325" s="21" t="n"/>
      <c r="D325" s="21" t="n"/>
      <c r="E325" s="21" t="n"/>
      <c r="F325" s="22" t="n"/>
      <c r="G325" s="22" t="n"/>
      <c r="H325" s="21" t="n"/>
      <c r="I325" s="23" t="n"/>
      <c r="J325" s="23" t="n"/>
      <c r="K325" s="24" t="n"/>
      <c r="L325" s="25">
        <f>IF(ISNUMBER(J325),J325-IF(ISNUMBER(K325),K325,30),"")</f>
        <v/>
      </c>
      <c r="M325" s="26">
        <f>IF(J325="","",IF(ISNUMBER(J325),J325-TODAY(),"Check date"))</f>
        <v/>
      </c>
      <c r="N325" s="27">
        <f>IF(M325="","",IF(ISNUMBER(M325),IF(M325&lt;0,"Expired",IF(M325&lt;=30,"Due ≤30 days",IF(M325&lt;=90,"Due ≤90 days","OK"))),"Check date"))</f>
        <v/>
      </c>
      <c r="O325" s="21" t="n"/>
      <c r="P325" s="21" t="n"/>
      <c r="Q325" s="21" t="n"/>
      <c r="R325" s="21" t="n"/>
      <c r="S325" s="21" t="n"/>
    </row>
    <row r="326">
      <c r="A326" s="21" t="n"/>
      <c r="B326" s="21" t="n"/>
      <c r="C326" s="21" t="n"/>
      <c r="D326" s="21" t="n"/>
      <c r="E326" s="21" t="n"/>
      <c r="F326" s="22" t="n"/>
      <c r="G326" s="22" t="n"/>
      <c r="H326" s="21" t="n"/>
      <c r="I326" s="23" t="n"/>
      <c r="J326" s="23" t="n"/>
      <c r="K326" s="24" t="n"/>
      <c r="L326" s="25">
        <f>IF(ISNUMBER(J326),J326-IF(ISNUMBER(K326),K326,30),"")</f>
        <v/>
      </c>
      <c r="M326" s="26">
        <f>IF(J326="","",IF(ISNUMBER(J326),J326-TODAY(),"Check date"))</f>
        <v/>
      </c>
      <c r="N326" s="27">
        <f>IF(M326="","",IF(ISNUMBER(M326),IF(M326&lt;0,"Expired",IF(M326&lt;=30,"Due ≤30 days",IF(M326&lt;=90,"Due ≤90 days","OK"))),"Check date"))</f>
        <v/>
      </c>
      <c r="O326" s="21" t="n"/>
      <c r="P326" s="21" t="n"/>
      <c r="Q326" s="21" t="n"/>
      <c r="R326" s="21" t="n"/>
      <c r="S326" s="21" t="n"/>
    </row>
    <row r="327">
      <c r="A327" s="21" t="n"/>
      <c r="B327" s="21" t="n"/>
      <c r="C327" s="21" t="n"/>
      <c r="D327" s="21" t="n"/>
      <c r="E327" s="21" t="n"/>
      <c r="F327" s="22" t="n"/>
      <c r="G327" s="22" t="n"/>
      <c r="H327" s="21" t="n"/>
      <c r="I327" s="23" t="n"/>
      <c r="J327" s="23" t="n"/>
      <c r="K327" s="24" t="n"/>
      <c r="L327" s="25">
        <f>IF(ISNUMBER(J327),J327-IF(ISNUMBER(K327),K327,30),"")</f>
        <v/>
      </c>
      <c r="M327" s="26">
        <f>IF(J327="","",IF(ISNUMBER(J327),J327-TODAY(),"Check date"))</f>
        <v/>
      </c>
      <c r="N327" s="27">
        <f>IF(M327="","",IF(ISNUMBER(M327),IF(M327&lt;0,"Expired",IF(M327&lt;=30,"Due ≤30 days",IF(M327&lt;=90,"Due ≤90 days","OK"))),"Check date"))</f>
        <v/>
      </c>
      <c r="O327" s="21" t="n"/>
      <c r="P327" s="21" t="n"/>
      <c r="Q327" s="21" t="n"/>
      <c r="R327" s="21" t="n"/>
      <c r="S327" s="21" t="n"/>
    </row>
    <row r="328">
      <c r="A328" s="21" t="n"/>
      <c r="B328" s="21" t="n"/>
      <c r="C328" s="21" t="n"/>
      <c r="D328" s="21" t="n"/>
      <c r="E328" s="21" t="n"/>
      <c r="F328" s="22" t="n"/>
      <c r="G328" s="22" t="n"/>
      <c r="H328" s="21" t="n"/>
      <c r="I328" s="23" t="n"/>
      <c r="J328" s="23" t="n"/>
      <c r="K328" s="24" t="n"/>
      <c r="L328" s="25">
        <f>IF(ISNUMBER(J328),J328-IF(ISNUMBER(K328),K328,30),"")</f>
        <v/>
      </c>
      <c r="M328" s="26">
        <f>IF(J328="","",IF(ISNUMBER(J328),J328-TODAY(),"Check date"))</f>
        <v/>
      </c>
      <c r="N328" s="27">
        <f>IF(M328="","",IF(ISNUMBER(M328),IF(M328&lt;0,"Expired",IF(M328&lt;=30,"Due ≤30 days",IF(M328&lt;=90,"Due ≤90 days","OK"))),"Check date"))</f>
        <v/>
      </c>
      <c r="O328" s="21" t="n"/>
      <c r="P328" s="21" t="n"/>
      <c r="Q328" s="21" t="n"/>
      <c r="R328" s="21" t="n"/>
      <c r="S328" s="21" t="n"/>
    </row>
    <row r="329">
      <c r="A329" s="21" t="n"/>
      <c r="B329" s="21" t="n"/>
      <c r="C329" s="21" t="n"/>
      <c r="D329" s="21" t="n"/>
      <c r="E329" s="21" t="n"/>
      <c r="F329" s="22" t="n"/>
      <c r="G329" s="22" t="n"/>
      <c r="H329" s="21" t="n"/>
      <c r="I329" s="23" t="n"/>
      <c r="J329" s="23" t="n"/>
      <c r="K329" s="24" t="n"/>
      <c r="L329" s="25">
        <f>IF(ISNUMBER(J329),J329-IF(ISNUMBER(K329),K329,30),"")</f>
        <v/>
      </c>
      <c r="M329" s="26">
        <f>IF(J329="","",IF(ISNUMBER(J329),J329-TODAY(),"Check date"))</f>
        <v/>
      </c>
      <c r="N329" s="27">
        <f>IF(M329="","",IF(ISNUMBER(M329),IF(M329&lt;0,"Expired",IF(M329&lt;=30,"Due ≤30 days",IF(M329&lt;=90,"Due ≤90 days","OK"))),"Check date"))</f>
        <v/>
      </c>
      <c r="O329" s="21" t="n"/>
      <c r="P329" s="21" t="n"/>
      <c r="Q329" s="21" t="n"/>
      <c r="R329" s="21" t="n"/>
      <c r="S329" s="21" t="n"/>
    </row>
    <row r="330">
      <c r="A330" s="21" t="n"/>
      <c r="B330" s="21" t="n"/>
      <c r="C330" s="21" t="n"/>
      <c r="D330" s="21" t="n"/>
      <c r="E330" s="21" t="n"/>
      <c r="F330" s="22" t="n"/>
      <c r="G330" s="22" t="n"/>
      <c r="H330" s="21" t="n"/>
      <c r="I330" s="23" t="n"/>
      <c r="J330" s="23" t="n"/>
      <c r="K330" s="24" t="n"/>
      <c r="L330" s="25">
        <f>IF(ISNUMBER(J330),J330-IF(ISNUMBER(K330),K330,30),"")</f>
        <v/>
      </c>
      <c r="M330" s="26">
        <f>IF(J330="","",IF(ISNUMBER(J330),J330-TODAY(),"Check date"))</f>
        <v/>
      </c>
      <c r="N330" s="27">
        <f>IF(M330="","",IF(ISNUMBER(M330),IF(M330&lt;0,"Expired",IF(M330&lt;=30,"Due ≤30 days",IF(M330&lt;=90,"Due ≤90 days","OK"))),"Check date"))</f>
        <v/>
      </c>
      <c r="O330" s="21" t="n"/>
      <c r="P330" s="21" t="n"/>
      <c r="Q330" s="21" t="n"/>
      <c r="R330" s="21" t="n"/>
      <c r="S330" s="21" t="n"/>
    </row>
    <row r="331">
      <c r="A331" s="21" t="n"/>
      <c r="B331" s="21" t="n"/>
      <c r="C331" s="21" t="n"/>
      <c r="D331" s="21" t="n"/>
      <c r="E331" s="21" t="n"/>
      <c r="F331" s="22" t="n"/>
      <c r="G331" s="22" t="n"/>
      <c r="H331" s="21" t="n"/>
      <c r="I331" s="23" t="n"/>
      <c r="J331" s="23" t="n"/>
      <c r="K331" s="24" t="n"/>
      <c r="L331" s="25">
        <f>IF(ISNUMBER(J331),J331-IF(ISNUMBER(K331),K331,30),"")</f>
        <v/>
      </c>
      <c r="M331" s="26">
        <f>IF(J331="","",IF(ISNUMBER(J331),J331-TODAY(),"Check date"))</f>
        <v/>
      </c>
      <c r="N331" s="27">
        <f>IF(M331="","",IF(ISNUMBER(M331),IF(M331&lt;0,"Expired",IF(M331&lt;=30,"Due ≤30 days",IF(M331&lt;=90,"Due ≤90 days","OK"))),"Check date"))</f>
        <v/>
      </c>
      <c r="O331" s="21" t="n"/>
      <c r="P331" s="21" t="n"/>
      <c r="Q331" s="21" t="n"/>
      <c r="R331" s="21" t="n"/>
      <c r="S331" s="21" t="n"/>
    </row>
    <row r="332">
      <c r="A332" s="21" t="n"/>
      <c r="B332" s="21" t="n"/>
      <c r="C332" s="21" t="n"/>
      <c r="D332" s="21" t="n"/>
      <c r="E332" s="21" t="n"/>
      <c r="F332" s="22" t="n"/>
      <c r="G332" s="22" t="n"/>
      <c r="H332" s="21" t="n"/>
      <c r="I332" s="23" t="n"/>
      <c r="J332" s="23" t="n"/>
      <c r="K332" s="24" t="n"/>
      <c r="L332" s="25">
        <f>IF(ISNUMBER(J332),J332-IF(ISNUMBER(K332),K332,30),"")</f>
        <v/>
      </c>
      <c r="M332" s="26">
        <f>IF(J332="","",IF(ISNUMBER(J332),J332-TODAY(),"Check date"))</f>
        <v/>
      </c>
      <c r="N332" s="27">
        <f>IF(M332="","",IF(ISNUMBER(M332),IF(M332&lt;0,"Expired",IF(M332&lt;=30,"Due ≤30 days",IF(M332&lt;=90,"Due ≤90 days","OK"))),"Check date"))</f>
        <v/>
      </c>
      <c r="O332" s="21" t="n"/>
      <c r="P332" s="21" t="n"/>
      <c r="Q332" s="21" t="n"/>
      <c r="R332" s="21" t="n"/>
      <c r="S332" s="21" t="n"/>
    </row>
    <row r="333">
      <c r="A333" s="21" t="n"/>
      <c r="B333" s="21" t="n"/>
      <c r="C333" s="21" t="n"/>
      <c r="D333" s="21" t="n"/>
      <c r="E333" s="21" t="n"/>
      <c r="F333" s="22" t="n"/>
      <c r="G333" s="22" t="n"/>
      <c r="H333" s="21" t="n"/>
      <c r="I333" s="23" t="n"/>
      <c r="J333" s="23" t="n"/>
      <c r="K333" s="24" t="n"/>
      <c r="L333" s="25">
        <f>IF(ISNUMBER(J333),J333-IF(ISNUMBER(K333),K333,30),"")</f>
        <v/>
      </c>
      <c r="M333" s="26">
        <f>IF(J333="","",IF(ISNUMBER(J333),J333-TODAY(),"Check date"))</f>
        <v/>
      </c>
      <c r="N333" s="27">
        <f>IF(M333="","",IF(ISNUMBER(M333),IF(M333&lt;0,"Expired",IF(M333&lt;=30,"Due ≤30 days",IF(M333&lt;=90,"Due ≤90 days","OK"))),"Check date"))</f>
        <v/>
      </c>
      <c r="O333" s="21" t="n"/>
      <c r="P333" s="21" t="n"/>
      <c r="Q333" s="21" t="n"/>
      <c r="R333" s="21" t="n"/>
      <c r="S333" s="21" t="n"/>
    </row>
    <row r="334">
      <c r="A334" s="21" t="n"/>
      <c r="B334" s="21" t="n"/>
      <c r="C334" s="21" t="n"/>
      <c r="D334" s="21" t="n"/>
      <c r="E334" s="21" t="n"/>
      <c r="F334" s="22" t="n"/>
      <c r="G334" s="22" t="n"/>
      <c r="H334" s="21" t="n"/>
      <c r="I334" s="23" t="n"/>
      <c r="J334" s="23" t="n"/>
      <c r="K334" s="24" t="n"/>
      <c r="L334" s="25">
        <f>IF(ISNUMBER(J334),J334-IF(ISNUMBER(K334),K334,30),"")</f>
        <v/>
      </c>
      <c r="M334" s="26">
        <f>IF(J334="","",IF(ISNUMBER(J334),J334-TODAY(),"Check date"))</f>
        <v/>
      </c>
      <c r="N334" s="27">
        <f>IF(M334="","",IF(ISNUMBER(M334),IF(M334&lt;0,"Expired",IF(M334&lt;=30,"Due ≤30 days",IF(M334&lt;=90,"Due ≤90 days","OK"))),"Check date"))</f>
        <v/>
      </c>
      <c r="O334" s="21" t="n"/>
      <c r="P334" s="21" t="n"/>
      <c r="Q334" s="21" t="n"/>
      <c r="R334" s="21" t="n"/>
      <c r="S334" s="21" t="n"/>
    </row>
    <row r="335">
      <c r="A335" s="21" t="n"/>
      <c r="B335" s="21" t="n"/>
      <c r="C335" s="21" t="n"/>
      <c r="D335" s="21" t="n"/>
      <c r="E335" s="21" t="n"/>
      <c r="F335" s="22" t="n"/>
      <c r="G335" s="22" t="n"/>
      <c r="H335" s="21" t="n"/>
      <c r="I335" s="23" t="n"/>
      <c r="J335" s="23" t="n"/>
      <c r="K335" s="24" t="n"/>
      <c r="L335" s="25">
        <f>IF(ISNUMBER(J335),J335-IF(ISNUMBER(K335),K335,30),"")</f>
        <v/>
      </c>
      <c r="M335" s="26">
        <f>IF(J335="","",IF(ISNUMBER(J335),J335-TODAY(),"Check date"))</f>
        <v/>
      </c>
      <c r="N335" s="27">
        <f>IF(M335="","",IF(ISNUMBER(M335),IF(M335&lt;0,"Expired",IF(M335&lt;=30,"Due ≤30 days",IF(M335&lt;=90,"Due ≤90 days","OK"))),"Check date"))</f>
        <v/>
      </c>
      <c r="O335" s="21" t="n"/>
      <c r="P335" s="21" t="n"/>
      <c r="Q335" s="21" t="n"/>
      <c r="R335" s="21" t="n"/>
      <c r="S335" s="21" t="n"/>
    </row>
    <row r="336">
      <c r="A336" s="21" t="n"/>
      <c r="B336" s="21" t="n"/>
      <c r="C336" s="21" t="n"/>
      <c r="D336" s="21" t="n"/>
      <c r="E336" s="21" t="n"/>
      <c r="F336" s="22" t="n"/>
      <c r="G336" s="22" t="n"/>
      <c r="H336" s="21" t="n"/>
      <c r="I336" s="23" t="n"/>
      <c r="J336" s="23" t="n"/>
      <c r="K336" s="24" t="n"/>
      <c r="L336" s="25">
        <f>IF(ISNUMBER(J336),J336-IF(ISNUMBER(K336),K336,30),"")</f>
        <v/>
      </c>
      <c r="M336" s="26">
        <f>IF(J336="","",IF(ISNUMBER(J336),J336-TODAY(),"Check date"))</f>
        <v/>
      </c>
      <c r="N336" s="27">
        <f>IF(M336="","",IF(ISNUMBER(M336),IF(M336&lt;0,"Expired",IF(M336&lt;=30,"Due ≤30 days",IF(M336&lt;=90,"Due ≤90 days","OK"))),"Check date"))</f>
        <v/>
      </c>
      <c r="O336" s="21" t="n"/>
      <c r="P336" s="21" t="n"/>
      <c r="Q336" s="21" t="n"/>
      <c r="R336" s="21" t="n"/>
      <c r="S336" s="21" t="n"/>
    </row>
    <row r="337">
      <c r="A337" s="21" t="n"/>
      <c r="B337" s="21" t="n"/>
      <c r="C337" s="21" t="n"/>
      <c r="D337" s="21" t="n"/>
      <c r="E337" s="21" t="n"/>
      <c r="F337" s="22" t="n"/>
      <c r="G337" s="22" t="n"/>
      <c r="H337" s="21" t="n"/>
      <c r="I337" s="23" t="n"/>
      <c r="J337" s="23" t="n"/>
      <c r="K337" s="24" t="n"/>
      <c r="L337" s="25">
        <f>IF(ISNUMBER(J337),J337-IF(ISNUMBER(K337),K337,30),"")</f>
        <v/>
      </c>
      <c r="M337" s="26">
        <f>IF(J337="","",IF(ISNUMBER(J337),J337-TODAY(),"Check date"))</f>
        <v/>
      </c>
      <c r="N337" s="27">
        <f>IF(M337="","",IF(ISNUMBER(M337),IF(M337&lt;0,"Expired",IF(M337&lt;=30,"Due ≤30 days",IF(M337&lt;=90,"Due ≤90 days","OK"))),"Check date"))</f>
        <v/>
      </c>
      <c r="O337" s="21" t="n"/>
      <c r="P337" s="21" t="n"/>
      <c r="Q337" s="21" t="n"/>
      <c r="R337" s="21" t="n"/>
      <c r="S337" s="21" t="n"/>
    </row>
    <row r="338">
      <c r="A338" s="21" t="n"/>
      <c r="B338" s="21" t="n"/>
      <c r="C338" s="21" t="n"/>
      <c r="D338" s="21" t="n"/>
      <c r="E338" s="21" t="n"/>
      <c r="F338" s="22" t="n"/>
      <c r="G338" s="22" t="n"/>
      <c r="H338" s="21" t="n"/>
      <c r="I338" s="23" t="n"/>
      <c r="J338" s="23" t="n"/>
      <c r="K338" s="24" t="n"/>
      <c r="L338" s="25">
        <f>IF(ISNUMBER(J338),J338-IF(ISNUMBER(K338),K338,30),"")</f>
        <v/>
      </c>
      <c r="M338" s="26">
        <f>IF(J338="","",IF(ISNUMBER(J338),J338-TODAY(),"Check date"))</f>
        <v/>
      </c>
      <c r="N338" s="27">
        <f>IF(M338="","",IF(ISNUMBER(M338),IF(M338&lt;0,"Expired",IF(M338&lt;=30,"Due ≤30 days",IF(M338&lt;=90,"Due ≤90 days","OK"))),"Check date"))</f>
        <v/>
      </c>
      <c r="O338" s="21" t="n"/>
      <c r="P338" s="21" t="n"/>
      <c r="Q338" s="21" t="n"/>
      <c r="R338" s="21" t="n"/>
      <c r="S338" s="21" t="n"/>
    </row>
    <row r="339">
      <c r="A339" s="21" t="n"/>
      <c r="B339" s="21" t="n"/>
      <c r="C339" s="21" t="n"/>
      <c r="D339" s="21" t="n"/>
      <c r="E339" s="21" t="n"/>
      <c r="F339" s="22" t="n"/>
      <c r="G339" s="22" t="n"/>
      <c r="H339" s="21" t="n"/>
      <c r="I339" s="23" t="n"/>
      <c r="J339" s="23" t="n"/>
      <c r="K339" s="24" t="n"/>
      <c r="L339" s="25">
        <f>IF(ISNUMBER(J339),J339-IF(ISNUMBER(K339),K339,30),"")</f>
        <v/>
      </c>
      <c r="M339" s="26">
        <f>IF(J339="","",IF(ISNUMBER(J339),J339-TODAY(),"Check date"))</f>
        <v/>
      </c>
      <c r="N339" s="27">
        <f>IF(M339="","",IF(ISNUMBER(M339),IF(M339&lt;0,"Expired",IF(M339&lt;=30,"Due ≤30 days",IF(M339&lt;=90,"Due ≤90 days","OK"))),"Check date"))</f>
        <v/>
      </c>
      <c r="O339" s="21" t="n"/>
      <c r="P339" s="21" t="n"/>
      <c r="Q339" s="21" t="n"/>
      <c r="R339" s="21" t="n"/>
      <c r="S339" s="21" t="n"/>
    </row>
    <row r="340">
      <c r="A340" s="21" t="n"/>
      <c r="B340" s="21" t="n"/>
      <c r="C340" s="21" t="n"/>
      <c r="D340" s="21" t="n"/>
      <c r="E340" s="21" t="n"/>
      <c r="F340" s="22" t="n"/>
      <c r="G340" s="22" t="n"/>
      <c r="H340" s="21" t="n"/>
      <c r="I340" s="23" t="n"/>
      <c r="J340" s="23" t="n"/>
      <c r="K340" s="24" t="n"/>
      <c r="L340" s="25">
        <f>IF(ISNUMBER(J340),J340-IF(ISNUMBER(K340),K340,30),"")</f>
        <v/>
      </c>
      <c r="M340" s="26">
        <f>IF(J340="","",IF(ISNUMBER(J340),J340-TODAY(),"Check date"))</f>
        <v/>
      </c>
      <c r="N340" s="27">
        <f>IF(M340="","",IF(ISNUMBER(M340),IF(M340&lt;0,"Expired",IF(M340&lt;=30,"Due ≤30 days",IF(M340&lt;=90,"Due ≤90 days","OK"))),"Check date"))</f>
        <v/>
      </c>
      <c r="O340" s="21" t="n"/>
      <c r="P340" s="21" t="n"/>
      <c r="Q340" s="21" t="n"/>
      <c r="R340" s="21" t="n"/>
      <c r="S340" s="21" t="n"/>
    </row>
    <row r="341">
      <c r="A341" s="21" t="n"/>
      <c r="B341" s="21" t="n"/>
      <c r="C341" s="21" t="n"/>
      <c r="D341" s="21" t="n"/>
      <c r="E341" s="21" t="n"/>
      <c r="F341" s="22" t="n"/>
      <c r="G341" s="22" t="n"/>
      <c r="H341" s="21" t="n"/>
      <c r="I341" s="23" t="n"/>
      <c r="J341" s="23" t="n"/>
      <c r="K341" s="24" t="n"/>
      <c r="L341" s="25">
        <f>IF(ISNUMBER(J341),J341-IF(ISNUMBER(K341),K341,30),"")</f>
        <v/>
      </c>
      <c r="M341" s="26">
        <f>IF(J341="","",IF(ISNUMBER(J341),J341-TODAY(),"Check date"))</f>
        <v/>
      </c>
      <c r="N341" s="27">
        <f>IF(M341="","",IF(ISNUMBER(M341),IF(M341&lt;0,"Expired",IF(M341&lt;=30,"Due ≤30 days",IF(M341&lt;=90,"Due ≤90 days","OK"))),"Check date"))</f>
        <v/>
      </c>
      <c r="O341" s="21" t="n"/>
      <c r="P341" s="21" t="n"/>
      <c r="Q341" s="21" t="n"/>
      <c r="R341" s="21" t="n"/>
      <c r="S341" s="21" t="n"/>
    </row>
    <row r="342">
      <c r="A342" s="21" t="n"/>
      <c r="B342" s="21" t="n"/>
      <c r="C342" s="21" t="n"/>
      <c r="D342" s="21" t="n"/>
      <c r="E342" s="21" t="n"/>
      <c r="F342" s="22" t="n"/>
      <c r="G342" s="22" t="n"/>
      <c r="H342" s="21" t="n"/>
      <c r="I342" s="23" t="n"/>
      <c r="J342" s="23" t="n"/>
      <c r="K342" s="24" t="n"/>
      <c r="L342" s="25">
        <f>IF(ISNUMBER(J342),J342-IF(ISNUMBER(K342),K342,30),"")</f>
        <v/>
      </c>
      <c r="M342" s="26">
        <f>IF(J342="","",IF(ISNUMBER(J342),J342-TODAY(),"Check date"))</f>
        <v/>
      </c>
      <c r="N342" s="27">
        <f>IF(M342="","",IF(ISNUMBER(M342),IF(M342&lt;0,"Expired",IF(M342&lt;=30,"Due ≤30 days",IF(M342&lt;=90,"Due ≤90 days","OK"))),"Check date"))</f>
        <v/>
      </c>
      <c r="O342" s="21" t="n"/>
      <c r="P342" s="21" t="n"/>
      <c r="Q342" s="21" t="n"/>
      <c r="R342" s="21" t="n"/>
      <c r="S342" s="21" t="n"/>
    </row>
    <row r="343">
      <c r="A343" s="21" t="n"/>
      <c r="B343" s="21" t="n"/>
      <c r="C343" s="21" t="n"/>
      <c r="D343" s="21" t="n"/>
      <c r="E343" s="21" t="n"/>
      <c r="F343" s="22" t="n"/>
      <c r="G343" s="22" t="n"/>
      <c r="H343" s="21" t="n"/>
      <c r="I343" s="23" t="n"/>
      <c r="J343" s="23" t="n"/>
      <c r="K343" s="24" t="n"/>
      <c r="L343" s="25">
        <f>IF(ISNUMBER(J343),J343-IF(ISNUMBER(K343),K343,30),"")</f>
        <v/>
      </c>
      <c r="M343" s="26">
        <f>IF(J343="","",IF(ISNUMBER(J343),J343-TODAY(),"Check date"))</f>
        <v/>
      </c>
      <c r="N343" s="27">
        <f>IF(M343="","",IF(ISNUMBER(M343),IF(M343&lt;0,"Expired",IF(M343&lt;=30,"Due ≤30 days",IF(M343&lt;=90,"Due ≤90 days","OK"))),"Check date"))</f>
        <v/>
      </c>
      <c r="O343" s="21" t="n"/>
      <c r="P343" s="21" t="n"/>
      <c r="Q343" s="21" t="n"/>
      <c r="R343" s="21" t="n"/>
      <c r="S343" s="21" t="n"/>
    </row>
    <row r="344">
      <c r="A344" s="21" t="n"/>
      <c r="B344" s="21" t="n"/>
      <c r="C344" s="21" t="n"/>
      <c r="D344" s="21" t="n"/>
      <c r="E344" s="21" t="n"/>
      <c r="F344" s="22" t="n"/>
      <c r="G344" s="22" t="n"/>
      <c r="H344" s="21" t="n"/>
      <c r="I344" s="23" t="n"/>
      <c r="J344" s="23" t="n"/>
      <c r="K344" s="24" t="n"/>
      <c r="L344" s="25">
        <f>IF(ISNUMBER(J344),J344-IF(ISNUMBER(K344),K344,30),"")</f>
        <v/>
      </c>
      <c r="M344" s="26">
        <f>IF(J344="","",IF(ISNUMBER(J344),J344-TODAY(),"Check date"))</f>
        <v/>
      </c>
      <c r="N344" s="27">
        <f>IF(M344="","",IF(ISNUMBER(M344),IF(M344&lt;0,"Expired",IF(M344&lt;=30,"Due ≤30 days",IF(M344&lt;=90,"Due ≤90 days","OK"))),"Check date"))</f>
        <v/>
      </c>
      <c r="O344" s="21" t="n"/>
      <c r="P344" s="21" t="n"/>
      <c r="Q344" s="21" t="n"/>
      <c r="R344" s="21" t="n"/>
      <c r="S344" s="21" t="n"/>
    </row>
    <row r="345">
      <c r="A345" s="21" t="n"/>
      <c r="B345" s="21" t="n"/>
      <c r="C345" s="21" t="n"/>
      <c r="D345" s="21" t="n"/>
      <c r="E345" s="21" t="n"/>
      <c r="F345" s="22" t="n"/>
      <c r="G345" s="22" t="n"/>
      <c r="H345" s="21" t="n"/>
      <c r="I345" s="23" t="n"/>
      <c r="J345" s="23" t="n"/>
      <c r="K345" s="24" t="n"/>
      <c r="L345" s="25">
        <f>IF(ISNUMBER(J345),J345-IF(ISNUMBER(K345),K345,30),"")</f>
        <v/>
      </c>
      <c r="M345" s="26">
        <f>IF(J345="","",IF(ISNUMBER(J345),J345-TODAY(),"Check date"))</f>
        <v/>
      </c>
      <c r="N345" s="27">
        <f>IF(M345="","",IF(ISNUMBER(M345),IF(M345&lt;0,"Expired",IF(M345&lt;=30,"Due ≤30 days",IF(M345&lt;=90,"Due ≤90 days","OK"))),"Check date"))</f>
        <v/>
      </c>
      <c r="O345" s="21" t="n"/>
      <c r="P345" s="21" t="n"/>
      <c r="Q345" s="21" t="n"/>
      <c r="R345" s="21" t="n"/>
      <c r="S345" s="21" t="n"/>
    </row>
    <row r="346">
      <c r="A346" s="21" t="n"/>
      <c r="B346" s="21" t="n"/>
      <c r="C346" s="21" t="n"/>
      <c r="D346" s="21" t="n"/>
      <c r="E346" s="21" t="n"/>
      <c r="F346" s="22" t="n"/>
      <c r="G346" s="22" t="n"/>
      <c r="H346" s="21" t="n"/>
      <c r="I346" s="23" t="n"/>
      <c r="J346" s="23" t="n"/>
      <c r="K346" s="24" t="n"/>
      <c r="L346" s="25">
        <f>IF(ISNUMBER(J346),J346-IF(ISNUMBER(K346),K346,30),"")</f>
        <v/>
      </c>
      <c r="M346" s="26">
        <f>IF(J346="","",IF(ISNUMBER(J346),J346-TODAY(),"Check date"))</f>
        <v/>
      </c>
      <c r="N346" s="27">
        <f>IF(M346="","",IF(ISNUMBER(M346),IF(M346&lt;0,"Expired",IF(M346&lt;=30,"Due ≤30 days",IF(M346&lt;=90,"Due ≤90 days","OK"))),"Check date"))</f>
        <v/>
      </c>
      <c r="O346" s="21" t="n"/>
      <c r="P346" s="21" t="n"/>
      <c r="Q346" s="21" t="n"/>
      <c r="R346" s="21" t="n"/>
      <c r="S346" s="21" t="n"/>
    </row>
    <row r="347">
      <c r="A347" s="21" t="n"/>
      <c r="B347" s="21" t="n"/>
      <c r="C347" s="21" t="n"/>
      <c r="D347" s="21" t="n"/>
      <c r="E347" s="21" t="n"/>
      <c r="F347" s="22" t="n"/>
      <c r="G347" s="22" t="n"/>
      <c r="H347" s="21" t="n"/>
      <c r="I347" s="23" t="n"/>
      <c r="J347" s="23" t="n"/>
      <c r="K347" s="24" t="n"/>
      <c r="L347" s="25">
        <f>IF(ISNUMBER(J347),J347-IF(ISNUMBER(K347),K347,30),"")</f>
        <v/>
      </c>
      <c r="M347" s="26">
        <f>IF(J347="","",IF(ISNUMBER(J347),J347-TODAY(),"Check date"))</f>
        <v/>
      </c>
      <c r="N347" s="27">
        <f>IF(M347="","",IF(ISNUMBER(M347),IF(M347&lt;0,"Expired",IF(M347&lt;=30,"Due ≤30 days",IF(M347&lt;=90,"Due ≤90 days","OK"))),"Check date"))</f>
        <v/>
      </c>
      <c r="O347" s="21" t="n"/>
      <c r="P347" s="21" t="n"/>
      <c r="Q347" s="21" t="n"/>
      <c r="R347" s="21" t="n"/>
      <c r="S347" s="21" t="n"/>
    </row>
    <row r="348">
      <c r="A348" s="21" t="n"/>
      <c r="B348" s="21" t="n"/>
      <c r="C348" s="21" t="n"/>
      <c r="D348" s="21" t="n"/>
      <c r="E348" s="21" t="n"/>
      <c r="F348" s="22" t="n"/>
      <c r="G348" s="22" t="n"/>
      <c r="H348" s="21" t="n"/>
      <c r="I348" s="23" t="n"/>
      <c r="J348" s="23" t="n"/>
      <c r="K348" s="24" t="n"/>
      <c r="L348" s="25">
        <f>IF(ISNUMBER(J348),J348-IF(ISNUMBER(K348),K348,30),"")</f>
        <v/>
      </c>
      <c r="M348" s="26">
        <f>IF(J348="","",IF(ISNUMBER(J348),J348-TODAY(),"Check date"))</f>
        <v/>
      </c>
      <c r="N348" s="27">
        <f>IF(M348="","",IF(ISNUMBER(M348),IF(M348&lt;0,"Expired",IF(M348&lt;=30,"Due ≤30 days",IF(M348&lt;=90,"Due ≤90 days","OK"))),"Check date"))</f>
        <v/>
      </c>
      <c r="O348" s="21" t="n"/>
      <c r="P348" s="21" t="n"/>
      <c r="Q348" s="21" t="n"/>
      <c r="R348" s="21" t="n"/>
      <c r="S348" s="21" t="n"/>
    </row>
    <row r="349">
      <c r="A349" s="21" t="n"/>
      <c r="B349" s="21" t="n"/>
      <c r="C349" s="21" t="n"/>
      <c r="D349" s="21" t="n"/>
      <c r="E349" s="21" t="n"/>
      <c r="F349" s="22" t="n"/>
      <c r="G349" s="22" t="n"/>
      <c r="H349" s="21" t="n"/>
      <c r="I349" s="23" t="n"/>
      <c r="J349" s="23" t="n"/>
      <c r="K349" s="24" t="n"/>
      <c r="L349" s="25">
        <f>IF(ISNUMBER(J349),J349-IF(ISNUMBER(K349),K349,30),"")</f>
        <v/>
      </c>
      <c r="M349" s="26">
        <f>IF(J349="","",IF(ISNUMBER(J349),J349-TODAY(),"Check date"))</f>
        <v/>
      </c>
      <c r="N349" s="27">
        <f>IF(M349="","",IF(ISNUMBER(M349),IF(M349&lt;0,"Expired",IF(M349&lt;=30,"Due ≤30 days",IF(M349&lt;=90,"Due ≤90 days","OK"))),"Check date"))</f>
        <v/>
      </c>
      <c r="O349" s="21" t="n"/>
      <c r="P349" s="21" t="n"/>
      <c r="Q349" s="21" t="n"/>
      <c r="R349" s="21" t="n"/>
      <c r="S349" s="21" t="n"/>
    </row>
    <row r="350">
      <c r="A350" s="21" t="n"/>
      <c r="B350" s="21" t="n"/>
      <c r="C350" s="21" t="n"/>
      <c r="D350" s="21" t="n"/>
      <c r="E350" s="21" t="n"/>
      <c r="F350" s="22" t="n"/>
      <c r="G350" s="22" t="n"/>
      <c r="H350" s="21" t="n"/>
      <c r="I350" s="23" t="n"/>
      <c r="J350" s="23" t="n"/>
      <c r="K350" s="24" t="n"/>
      <c r="L350" s="25">
        <f>IF(ISNUMBER(J350),J350-IF(ISNUMBER(K350),K350,30),"")</f>
        <v/>
      </c>
      <c r="M350" s="26">
        <f>IF(J350="","",IF(ISNUMBER(J350),J350-TODAY(),"Check date"))</f>
        <v/>
      </c>
      <c r="N350" s="27">
        <f>IF(M350="","",IF(ISNUMBER(M350),IF(M350&lt;0,"Expired",IF(M350&lt;=30,"Due ≤30 days",IF(M350&lt;=90,"Due ≤90 days","OK"))),"Check date"))</f>
        <v/>
      </c>
      <c r="O350" s="21" t="n"/>
      <c r="P350" s="21" t="n"/>
      <c r="Q350" s="21" t="n"/>
      <c r="R350" s="21" t="n"/>
      <c r="S350" s="21" t="n"/>
    </row>
    <row r="351">
      <c r="A351" s="21" t="n"/>
      <c r="B351" s="21" t="n"/>
      <c r="C351" s="21" t="n"/>
      <c r="D351" s="21" t="n"/>
      <c r="E351" s="21" t="n"/>
      <c r="F351" s="22" t="n"/>
      <c r="G351" s="22" t="n"/>
      <c r="H351" s="21" t="n"/>
      <c r="I351" s="23" t="n"/>
      <c r="J351" s="23" t="n"/>
      <c r="K351" s="24" t="n"/>
      <c r="L351" s="25">
        <f>IF(ISNUMBER(J351),J351-IF(ISNUMBER(K351),K351,30),"")</f>
        <v/>
      </c>
      <c r="M351" s="26">
        <f>IF(J351="","",IF(ISNUMBER(J351),J351-TODAY(),"Check date"))</f>
        <v/>
      </c>
      <c r="N351" s="27">
        <f>IF(M351="","",IF(ISNUMBER(M351),IF(M351&lt;0,"Expired",IF(M351&lt;=30,"Due ≤30 days",IF(M351&lt;=90,"Due ≤90 days","OK"))),"Check date"))</f>
        <v/>
      </c>
      <c r="O351" s="21" t="n"/>
      <c r="P351" s="21" t="n"/>
      <c r="Q351" s="21" t="n"/>
      <c r="R351" s="21" t="n"/>
      <c r="S351" s="21" t="n"/>
    </row>
    <row r="352">
      <c r="A352" s="21" t="n"/>
      <c r="B352" s="21" t="n"/>
      <c r="C352" s="21" t="n"/>
      <c r="D352" s="21" t="n"/>
      <c r="E352" s="21" t="n"/>
      <c r="F352" s="22" t="n"/>
      <c r="G352" s="22" t="n"/>
      <c r="H352" s="21" t="n"/>
      <c r="I352" s="23" t="n"/>
      <c r="J352" s="23" t="n"/>
      <c r="K352" s="24" t="n"/>
      <c r="L352" s="25">
        <f>IF(ISNUMBER(J352),J352-IF(ISNUMBER(K352),K352,30),"")</f>
        <v/>
      </c>
      <c r="M352" s="26">
        <f>IF(J352="","",IF(ISNUMBER(J352),J352-TODAY(),"Check date"))</f>
        <v/>
      </c>
      <c r="N352" s="27">
        <f>IF(M352="","",IF(ISNUMBER(M352),IF(M352&lt;0,"Expired",IF(M352&lt;=30,"Due ≤30 days",IF(M352&lt;=90,"Due ≤90 days","OK"))),"Check date"))</f>
        <v/>
      </c>
      <c r="O352" s="21" t="n"/>
      <c r="P352" s="21" t="n"/>
      <c r="Q352" s="21" t="n"/>
      <c r="R352" s="21" t="n"/>
      <c r="S352" s="21" t="n"/>
    </row>
    <row r="353">
      <c r="A353" s="21" t="n"/>
      <c r="B353" s="21" t="n"/>
      <c r="C353" s="21" t="n"/>
      <c r="D353" s="21" t="n"/>
      <c r="E353" s="21" t="n"/>
      <c r="F353" s="22" t="n"/>
      <c r="G353" s="22" t="n"/>
      <c r="H353" s="21" t="n"/>
      <c r="I353" s="23" t="n"/>
      <c r="J353" s="23" t="n"/>
      <c r="K353" s="24" t="n"/>
      <c r="L353" s="25">
        <f>IF(ISNUMBER(J353),J353-IF(ISNUMBER(K353),K353,30),"")</f>
        <v/>
      </c>
      <c r="M353" s="26">
        <f>IF(J353="","",IF(ISNUMBER(J353),J353-TODAY(),"Check date"))</f>
        <v/>
      </c>
      <c r="N353" s="27">
        <f>IF(M353="","",IF(ISNUMBER(M353),IF(M353&lt;0,"Expired",IF(M353&lt;=30,"Due ≤30 days",IF(M353&lt;=90,"Due ≤90 days","OK"))),"Check date"))</f>
        <v/>
      </c>
      <c r="O353" s="21" t="n"/>
      <c r="P353" s="21" t="n"/>
      <c r="Q353" s="21" t="n"/>
      <c r="R353" s="21" t="n"/>
      <c r="S353" s="21" t="n"/>
    </row>
    <row r="354">
      <c r="A354" s="21" t="n"/>
      <c r="B354" s="21" t="n"/>
      <c r="C354" s="21" t="n"/>
      <c r="D354" s="21" t="n"/>
      <c r="E354" s="21" t="n"/>
      <c r="F354" s="22" t="n"/>
      <c r="G354" s="22" t="n"/>
      <c r="H354" s="21" t="n"/>
      <c r="I354" s="23" t="n"/>
      <c r="J354" s="23" t="n"/>
      <c r="K354" s="24" t="n"/>
      <c r="L354" s="25">
        <f>IF(ISNUMBER(J354),J354-IF(ISNUMBER(K354),K354,30),"")</f>
        <v/>
      </c>
      <c r="M354" s="26">
        <f>IF(J354="","",IF(ISNUMBER(J354),J354-TODAY(),"Check date"))</f>
        <v/>
      </c>
      <c r="N354" s="27">
        <f>IF(M354="","",IF(ISNUMBER(M354),IF(M354&lt;0,"Expired",IF(M354&lt;=30,"Due ≤30 days",IF(M354&lt;=90,"Due ≤90 days","OK"))),"Check date"))</f>
        <v/>
      </c>
      <c r="O354" s="21" t="n"/>
      <c r="P354" s="21" t="n"/>
      <c r="Q354" s="21" t="n"/>
      <c r="R354" s="21" t="n"/>
      <c r="S354" s="21" t="n"/>
    </row>
    <row r="355">
      <c r="A355" s="21" t="n"/>
      <c r="B355" s="21" t="n"/>
      <c r="C355" s="21" t="n"/>
      <c r="D355" s="21" t="n"/>
      <c r="E355" s="21" t="n"/>
      <c r="F355" s="22" t="n"/>
      <c r="G355" s="22" t="n"/>
      <c r="H355" s="21" t="n"/>
      <c r="I355" s="23" t="n"/>
      <c r="J355" s="23" t="n"/>
      <c r="K355" s="24" t="n"/>
      <c r="L355" s="25">
        <f>IF(ISNUMBER(J355),J355-IF(ISNUMBER(K355),K355,30),"")</f>
        <v/>
      </c>
      <c r="M355" s="26">
        <f>IF(J355="","",IF(ISNUMBER(J355),J355-TODAY(),"Check date"))</f>
        <v/>
      </c>
      <c r="N355" s="27">
        <f>IF(M355="","",IF(ISNUMBER(M355),IF(M355&lt;0,"Expired",IF(M355&lt;=30,"Due ≤30 days",IF(M355&lt;=90,"Due ≤90 days","OK"))),"Check date"))</f>
        <v/>
      </c>
      <c r="O355" s="21" t="n"/>
      <c r="P355" s="21" t="n"/>
      <c r="Q355" s="21" t="n"/>
      <c r="R355" s="21" t="n"/>
      <c r="S355" s="21" t="n"/>
    </row>
    <row r="356">
      <c r="A356" s="21" t="n"/>
      <c r="B356" s="21" t="n"/>
      <c r="C356" s="21" t="n"/>
      <c r="D356" s="21" t="n"/>
      <c r="E356" s="21" t="n"/>
      <c r="F356" s="22" t="n"/>
      <c r="G356" s="22" t="n"/>
      <c r="H356" s="21" t="n"/>
      <c r="I356" s="23" t="n"/>
      <c r="J356" s="23" t="n"/>
      <c r="K356" s="24" t="n"/>
      <c r="L356" s="25">
        <f>IF(ISNUMBER(J356),J356-IF(ISNUMBER(K356),K356,30),"")</f>
        <v/>
      </c>
      <c r="M356" s="26">
        <f>IF(J356="","",IF(ISNUMBER(J356),J356-TODAY(),"Check date"))</f>
        <v/>
      </c>
      <c r="N356" s="27">
        <f>IF(M356="","",IF(ISNUMBER(M356),IF(M356&lt;0,"Expired",IF(M356&lt;=30,"Due ≤30 days",IF(M356&lt;=90,"Due ≤90 days","OK"))),"Check date"))</f>
        <v/>
      </c>
      <c r="O356" s="21" t="n"/>
      <c r="P356" s="21" t="n"/>
      <c r="Q356" s="21" t="n"/>
      <c r="R356" s="21" t="n"/>
      <c r="S356" s="21" t="n"/>
    </row>
    <row r="357">
      <c r="A357" s="21" t="n"/>
      <c r="B357" s="21" t="n"/>
      <c r="C357" s="21" t="n"/>
      <c r="D357" s="21" t="n"/>
      <c r="E357" s="21" t="n"/>
      <c r="F357" s="22" t="n"/>
      <c r="G357" s="22" t="n"/>
      <c r="H357" s="21" t="n"/>
      <c r="I357" s="23" t="n"/>
      <c r="J357" s="23" t="n"/>
      <c r="K357" s="24" t="n"/>
      <c r="L357" s="25">
        <f>IF(ISNUMBER(J357),J357-IF(ISNUMBER(K357),K357,30),"")</f>
        <v/>
      </c>
      <c r="M357" s="26">
        <f>IF(J357="","",IF(ISNUMBER(J357),J357-TODAY(),"Check date"))</f>
        <v/>
      </c>
      <c r="N357" s="27">
        <f>IF(M357="","",IF(ISNUMBER(M357),IF(M357&lt;0,"Expired",IF(M357&lt;=30,"Due ≤30 days",IF(M357&lt;=90,"Due ≤90 days","OK"))),"Check date"))</f>
        <v/>
      </c>
      <c r="O357" s="21" t="n"/>
      <c r="P357" s="21" t="n"/>
      <c r="Q357" s="21" t="n"/>
      <c r="R357" s="21" t="n"/>
      <c r="S357" s="21" t="n"/>
    </row>
    <row r="358">
      <c r="A358" s="21" t="n"/>
      <c r="B358" s="21" t="n"/>
      <c r="C358" s="21" t="n"/>
      <c r="D358" s="21" t="n"/>
      <c r="E358" s="21" t="n"/>
      <c r="F358" s="22" t="n"/>
      <c r="G358" s="22" t="n"/>
      <c r="H358" s="21" t="n"/>
      <c r="I358" s="23" t="n"/>
      <c r="J358" s="23" t="n"/>
      <c r="K358" s="24" t="n"/>
      <c r="L358" s="25">
        <f>IF(ISNUMBER(J358),J358-IF(ISNUMBER(K358),K358,30),"")</f>
        <v/>
      </c>
      <c r="M358" s="26">
        <f>IF(J358="","",IF(ISNUMBER(J358),J358-TODAY(),"Check date"))</f>
        <v/>
      </c>
      <c r="N358" s="27">
        <f>IF(M358="","",IF(ISNUMBER(M358),IF(M358&lt;0,"Expired",IF(M358&lt;=30,"Due ≤30 days",IF(M358&lt;=90,"Due ≤90 days","OK"))),"Check date"))</f>
        <v/>
      </c>
      <c r="O358" s="21" t="n"/>
      <c r="P358" s="21" t="n"/>
      <c r="Q358" s="21" t="n"/>
      <c r="R358" s="21" t="n"/>
      <c r="S358" s="21" t="n"/>
    </row>
    <row r="359">
      <c r="A359" s="21" t="n"/>
      <c r="B359" s="21" t="n"/>
      <c r="C359" s="21" t="n"/>
      <c r="D359" s="21" t="n"/>
      <c r="E359" s="21" t="n"/>
      <c r="F359" s="22" t="n"/>
      <c r="G359" s="22" t="n"/>
      <c r="H359" s="21" t="n"/>
      <c r="I359" s="23" t="n"/>
      <c r="J359" s="23" t="n"/>
      <c r="K359" s="24" t="n"/>
      <c r="L359" s="25">
        <f>IF(ISNUMBER(J359),J359-IF(ISNUMBER(K359),K359,30),"")</f>
        <v/>
      </c>
      <c r="M359" s="26">
        <f>IF(J359="","",IF(ISNUMBER(J359),J359-TODAY(),"Check date"))</f>
        <v/>
      </c>
      <c r="N359" s="27">
        <f>IF(M359="","",IF(ISNUMBER(M359),IF(M359&lt;0,"Expired",IF(M359&lt;=30,"Due ≤30 days",IF(M359&lt;=90,"Due ≤90 days","OK"))),"Check date"))</f>
        <v/>
      </c>
      <c r="O359" s="21" t="n"/>
      <c r="P359" s="21" t="n"/>
      <c r="Q359" s="21" t="n"/>
      <c r="R359" s="21" t="n"/>
      <c r="S359" s="21" t="n"/>
    </row>
    <row r="360">
      <c r="A360" s="21" t="n"/>
      <c r="B360" s="21" t="n"/>
      <c r="C360" s="21" t="n"/>
      <c r="D360" s="21" t="n"/>
      <c r="E360" s="21" t="n"/>
      <c r="F360" s="22" t="n"/>
      <c r="G360" s="22" t="n"/>
      <c r="H360" s="21" t="n"/>
      <c r="I360" s="23" t="n"/>
      <c r="J360" s="23" t="n"/>
      <c r="K360" s="24" t="n"/>
      <c r="L360" s="25">
        <f>IF(ISNUMBER(J360),J360-IF(ISNUMBER(K360),K360,30),"")</f>
        <v/>
      </c>
      <c r="M360" s="26">
        <f>IF(J360="","",IF(ISNUMBER(J360),J360-TODAY(),"Check date"))</f>
        <v/>
      </c>
      <c r="N360" s="27">
        <f>IF(M360="","",IF(ISNUMBER(M360),IF(M360&lt;0,"Expired",IF(M360&lt;=30,"Due ≤30 days",IF(M360&lt;=90,"Due ≤90 days","OK"))),"Check date"))</f>
        <v/>
      </c>
      <c r="O360" s="21" t="n"/>
      <c r="P360" s="21" t="n"/>
      <c r="Q360" s="21" t="n"/>
      <c r="R360" s="21" t="n"/>
      <c r="S360" s="21" t="n"/>
    </row>
    <row r="361">
      <c r="A361" s="21" t="n"/>
      <c r="B361" s="21" t="n"/>
      <c r="C361" s="21" t="n"/>
      <c r="D361" s="21" t="n"/>
      <c r="E361" s="21" t="n"/>
      <c r="F361" s="22" t="n"/>
      <c r="G361" s="22" t="n"/>
      <c r="H361" s="21" t="n"/>
      <c r="I361" s="23" t="n"/>
      <c r="J361" s="23" t="n"/>
      <c r="K361" s="24" t="n"/>
      <c r="L361" s="25">
        <f>IF(ISNUMBER(J361),J361-IF(ISNUMBER(K361),K361,30),"")</f>
        <v/>
      </c>
      <c r="M361" s="26">
        <f>IF(J361="","",IF(ISNUMBER(J361),J361-TODAY(),"Check date"))</f>
        <v/>
      </c>
      <c r="N361" s="27">
        <f>IF(M361="","",IF(ISNUMBER(M361),IF(M361&lt;0,"Expired",IF(M361&lt;=30,"Due ≤30 days",IF(M361&lt;=90,"Due ≤90 days","OK"))),"Check date"))</f>
        <v/>
      </c>
      <c r="O361" s="21" t="n"/>
      <c r="P361" s="21" t="n"/>
      <c r="Q361" s="21" t="n"/>
      <c r="R361" s="21" t="n"/>
      <c r="S361" s="21" t="n"/>
    </row>
    <row r="362">
      <c r="A362" s="21" t="n"/>
      <c r="B362" s="21" t="n"/>
      <c r="C362" s="21" t="n"/>
      <c r="D362" s="21" t="n"/>
      <c r="E362" s="21" t="n"/>
      <c r="F362" s="22" t="n"/>
      <c r="G362" s="22" t="n"/>
      <c r="H362" s="21" t="n"/>
      <c r="I362" s="23" t="n"/>
      <c r="J362" s="23" t="n"/>
      <c r="K362" s="24" t="n"/>
      <c r="L362" s="25">
        <f>IF(ISNUMBER(J362),J362-IF(ISNUMBER(K362),K362,30),"")</f>
        <v/>
      </c>
      <c r="M362" s="26">
        <f>IF(J362="","",IF(ISNUMBER(J362),J362-TODAY(),"Check date"))</f>
        <v/>
      </c>
      <c r="N362" s="27">
        <f>IF(M362="","",IF(ISNUMBER(M362),IF(M362&lt;0,"Expired",IF(M362&lt;=30,"Due ≤30 days",IF(M362&lt;=90,"Due ≤90 days","OK"))),"Check date"))</f>
        <v/>
      </c>
      <c r="O362" s="21" t="n"/>
      <c r="P362" s="21" t="n"/>
      <c r="Q362" s="21" t="n"/>
      <c r="R362" s="21" t="n"/>
      <c r="S362" s="21" t="n"/>
    </row>
    <row r="363">
      <c r="A363" s="21" t="n"/>
      <c r="B363" s="21" t="n"/>
      <c r="C363" s="21" t="n"/>
      <c r="D363" s="21" t="n"/>
      <c r="E363" s="21" t="n"/>
      <c r="F363" s="22" t="n"/>
      <c r="G363" s="22" t="n"/>
      <c r="H363" s="21" t="n"/>
      <c r="I363" s="23" t="n"/>
      <c r="J363" s="23" t="n"/>
      <c r="K363" s="24" t="n"/>
      <c r="L363" s="25">
        <f>IF(ISNUMBER(J363),J363-IF(ISNUMBER(K363),K363,30),"")</f>
        <v/>
      </c>
      <c r="M363" s="26">
        <f>IF(J363="","",IF(ISNUMBER(J363),J363-TODAY(),"Check date"))</f>
        <v/>
      </c>
      <c r="N363" s="27">
        <f>IF(M363="","",IF(ISNUMBER(M363),IF(M363&lt;0,"Expired",IF(M363&lt;=30,"Due ≤30 days",IF(M363&lt;=90,"Due ≤90 days","OK"))),"Check date"))</f>
        <v/>
      </c>
      <c r="O363" s="21" t="n"/>
      <c r="P363" s="21" t="n"/>
      <c r="Q363" s="21" t="n"/>
      <c r="R363" s="21" t="n"/>
      <c r="S363" s="21" t="n"/>
    </row>
    <row r="364">
      <c r="A364" s="21" t="n"/>
      <c r="B364" s="21" t="n"/>
      <c r="C364" s="21" t="n"/>
      <c r="D364" s="21" t="n"/>
      <c r="E364" s="21" t="n"/>
      <c r="F364" s="22" t="n"/>
      <c r="G364" s="22" t="n"/>
      <c r="H364" s="21" t="n"/>
      <c r="I364" s="23" t="n"/>
      <c r="J364" s="23" t="n"/>
      <c r="K364" s="24" t="n"/>
      <c r="L364" s="25">
        <f>IF(ISNUMBER(J364),J364-IF(ISNUMBER(K364),K364,30),"")</f>
        <v/>
      </c>
      <c r="M364" s="26">
        <f>IF(J364="","",IF(ISNUMBER(J364),J364-TODAY(),"Check date"))</f>
        <v/>
      </c>
      <c r="N364" s="27">
        <f>IF(M364="","",IF(ISNUMBER(M364),IF(M364&lt;0,"Expired",IF(M364&lt;=30,"Due ≤30 days",IF(M364&lt;=90,"Due ≤90 days","OK"))),"Check date"))</f>
        <v/>
      </c>
      <c r="O364" s="21" t="n"/>
      <c r="P364" s="21" t="n"/>
      <c r="Q364" s="21" t="n"/>
      <c r="R364" s="21" t="n"/>
      <c r="S364" s="21" t="n"/>
    </row>
    <row r="365">
      <c r="A365" s="21" t="n"/>
      <c r="B365" s="21" t="n"/>
      <c r="C365" s="21" t="n"/>
      <c r="D365" s="21" t="n"/>
      <c r="E365" s="21" t="n"/>
      <c r="F365" s="22" t="n"/>
      <c r="G365" s="22" t="n"/>
      <c r="H365" s="21" t="n"/>
      <c r="I365" s="23" t="n"/>
      <c r="J365" s="23" t="n"/>
      <c r="K365" s="24" t="n"/>
      <c r="L365" s="25">
        <f>IF(ISNUMBER(J365),J365-IF(ISNUMBER(K365),K365,30),"")</f>
        <v/>
      </c>
      <c r="M365" s="26">
        <f>IF(J365="","",IF(ISNUMBER(J365),J365-TODAY(),"Check date"))</f>
        <v/>
      </c>
      <c r="N365" s="27">
        <f>IF(M365="","",IF(ISNUMBER(M365),IF(M365&lt;0,"Expired",IF(M365&lt;=30,"Due ≤30 days",IF(M365&lt;=90,"Due ≤90 days","OK"))),"Check date"))</f>
        <v/>
      </c>
      <c r="O365" s="21" t="n"/>
      <c r="P365" s="21" t="n"/>
      <c r="Q365" s="21" t="n"/>
      <c r="R365" s="21" t="n"/>
      <c r="S365" s="21" t="n"/>
    </row>
    <row r="366">
      <c r="A366" s="21" t="n"/>
      <c r="B366" s="21" t="n"/>
      <c r="C366" s="21" t="n"/>
      <c r="D366" s="21" t="n"/>
      <c r="E366" s="21" t="n"/>
      <c r="F366" s="22" t="n"/>
      <c r="G366" s="22" t="n"/>
      <c r="H366" s="21" t="n"/>
      <c r="I366" s="23" t="n"/>
      <c r="J366" s="23" t="n"/>
      <c r="K366" s="24" t="n"/>
      <c r="L366" s="25">
        <f>IF(ISNUMBER(J366),J366-IF(ISNUMBER(K366),K366,30),"")</f>
        <v/>
      </c>
      <c r="M366" s="26">
        <f>IF(J366="","",IF(ISNUMBER(J366),J366-TODAY(),"Check date"))</f>
        <v/>
      </c>
      <c r="N366" s="27">
        <f>IF(M366="","",IF(ISNUMBER(M366),IF(M366&lt;0,"Expired",IF(M366&lt;=30,"Due ≤30 days",IF(M366&lt;=90,"Due ≤90 days","OK"))),"Check date"))</f>
        <v/>
      </c>
      <c r="O366" s="21" t="n"/>
      <c r="P366" s="21" t="n"/>
      <c r="Q366" s="21" t="n"/>
      <c r="R366" s="21" t="n"/>
      <c r="S366" s="21" t="n"/>
    </row>
    <row r="367">
      <c r="A367" s="21" t="n"/>
      <c r="B367" s="21" t="n"/>
      <c r="C367" s="21" t="n"/>
      <c r="D367" s="21" t="n"/>
      <c r="E367" s="21" t="n"/>
      <c r="F367" s="22" t="n"/>
      <c r="G367" s="22" t="n"/>
      <c r="H367" s="21" t="n"/>
      <c r="I367" s="23" t="n"/>
      <c r="J367" s="23" t="n"/>
      <c r="K367" s="24" t="n"/>
      <c r="L367" s="25">
        <f>IF(ISNUMBER(J367),J367-IF(ISNUMBER(K367),K367,30),"")</f>
        <v/>
      </c>
      <c r="M367" s="26">
        <f>IF(J367="","",IF(ISNUMBER(J367),J367-TODAY(),"Check date"))</f>
        <v/>
      </c>
      <c r="N367" s="27">
        <f>IF(M367="","",IF(ISNUMBER(M367),IF(M367&lt;0,"Expired",IF(M367&lt;=30,"Due ≤30 days",IF(M367&lt;=90,"Due ≤90 days","OK"))),"Check date"))</f>
        <v/>
      </c>
      <c r="O367" s="21" t="n"/>
      <c r="P367" s="21" t="n"/>
      <c r="Q367" s="21" t="n"/>
      <c r="R367" s="21" t="n"/>
      <c r="S367" s="21" t="n"/>
    </row>
    <row r="368">
      <c r="A368" s="21" t="n"/>
      <c r="B368" s="21" t="n"/>
      <c r="C368" s="21" t="n"/>
      <c r="D368" s="21" t="n"/>
      <c r="E368" s="21" t="n"/>
      <c r="F368" s="22" t="n"/>
      <c r="G368" s="22" t="n"/>
      <c r="H368" s="21" t="n"/>
      <c r="I368" s="23" t="n"/>
      <c r="J368" s="23" t="n"/>
      <c r="K368" s="24" t="n"/>
      <c r="L368" s="25">
        <f>IF(ISNUMBER(J368),J368-IF(ISNUMBER(K368),K368,30),"")</f>
        <v/>
      </c>
      <c r="M368" s="26">
        <f>IF(J368="","",IF(ISNUMBER(J368),J368-TODAY(),"Check date"))</f>
        <v/>
      </c>
      <c r="N368" s="27">
        <f>IF(M368="","",IF(ISNUMBER(M368),IF(M368&lt;0,"Expired",IF(M368&lt;=30,"Due ≤30 days",IF(M368&lt;=90,"Due ≤90 days","OK"))),"Check date"))</f>
        <v/>
      </c>
      <c r="O368" s="21" t="n"/>
      <c r="P368" s="21" t="n"/>
      <c r="Q368" s="21" t="n"/>
      <c r="R368" s="21" t="n"/>
      <c r="S368" s="21" t="n"/>
    </row>
    <row r="369">
      <c r="A369" s="21" t="n"/>
      <c r="B369" s="21" t="n"/>
      <c r="C369" s="21" t="n"/>
      <c r="D369" s="21" t="n"/>
      <c r="E369" s="21" t="n"/>
      <c r="F369" s="22" t="n"/>
      <c r="G369" s="22" t="n"/>
      <c r="H369" s="21" t="n"/>
      <c r="I369" s="23" t="n"/>
      <c r="J369" s="23" t="n"/>
      <c r="K369" s="24" t="n"/>
      <c r="L369" s="25">
        <f>IF(ISNUMBER(J369),J369-IF(ISNUMBER(K369),K369,30),"")</f>
        <v/>
      </c>
      <c r="M369" s="26">
        <f>IF(J369="","",IF(ISNUMBER(J369),J369-TODAY(),"Check date"))</f>
        <v/>
      </c>
      <c r="N369" s="27">
        <f>IF(M369="","",IF(ISNUMBER(M369),IF(M369&lt;0,"Expired",IF(M369&lt;=30,"Due ≤30 days",IF(M369&lt;=90,"Due ≤90 days","OK"))),"Check date"))</f>
        <v/>
      </c>
      <c r="O369" s="21" t="n"/>
      <c r="P369" s="21" t="n"/>
      <c r="Q369" s="21" t="n"/>
      <c r="R369" s="21" t="n"/>
      <c r="S369" s="21" t="n"/>
    </row>
    <row r="370">
      <c r="A370" s="21" t="n"/>
      <c r="B370" s="21" t="n"/>
      <c r="C370" s="21" t="n"/>
      <c r="D370" s="21" t="n"/>
      <c r="E370" s="21" t="n"/>
      <c r="F370" s="22" t="n"/>
      <c r="G370" s="22" t="n"/>
      <c r="H370" s="21" t="n"/>
      <c r="I370" s="23" t="n"/>
      <c r="J370" s="23" t="n"/>
      <c r="K370" s="24" t="n"/>
      <c r="L370" s="25">
        <f>IF(ISNUMBER(J370),J370-IF(ISNUMBER(K370),K370,30),"")</f>
        <v/>
      </c>
      <c r="M370" s="26">
        <f>IF(J370="","",IF(ISNUMBER(J370),J370-TODAY(),"Check date"))</f>
        <v/>
      </c>
      <c r="N370" s="27">
        <f>IF(M370="","",IF(ISNUMBER(M370),IF(M370&lt;0,"Expired",IF(M370&lt;=30,"Due ≤30 days",IF(M370&lt;=90,"Due ≤90 days","OK"))),"Check date"))</f>
        <v/>
      </c>
      <c r="O370" s="21" t="n"/>
      <c r="P370" s="21" t="n"/>
      <c r="Q370" s="21" t="n"/>
      <c r="R370" s="21" t="n"/>
      <c r="S370" s="21" t="n"/>
    </row>
    <row r="371">
      <c r="A371" s="21" t="n"/>
      <c r="B371" s="21" t="n"/>
      <c r="C371" s="21" t="n"/>
      <c r="D371" s="21" t="n"/>
      <c r="E371" s="21" t="n"/>
      <c r="F371" s="22" t="n"/>
      <c r="G371" s="22" t="n"/>
      <c r="H371" s="21" t="n"/>
      <c r="I371" s="23" t="n"/>
      <c r="J371" s="23" t="n"/>
      <c r="K371" s="24" t="n"/>
      <c r="L371" s="25">
        <f>IF(ISNUMBER(J371),J371-IF(ISNUMBER(K371),K371,30),"")</f>
        <v/>
      </c>
      <c r="M371" s="26">
        <f>IF(J371="","",IF(ISNUMBER(J371),J371-TODAY(),"Check date"))</f>
        <v/>
      </c>
      <c r="N371" s="27">
        <f>IF(M371="","",IF(ISNUMBER(M371),IF(M371&lt;0,"Expired",IF(M371&lt;=30,"Due ≤30 days",IF(M371&lt;=90,"Due ≤90 days","OK"))),"Check date"))</f>
        <v/>
      </c>
      <c r="O371" s="21" t="n"/>
      <c r="P371" s="21" t="n"/>
      <c r="Q371" s="21" t="n"/>
      <c r="R371" s="21" t="n"/>
      <c r="S371" s="21" t="n"/>
    </row>
    <row r="372">
      <c r="A372" s="21" t="n"/>
      <c r="B372" s="21" t="n"/>
      <c r="C372" s="21" t="n"/>
      <c r="D372" s="21" t="n"/>
      <c r="E372" s="21" t="n"/>
      <c r="F372" s="22" t="n"/>
      <c r="G372" s="22" t="n"/>
      <c r="H372" s="21" t="n"/>
      <c r="I372" s="23" t="n"/>
      <c r="J372" s="23" t="n"/>
      <c r="K372" s="24" t="n"/>
      <c r="L372" s="25">
        <f>IF(ISNUMBER(J372),J372-IF(ISNUMBER(K372),K372,30),"")</f>
        <v/>
      </c>
      <c r="M372" s="26">
        <f>IF(J372="","",IF(ISNUMBER(J372),J372-TODAY(),"Check date"))</f>
        <v/>
      </c>
      <c r="N372" s="27">
        <f>IF(M372="","",IF(ISNUMBER(M372),IF(M372&lt;0,"Expired",IF(M372&lt;=30,"Due ≤30 days",IF(M372&lt;=90,"Due ≤90 days","OK"))),"Check date"))</f>
        <v/>
      </c>
      <c r="O372" s="21" t="n"/>
      <c r="P372" s="21" t="n"/>
      <c r="Q372" s="21" t="n"/>
      <c r="R372" s="21" t="n"/>
      <c r="S372" s="21" t="n"/>
    </row>
    <row r="373">
      <c r="A373" s="21" t="n"/>
      <c r="B373" s="21" t="n"/>
      <c r="C373" s="21" t="n"/>
      <c r="D373" s="21" t="n"/>
      <c r="E373" s="21" t="n"/>
      <c r="F373" s="22" t="n"/>
      <c r="G373" s="22" t="n"/>
      <c r="H373" s="21" t="n"/>
      <c r="I373" s="23" t="n"/>
      <c r="J373" s="23" t="n"/>
      <c r="K373" s="24" t="n"/>
      <c r="L373" s="25">
        <f>IF(ISNUMBER(J373),J373-IF(ISNUMBER(K373),K373,30),"")</f>
        <v/>
      </c>
      <c r="M373" s="26">
        <f>IF(J373="","",IF(ISNUMBER(J373),J373-TODAY(),"Check date"))</f>
        <v/>
      </c>
      <c r="N373" s="27">
        <f>IF(M373="","",IF(ISNUMBER(M373),IF(M373&lt;0,"Expired",IF(M373&lt;=30,"Due ≤30 days",IF(M373&lt;=90,"Due ≤90 days","OK"))),"Check date"))</f>
        <v/>
      </c>
      <c r="O373" s="21" t="n"/>
      <c r="P373" s="21" t="n"/>
      <c r="Q373" s="21" t="n"/>
      <c r="R373" s="21" t="n"/>
      <c r="S373" s="21" t="n"/>
    </row>
    <row r="374">
      <c r="A374" s="21" t="n"/>
      <c r="B374" s="21" t="n"/>
      <c r="C374" s="21" t="n"/>
      <c r="D374" s="21" t="n"/>
      <c r="E374" s="21" t="n"/>
      <c r="F374" s="22" t="n"/>
      <c r="G374" s="22" t="n"/>
      <c r="H374" s="21" t="n"/>
      <c r="I374" s="23" t="n"/>
      <c r="J374" s="23" t="n"/>
      <c r="K374" s="24" t="n"/>
      <c r="L374" s="25">
        <f>IF(ISNUMBER(J374),J374-IF(ISNUMBER(K374),K374,30),"")</f>
        <v/>
      </c>
      <c r="M374" s="26">
        <f>IF(J374="","",IF(ISNUMBER(J374),J374-TODAY(),"Check date"))</f>
        <v/>
      </c>
      <c r="N374" s="27">
        <f>IF(M374="","",IF(ISNUMBER(M374),IF(M374&lt;0,"Expired",IF(M374&lt;=30,"Due ≤30 days",IF(M374&lt;=90,"Due ≤90 days","OK"))),"Check date"))</f>
        <v/>
      </c>
      <c r="O374" s="21" t="n"/>
      <c r="P374" s="21" t="n"/>
      <c r="Q374" s="21" t="n"/>
      <c r="R374" s="21" t="n"/>
      <c r="S374" s="21" t="n"/>
    </row>
    <row r="375">
      <c r="A375" s="21" t="n"/>
      <c r="B375" s="21" t="n"/>
      <c r="C375" s="21" t="n"/>
      <c r="D375" s="21" t="n"/>
      <c r="E375" s="21" t="n"/>
      <c r="F375" s="22" t="n"/>
      <c r="G375" s="22" t="n"/>
      <c r="H375" s="21" t="n"/>
      <c r="I375" s="23" t="n"/>
      <c r="J375" s="23" t="n"/>
      <c r="K375" s="24" t="n"/>
      <c r="L375" s="25">
        <f>IF(ISNUMBER(J375),J375-IF(ISNUMBER(K375),K375,30),"")</f>
        <v/>
      </c>
      <c r="M375" s="26">
        <f>IF(J375="","",IF(ISNUMBER(J375),J375-TODAY(),"Check date"))</f>
        <v/>
      </c>
      <c r="N375" s="27">
        <f>IF(M375="","",IF(ISNUMBER(M375),IF(M375&lt;0,"Expired",IF(M375&lt;=30,"Due ≤30 days",IF(M375&lt;=90,"Due ≤90 days","OK"))),"Check date"))</f>
        <v/>
      </c>
      <c r="O375" s="21" t="n"/>
      <c r="P375" s="21" t="n"/>
      <c r="Q375" s="21" t="n"/>
      <c r="R375" s="21" t="n"/>
      <c r="S375" s="21" t="n"/>
    </row>
    <row r="376">
      <c r="A376" s="21" t="n"/>
      <c r="B376" s="21" t="n"/>
      <c r="C376" s="21" t="n"/>
      <c r="D376" s="21" t="n"/>
      <c r="E376" s="21" t="n"/>
      <c r="F376" s="22" t="n"/>
      <c r="G376" s="22" t="n"/>
      <c r="H376" s="21" t="n"/>
      <c r="I376" s="23" t="n"/>
      <c r="J376" s="23" t="n"/>
      <c r="K376" s="24" t="n"/>
      <c r="L376" s="25">
        <f>IF(ISNUMBER(J376),J376-IF(ISNUMBER(K376),K376,30),"")</f>
        <v/>
      </c>
      <c r="M376" s="26">
        <f>IF(J376="","",IF(ISNUMBER(J376),J376-TODAY(),"Check date"))</f>
        <v/>
      </c>
      <c r="N376" s="27">
        <f>IF(M376="","",IF(ISNUMBER(M376),IF(M376&lt;0,"Expired",IF(M376&lt;=30,"Due ≤30 days",IF(M376&lt;=90,"Due ≤90 days","OK"))),"Check date"))</f>
        <v/>
      </c>
      <c r="O376" s="21" t="n"/>
      <c r="P376" s="21" t="n"/>
      <c r="Q376" s="21" t="n"/>
      <c r="R376" s="21" t="n"/>
      <c r="S376" s="21" t="n"/>
    </row>
    <row r="377">
      <c r="A377" s="21" t="n"/>
      <c r="B377" s="21" t="n"/>
      <c r="C377" s="21" t="n"/>
      <c r="D377" s="21" t="n"/>
      <c r="E377" s="21" t="n"/>
      <c r="F377" s="22" t="n"/>
      <c r="G377" s="22" t="n"/>
      <c r="H377" s="21" t="n"/>
      <c r="I377" s="23" t="n"/>
      <c r="J377" s="23" t="n"/>
      <c r="K377" s="24" t="n"/>
      <c r="L377" s="25">
        <f>IF(ISNUMBER(J377),J377-IF(ISNUMBER(K377),K377,30),"")</f>
        <v/>
      </c>
      <c r="M377" s="26">
        <f>IF(J377="","",IF(ISNUMBER(J377),J377-TODAY(),"Check date"))</f>
        <v/>
      </c>
      <c r="N377" s="27">
        <f>IF(M377="","",IF(ISNUMBER(M377),IF(M377&lt;0,"Expired",IF(M377&lt;=30,"Due ≤30 days",IF(M377&lt;=90,"Due ≤90 days","OK"))),"Check date"))</f>
        <v/>
      </c>
      <c r="O377" s="21" t="n"/>
      <c r="P377" s="21" t="n"/>
      <c r="Q377" s="21" t="n"/>
      <c r="R377" s="21" t="n"/>
      <c r="S377" s="21" t="n"/>
    </row>
    <row r="378">
      <c r="A378" s="21" t="n"/>
      <c r="B378" s="21" t="n"/>
      <c r="C378" s="21" t="n"/>
      <c r="D378" s="21" t="n"/>
      <c r="E378" s="21" t="n"/>
      <c r="F378" s="22" t="n"/>
      <c r="G378" s="22" t="n"/>
      <c r="H378" s="21" t="n"/>
      <c r="I378" s="23" t="n"/>
      <c r="J378" s="23" t="n"/>
      <c r="K378" s="24" t="n"/>
      <c r="L378" s="25">
        <f>IF(ISNUMBER(J378),J378-IF(ISNUMBER(K378),K378,30),"")</f>
        <v/>
      </c>
      <c r="M378" s="26">
        <f>IF(J378="","",IF(ISNUMBER(J378),J378-TODAY(),"Check date"))</f>
        <v/>
      </c>
      <c r="N378" s="27">
        <f>IF(M378="","",IF(ISNUMBER(M378),IF(M378&lt;0,"Expired",IF(M378&lt;=30,"Due ≤30 days",IF(M378&lt;=90,"Due ≤90 days","OK"))),"Check date"))</f>
        <v/>
      </c>
      <c r="O378" s="21" t="n"/>
      <c r="P378" s="21" t="n"/>
      <c r="Q378" s="21" t="n"/>
      <c r="R378" s="21" t="n"/>
      <c r="S378" s="21" t="n"/>
    </row>
    <row r="379">
      <c r="A379" s="21" t="n"/>
      <c r="B379" s="21" t="n"/>
      <c r="C379" s="21" t="n"/>
      <c r="D379" s="21" t="n"/>
      <c r="E379" s="21" t="n"/>
      <c r="F379" s="22" t="n"/>
      <c r="G379" s="22" t="n"/>
      <c r="H379" s="21" t="n"/>
      <c r="I379" s="23" t="n"/>
      <c r="J379" s="23" t="n"/>
      <c r="K379" s="24" t="n"/>
      <c r="L379" s="25">
        <f>IF(ISNUMBER(J379),J379-IF(ISNUMBER(K379),K379,30),"")</f>
        <v/>
      </c>
      <c r="M379" s="26">
        <f>IF(J379="","",IF(ISNUMBER(J379),J379-TODAY(),"Check date"))</f>
        <v/>
      </c>
      <c r="N379" s="27">
        <f>IF(M379="","",IF(ISNUMBER(M379),IF(M379&lt;0,"Expired",IF(M379&lt;=30,"Due ≤30 days",IF(M379&lt;=90,"Due ≤90 days","OK"))),"Check date"))</f>
        <v/>
      </c>
      <c r="O379" s="21" t="n"/>
      <c r="P379" s="21" t="n"/>
      <c r="Q379" s="21" t="n"/>
      <c r="R379" s="21" t="n"/>
      <c r="S379" s="21" t="n"/>
    </row>
    <row r="380">
      <c r="A380" s="21" t="n"/>
      <c r="B380" s="21" t="n"/>
      <c r="C380" s="21" t="n"/>
      <c r="D380" s="21" t="n"/>
      <c r="E380" s="21" t="n"/>
      <c r="F380" s="22" t="n"/>
      <c r="G380" s="22" t="n"/>
      <c r="H380" s="21" t="n"/>
      <c r="I380" s="23" t="n"/>
      <c r="J380" s="23" t="n"/>
      <c r="K380" s="24" t="n"/>
      <c r="L380" s="25">
        <f>IF(ISNUMBER(J380),J380-IF(ISNUMBER(K380),K380,30),"")</f>
        <v/>
      </c>
      <c r="M380" s="26">
        <f>IF(J380="","",IF(ISNUMBER(J380),J380-TODAY(),"Check date"))</f>
        <v/>
      </c>
      <c r="N380" s="27">
        <f>IF(M380="","",IF(ISNUMBER(M380),IF(M380&lt;0,"Expired",IF(M380&lt;=30,"Due ≤30 days",IF(M380&lt;=90,"Due ≤90 days","OK"))),"Check date"))</f>
        <v/>
      </c>
      <c r="O380" s="21" t="n"/>
      <c r="P380" s="21" t="n"/>
      <c r="Q380" s="21" t="n"/>
      <c r="R380" s="21" t="n"/>
      <c r="S380" s="21" t="n"/>
    </row>
    <row r="381">
      <c r="A381" s="21" t="n"/>
      <c r="B381" s="21" t="n"/>
      <c r="C381" s="21" t="n"/>
      <c r="D381" s="21" t="n"/>
      <c r="E381" s="21" t="n"/>
      <c r="F381" s="22" t="n"/>
      <c r="G381" s="22" t="n"/>
      <c r="H381" s="21" t="n"/>
      <c r="I381" s="23" t="n"/>
      <c r="J381" s="23" t="n"/>
      <c r="K381" s="24" t="n"/>
      <c r="L381" s="25">
        <f>IF(ISNUMBER(J381),J381-IF(ISNUMBER(K381),K381,30),"")</f>
        <v/>
      </c>
      <c r="M381" s="26">
        <f>IF(J381="","",IF(ISNUMBER(J381),J381-TODAY(),"Check date"))</f>
        <v/>
      </c>
      <c r="N381" s="27">
        <f>IF(M381="","",IF(ISNUMBER(M381),IF(M381&lt;0,"Expired",IF(M381&lt;=30,"Due ≤30 days",IF(M381&lt;=90,"Due ≤90 days","OK"))),"Check date"))</f>
        <v/>
      </c>
      <c r="O381" s="21" t="n"/>
      <c r="P381" s="21" t="n"/>
      <c r="Q381" s="21" t="n"/>
      <c r="R381" s="21" t="n"/>
      <c r="S381" s="21" t="n"/>
    </row>
    <row r="382">
      <c r="A382" s="21" t="n"/>
      <c r="B382" s="21" t="n"/>
      <c r="C382" s="21" t="n"/>
      <c r="D382" s="21" t="n"/>
      <c r="E382" s="21" t="n"/>
      <c r="F382" s="22" t="n"/>
      <c r="G382" s="22" t="n"/>
      <c r="H382" s="21" t="n"/>
      <c r="I382" s="23" t="n"/>
      <c r="J382" s="23" t="n"/>
      <c r="K382" s="24" t="n"/>
      <c r="L382" s="25">
        <f>IF(ISNUMBER(J382),J382-IF(ISNUMBER(K382),K382,30),"")</f>
        <v/>
      </c>
      <c r="M382" s="26">
        <f>IF(J382="","",IF(ISNUMBER(J382),J382-TODAY(),"Check date"))</f>
        <v/>
      </c>
      <c r="N382" s="27">
        <f>IF(M382="","",IF(ISNUMBER(M382),IF(M382&lt;0,"Expired",IF(M382&lt;=30,"Due ≤30 days",IF(M382&lt;=90,"Due ≤90 days","OK"))),"Check date"))</f>
        <v/>
      </c>
      <c r="O382" s="21" t="n"/>
      <c r="P382" s="21" t="n"/>
      <c r="Q382" s="21" t="n"/>
      <c r="R382" s="21" t="n"/>
      <c r="S382" s="21" t="n"/>
    </row>
    <row r="383">
      <c r="A383" s="21" t="n"/>
      <c r="B383" s="21" t="n"/>
      <c r="C383" s="21" t="n"/>
      <c r="D383" s="21" t="n"/>
      <c r="E383" s="21" t="n"/>
      <c r="F383" s="22" t="n"/>
      <c r="G383" s="22" t="n"/>
      <c r="H383" s="21" t="n"/>
      <c r="I383" s="23" t="n"/>
      <c r="J383" s="23" t="n"/>
      <c r="K383" s="24" t="n"/>
      <c r="L383" s="25">
        <f>IF(ISNUMBER(J383),J383-IF(ISNUMBER(K383),K383,30),"")</f>
        <v/>
      </c>
      <c r="M383" s="26">
        <f>IF(J383="","",IF(ISNUMBER(J383),J383-TODAY(),"Check date"))</f>
        <v/>
      </c>
      <c r="N383" s="27">
        <f>IF(M383="","",IF(ISNUMBER(M383),IF(M383&lt;0,"Expired",IF(M383&lt;=30,"Due ≤30 days",IF(M383&lt;=90,"Due ≤90 days","OK"))),"Check date"))</f>
        <v/>
      </c>
      <c r="O383" s="21" t="n"/>
      <c r="P383" s="21" t="n"/>
      <c r="Q383" s="21" t="n"/>
      <c r="R383" s="21" t="n"/>
      <c r="S383" s="21" t="n"/>
    </row>
    <row r="384">
      <c r="A384" s="21" t="n"/>
      <c r="B384" s="21" t="n"/>
      <c r="C384" s="21" t="n"/>
      <c r="D384" s="21" t="n"/>
      <c r="E384" s="21" t="n"/>
      <c r="F384" s="22" t="n"/>
      <c r="G384" s="22" t="n"/>
      <c r="H384" s="21" t="n"/>
      <c r="I384" s="23" t="n"/>
      <c r="J384" s="23" t="n"/>
      <c r="K384" s="24" t="n"/>
      <c r="L384" s="25">
        <f>IF(ISNUMBER(J384),J384-IF(ISNUMBER(K384),K384,30),"")</f>
        <v/>
      </c>
      <c r="M384" s="26">
        <f>IF(J384="","",IF(ISNUMBER(J384),J384-TODAY(),"Check date"))</f>
        <v/>
      </c>
      <c r="N384" s="27">
        <f>IF(M384="","",IF(ISNUMBER(M384),IF(M384&lt;0,"Expired",IF(M384&lt;=30,"Due ≤30 days",IF(M384&lt;=90,"Due ≤90 days","OK"))),"Check date"))</f>
        <v/>
      </c>
      <c r="O384" s="21" t="n"/>
      <c r="P384" s="21" t="n"/>
      <c r="Q384" s="21" t="n"/>
      <c r="R384" s="21" t="n"/>
      <c r="S384" s="21" t="n"/>
    </row>
    <row r="385">
      <c r="A385" s="21" t="n"/>
      <c r="B385" s="21" t="n"/>
      <c r="C385" s="21" t="n"/>
      <c r="D385" s="21" t="n"/>
      <c r="E385" s="21" t="n"/>
      <c r="F385" s="22" t="n"/>
      <c r="G385" s="22" t="n"/>
      <c r="H385" s="21" t="n"/>
      <c r="I385" s="23" t="n"/>
      <c r="J385" s="23" t="n"/>
      <c r="K385" s="24" t="n"/>
      <c r="L385" s="25">
        <f>IF(ISNUMBER(J385),J385-IF(ISNUMBER(K385),K385,30),"")</f>
        <v/>
      </c>
      <c r="M385" s="26">
        <f>IF(J385="","",IF(ISNUMBER(J385),J385-TODAY(),"Check date"))</f>
        <v/>
      </c>
      <c r="N385" s="27">
        <f>IF(M385="","",IF(ISNUMBER(M385),IF(M385&lt;0,"Expired",IF(M385&lt;=30,"Due ≤30 days",IF(M385&lt;=90,"Due ≤90 days","OK"))),"Check date"))</f>
        <v/>
      </c>
      <c r="O385" s="21" t="n"/>
      <c r="P385" s="21" t="n"/>
      <c r="Q385" s="21" t="n"/>
      <c r="R385" s="21" t="n"/>
      <c r="S385" s="21" t="n"/>
    </row>
    <row r="386">
      <c r="A386" s="21" t="n"/>
      <c r="B386" s="21" t="n"/>
      <c r="C386" s="21" t="n"/>
      <c r="D386" s="21" t="n"/>
      <c r="E386" s="21" t="n"/>
      <c r="F386" s="22" t="n"/>
      <c r="G386" s="22" t="n"/>
      <c r="H386" s="21" t="n"/>
      <c r="I386" s="23" t="n"/>
      <c r="J386" s="23" t="n"/>
      <c r="K386" s="24" t="n"/>
      <c r="L386" s="25">
        <f>IF(ISNUMBER(J386),J386-IF(ISNUMBER(K386),K386,30),"")</f>
        <v/>
      </c>
      <c r="M386" s="26">
        <f>IF(J386="","",IF(ISNUMBER(J386),J386-TODAY(),"Check date"))</f>
        <v/>
      </c>
      <c r="N386" s="27">
        <f>IF(M386="","",IF(ISNUMBER(M386),IF(M386&lt;0,"Expired",IF(M386&lt;=30,"Due ≤30 days",IF(M386&lt;=90,"Due ≤90 days","OK"))),"Check date"))</f>
        <v/>
      </c>
      <c r="O386" s="21" t="n"/>
      <c r="P386" s="21" t="n"/>
      <c r="Q386" s="21" t="n"/>
      <c r="R386" s="21" t="n"/>
      <c r="S386" s="21" t="n"/>
    </row>
    <row r="387">
      <c r="A387" s="21" t="n"/>
      <c r="B387" s="21" t="n"/>
      <c r="C387" s="21" t="n"/>
      <c r="D387" s="21" t="n"/>
      <c r="E387" s="21" t="n"/>
      <c r="F387" s="22" t="n"/>
      <c r="G387" s="22" t="n"/>
      <c r="H387" s="21" t="n"/>
      <c r="I387" s="23" t="n"/>
      <c r="J387" s="23" t="n"/>
      <c r="K387" s="24" t="n"/>
      <c r="L387" s="25">
        <f>IF(ISNUMBER(J387),J387-IF(ISNUMBER(K387),K387,30),"")</f>
        <v/>
      </c>
      <c r="M387" s="26">
        <f>IF(J387="","",IF(ISNUMBER(J387),J387-TODAY(),"Check date"))</f>
        <v/>
      </c>
      <c r="N387" s="27">
        <f>IF(M387="","",IF(ISNUMBER(M387),IF(M387&lt;0,"Expired",IF(M387&lt;=30,"Due ≤30 days",IF(M387&lt;=90,"Due ≤90 days","OK"))),"Check date"))</f>
        <v/>
      </c>
      <c r="O387" s="21" t="n"/>
      <c r="P387" s="21" t="n"/>
      <c r="Q387" s="21" t="n"/>
      <c r="R387" s="21" t="n"/>
      <c r="S387" s="21" t="n"/>
    </row>
    <row r="388">
      <c r="A388" s="21" t="n"/>
      <c r="B388" s="21" t="n"/>
      <c r="C388" s="21" t="n"/>
      <c r="D388" s="21" t="n"/>
      <c r="E388" s="21" t="n"/>
      <c r="F388" s="22" t="n"/>
      <c r="G388" s="22" t="n"/>
      <c r="H388" s="21" t="n"/>
      <c r="I388" s="23" t="n"/>
      <c r="J388" s="23" t="n"/>
      <c r="K388" s="24" t="n"/>
      <c r="L388" s="25">
        <f>IF(ISNUMBER(J388),J388-IF(ISNUMBER(K388),K388,30),"")</f>
        <v/>
      </c>
      <c r="M388" s="26">
        <f>IF(J388="","",IF(ISNUMBER(J388),J388-TODAY(),"Check date"))</f>
        <v/>
      </c>
      <c r="N388" s="27">
        <f>IF(M388="","",IF(ISNUMBER(M388),IF(M388&lt;0,"Expired",IF(M388&lt;=30,"Due ≤30 days",IF(M388&lt;=90,"Due ≤90 days","OK"))),"Check date"))</f>
        <v/>
      </c>
      <c r="O388" s="21" t="n"/>
      <c r="P388" s="21" t="n"/>
      <c r="Q388" s="21" t="n"/>
      <c r="R388" s="21" t="n"/>
      <c r="S388" s="21" t="n"/>
    </row>
    <row r="389">
      <c r="A389" s="21" t="n"/>
      <c r="B389" s="21" t="n"/>
      <c r="C389" s="21" t="n"/>
      <c r="D389" s="21" t="n"/>
      <c r="E389" s="21" t="n"/>
      <c r="F389" s="22" t="n"/>
      <c r="G389" s="22" t="n"/>
      <c r="H389" s="21" t="n"/>
      <c r="I389" s="23" t="n"/>
      <c r="J389" s="23" t="n"/>
      <c r="K389" s="24" t="n"/>
      <c r="L389" s="25">
        <f>IF(ISNUMBER(J389),J389-IF(ISNUMBER(K389),K389,30),"")</f>
        <v/>
      </c>
      <c r="M389" s="26">
        <f>IF(J389="","",IF(ISNUMBER(J389),J389-TODAY(),"Check date"))</f>
        <v/>
      </c>
      <c r="N389" s="27">
        <f>IF(M389="","",IF(ISNUMBER(M389),IF(M389&lt;0,"Expired",IF(M389&lt;=30,"Due ≤30 days",IF(M389&lt;=90,"Due ≤90 days","OK"))),"Check date"))</f>
        <v/>
      </c>
      <c r="O389" s="21" t="n"/>
      <c r="P389" s="21" t="n"/>
      <c r="Q389" s="21" t="n"/>
      <c r="R389" s="21" t="n"/>
      <c r="S389" s="21" t="n"/>
    </row>
    <row r="390">
      <c r="A390" s="21" t="n"/>
      <c r="B390" s="21" t="n"/>
      <c r="C390" s="21" t="n"/>
      <c r="D390" s="21" t="n"/>
      <c r="E390" s="21" t="n"/>
      <c r="F390" s="22" t="n"/>
      <c r="G390" s="22" t="n"/>
      <c r="H390" s="21" t="n"/>
      <c r="I390" s="23" t="n"/>
      <c r="J390" s="23" t="n"/>
      <c r="K390" s="24" t="n"/>
      <c r="L390" s="25">
        <f>IF(ISNUMBER(J390),J390-IF(ISNUMBER(K390),K390,30),"")</f>
        <v/>
      </c>
      <c r="M390" s="26">
        <f>IF(J390="","",IF(ISNUMBER(J390),J390-TODAY(),"Check date"))</f>
        <v/>
      </c>
      <c r="N390" s="27">
        <f>IF(M390="","",IF(ISNUMBER(M390),IF(M390&lt;0,"Expired",IF(M390&lt;=30,"Due ≤30 days",IF(M390&lt;=90,"Due ≤90 days","OK"))),"Check date"))</f>
        <v/>
      </c>
      <c r="O390" s="21" t="n"/>
      <c r="P390" s="21" t="n"/>
      <c r="Q390" s="21" t="n"/>
      <c r="R390" s="21" t="n"/>
      <c r="S390" s="21" t="n"/>
    </row>
    <row r="391">
      <c r="A391" s="21" t="n"/>
      <c r="B391" s="21" t="n"/>
      <c r="C391" s="21" t="n"/>
      <c r="D391" s="21" t="n"/>
      <c r="E391" s="21" t="n"/>
      <c r="F391" s="22" t="n"/>
      <c r="G391" s="22" t="n"/>
      <c r="H391" s="21" t="n"/>
      <c r="I391" s="23" t="n"/>
      <c r="J391" s="23" t="n"/>
      <c r="K391" s="24" t="n"/>
      <c r="L391" s="25">
        <f>IF(ISNUMBER(J391),J391-IF(ISNUMBER(K391),K391,30),"")</f>
        <v/>
      </c>
      <c r="M391" s="26">
        <f>IF(J391="","",IF(ISNUMBER(J391),J391-TODAY(),"Check date"))</f>
        <v/>
      </c>
      <c r="N391" s="27">
        <f>IF(M391="","",IF(ISNUMBER(M391),IF(M391&lt;0,"Expired",IF(M391&lt;=30,"Due ≤30 days",IF(M391&lt;=90,"Due ≤90 days","OK"))),"Check date"))</f>
        <v/>
      </c>
      <c r="O391" s="21" t="n"/>
      <c r="P391" s="21" t="n"/>
      <c r="Q391" s="21" t="n"/>
      <c r="R391" s="21" t="n"/>
      <c r="S391" s="21" t="n"/>
    </row>
    <row r="392">
      <c r="A392" s="21" t="n"/>
      <c r="B392" s="21" t="n"/>
      <c r="C392" s="21" t="n"/>
      <c r="D392" s="21" t="n"/>
      <c r="E392" s="21" t="n"/>
      <c r="F392" s="22" t="n"/>
      <c r="G392" s="22" t="n"/>
      <c r="H392" s="21" t="n"/>
      <c r="I392" s="23" t="n"/>
      <c r="J392" s="23" t="n"/>
      <c r="K392" s="24" t="n"/>
      <c r="L392" s="25">
        <f>IF(ISNUMBER(J392),J392-IF(ISNUMBER(K392),K392,30),"")</f>
        <v/>
      </c>
      <c r="M392" s="26">
        <f>IF(J392="","",IF(ISNUMBER(J392),J392-TODAY(),"Check date"))</f>
        <v/>
      </c>
      <c r="N392" s="27">
        <f>IF(M392="","",IF(ISNUMBER(M392),IF(M392&lt;0,"Expired",IF(M392&lt;=30,"Due ≤30 days",IF(M392&lt;=90,"Due ≤90 days","OK"))),"Check date"))</f>
        <v/>
      </c>
      <c r="O392" s="21" t="n"/>
      <c r="P392" s="21" t="n"/>
      <c r="Q392" s="21" t="n"/>
      <c r="R392" s="21" t="n"/>
      <c r="S392" s="21" t="n"/>
    </row>
    <row r="393">
      <c r="A393" s="21" t="n"/>
      <c r="B393" s="21" t="n"/>
      <c r="C393" s="21" t="n"/>
      <c r="D393" s="21" t="n"/>
      <c r="E393" s="21" t="n"/>
      <c r="F393" s="22" t="n"/>
      <c r="G393" s="22" t="n"/>
      <c r="H393" s="21" t="n"/>
      <c r="I393" s="23" t="n"/>
      <c r="J393" s="23" t="n"/>
      <c r="K393" s="24" t="n"/>
      <c r="L393" s="25">
        <f>IF(ISNUMBER(J393),J393-IF(ISNUMBER(K393),K393,30),"")</f>
        <v/>
      </c>
      <c r="M393" s="26">
        <f>IF(J393="","",IF(ISNUMBER(J393),J393-TODAY(),"Check date"))</f>
        <v/>
      </c>
      <c r="N393" s="27">
        <f>IF(M393="","",IF(ISNUMBER(M393),IF(M393&lt;0,"Expired",IF(M393&lt;=30,"Due ≤30 days",IF(M393&lt;=90,"Due ≤90 days","OK"))),"Check date"))</f>
        <v/>
      </c>
      <c r="O393" s="21" t="n"/>
      <c r="P393" s="21" t="n"/>
      <c r="Q393" s="21" t="n"/>
      <c r="R393" s="21" t="n"/>
      <c r="S393" s="21" t="n"/>
    </row>
    <row r="394">
      <c r="A394" s="21" t="n"/>
      <c r="B394" s="21" t="n"/>
      <c r="C394" s="21" t="n"/>
      <c r="D394" s="21" t="n"/>
      <c r="E394" s="21" t="n"/>
      <c r="F394" s="22" t="n"/>
      <c r="G394" s="22" t="n"/>
      <c r="H394" s="21" t="n"/>
      <c r="I394" s="23" t="n"/>
      <c r="J394" s="23" t="n"/>
      <c r="K394" s="24" t="n"/>
      <c r="L394" s="25">
        <f>IF(ISNUMBER(J394),J394-IF(ISNUMBER(K394),K394,30),"")</f>
        <v/>
      </c>
      <c r="M394" s="26">
        <f>IF(J394="","",IF(ISNUMBER(J394),J394-TODAY(),"Check date"))</f>
        <v/>
      </c>
      <c r="N394" s="27">
        <f>IF(M394="","",IF(ISNUMBER(M394),IF(M394&lt;0,"Expired",IF(M394&lt;=30,"Due ≤30 days",IF(M394&lt;=90,"Due ≤90 days","OK"))),"Check date"))</f>
        <v/>
      </c>
      <c r="O394" s="21" t="n"/>
      <c r="P394" s="21" t="n"/>
      <c r="Q394" s="21" t="n"/>
      <c r="R394" s="21" t="n"/>
      <c r="S394" s="21" t="n"/>
    </row>
    <row r="395">
      <c r="A395" s="21" t="n"/>
      <c r="B395" s="21" t="n"/>
      <c r="C395" s="21" t="n"/>
      <c r="D395" s="21" t="n"/>
      <c r="E395" s="21" t="n"/>
      <c r="F395" s="22" t="n"/>
      <c r="G395" s="22" t="n"/>
      <c r="H395" s="21" t="n"/>
      <c r="I395" s="23" t="n"/>
      <c r="J395" s="23" t="n"/>
      <c r="K395" s="24" t="n"/>
      <c r="L395" s="25">
        <f>IF(ISNUMBER(J395),J395-IF(ISNUMBER(K395),K395,30),"")</f>
        <v/>
      </c>
      <c r="M395" s="26">
        <f>IF(J395="","",IF(ISNUMBER(J395),J395-TODAY(),"Check date"))</f>
        <v/>
      </c>
      <c r="N395" s="27">
        <f>IF(M395="","",IF(ISNUMBER(M395),IF(M395&lt;0,"Expired",IF(M395&lt;=30,"Due ≤30 days",IF(M395&lt;=90,"Due ≤90 days","OK"))),"Check date"))</f>
        <v/>
      </c>
      <c r="O395" s="21" t="n"/>
      <c r="P395" s="21" t="n"/>
      <c r="Q395" s="21" t="n"/>
      <c r="R395" s="21" t="n"/>
      <c r="S395" s="21" t="n"/>
    </row>
    <row r="396">
      <c r="A396" s="21" t="n"/>
      <c r="B396" s="21" t="n"/>
      <c r="C396" s="21" t="n"/>
      <c r="D396" s="21" t="n"/>
      <c r="E396" s="21" t="n"/>
      <c r="F396" s="22" t="n"/>
      <c r="G396" s="22" t="n"/>
      <c r="H396" s="21" t="n"/>
      <c r="I396" s="23" t="n"/>
      <c r="J396" s="23" t="n"/>
      <c r="K396" s="24" t="n"/>
      <c r="L396" s="25">
        <f>IF(ISNUMBER(J396),J396-IF(ISNUMBER(K396),K396,30),"")</f>
        <v/>
      </c>
      <c r="M396" s="26">
        <f>IF(J396="","",IF(ISNUMBER(J396),J396-TODAY(),"Check date"))</f>
        <v/>
      </c>
      <c r="N396" s="27">
        <f>IF(M396="","",IF(ISNUMBER(M396),IF(M396&lt;0,"Expired",IF(M396&lt;=30,"Due ≤30 days",IF(M396&lt;=90,"Due ≤90 days","OK"))),"Check date"))</f>
        <v/>
      </c>
      <c r="O396" s="21" t="n"/>
      <c r="P396" s="21" t="n"/>
      <c r="Q396" s="21" t="n"/>
      <c r="R396" s="21" t="n"/>
      <c r="S396" s="21" t="n"/>
    </row>
    <row r="397">
      <c r="A397" s="21" t="n"/>
      <c r="B397" s="21" t="n"/>
      <c r="C397" s="21" t="n"/>
      <c r="D397" s="21" t="n"/>
      <c r="E397" s="21" t="n"/>
      <c r="F397" s="22" t="n"/>
      <c r="G397" s="22" t="n"/>
      <c r="H397" s="21" t="n"/>
      <c r="I397" s="23" t="n"/>
      <c r="J397" s="23" t="n"/>
      <c r="K397" s="24" t="n"/>
      <c r="L397" s="25">
        <f>IF(ISNUMBER(J397),J397-IF(ISNUMBER(K397),K397,30),"")</f>
        <v/>
      </c>
      <c r="M397" s="26">
        <f>IF(J397="","",IF(ISNUMBER(J397),J397-TODAY(),"Check date"))</f>
        <v/>
      </c>
      <c r="N397" s="27">
        <f>IF(M397="","",IF(ISNUMBER(M397),IF(M397&lt;0,"Expired",IF(M397&lt;=30,"Due ≤30 days",IF(M397&lt;=90,"Due ≤90 days","OK"))),"Check date"))</f>
        <v/>
      </c>
      <c r="O397" s="21" t="n"/>
      <c r="P397" s="21" t="n"/>
      <c r="Q397" s="21" t="n"/>
      <c r="R397" s="21" t="n"/>
      <c r="S397" s="21" t="n"/>
    </row>
    <row r="398">
      <c r="A398" s="21" t="n"/>
      <c r="B398" s="21" t="n"/>
      <c r="C398" s="21" t="n"/>
      <c r="D398" s="21" t="n"/>
      <c r="E398" s="21" t="n"/>
      <c r="F398" s="22" t="n"/>
      <c r="G398" s="22" t="n"/>
      <c r="H398" s="21" t="n"/>
      <c r="I398" s="23" t="n"/>
      <c r="J398" s="23" t="n"/>
      <c r="K398" s="24" t="n"/>
      <c r="L398" s="25">
        <f>IF(ISNUMBER(J398),J398-IF(ISNUMBER(K398),K398,30),"")</f>
        <v/>
      </c>
      <c r="M398" s="26">
        <f>IF(J398="","",IF(ISNUMBER(J398),J398-TODAY(),"Check date"))</f>
        <v/>
      </c>
      <c r="N398" s="27">
        <f>IF(M398="","",IF(ISNUMBER(M398),IF(M398&lt;0,"Expired",IF(M398&lt;=30,"Due ≤30 days",IF(M398&lt;=90,"Due ≤90 days","OK"))),"Check date"))</f>
        <v/>
      </c>
      <c r="O398" s="21" t="n"/>
      <c r="P398" s="21" t="n"/>
      <c r="Q398" s="21" t="n"/>
      <c r="R398" s="21" t="n"/>
      <c r="S398" s="21" t="n"/>
    </row>
    <row r="399">
      <c r="A399" s="21" t="n"/>
      <c r="B399" s="21" t="n"/>
      <c r="C399" s="21" t="n"/>
      <c r="D399" s="21" t="n"/>
      <c r="E399" s="21" t="n"/>
      <c r="F399" s="22" t="n"/>
      <c r="G399" s="22" t="n"/>
      <c r="H399" s="21" t="n"/>
      <c r="I399" s="23" t="n"/>
      <c r="J399" s="23" t="n"/>
      <c r="K399" s="24" t="n"/>
      <c r="L399" s="25">
        <f>IF(ISNUMBER(J399),J399-IF(ISNUMBER(K399),K399,30),"")</f>
        <v/>
      </c>
      <c r="M399" s="26">
        <f>IF(J399="","",IF(ISNUMBER(J399),J399-TODAY(),"Check date"))</f>
        <v/>
      </c>
      <c r="N399" s="27">
        <f>IF(M399="","",IF(ISNUMBER(M399),IF(M399&lt;0,"Expired",IF(M399&lt;=30,"Due ≤30 days",IF(M399&lt;=90,"Due ≤90 days","OK"))),"Check date"))</f>
        <v/>
      </c>
      <c r="O399" s="21" t="n"/>
      <c r="P399" s="21" t="n"/>
      <c r="Q399" s="21" t="n"/>
      <c r="R399" s="21" t="n"/>
      <c r="S399" s="21" t="n"/>
    </row>
    <row r="400">
      <c r="A400" s="21" t="n"/>
      <c r="B400" s="21" t="n"/>
      <c r="C400" s="21" t="n"/>
      <c r="D400" s="21" t="n"/>
      <c r="E400" s="21" t="n"/>
      <c r="F400" s="22" t="n"/>
      <c r="G400" s="22" t="n"/>
      <c r="H400" s="21" t="n"/>
      <c r="I400" s="23" t="n"/>
      <c r="J400" s="23" t="n"/>
      <c r="K400" s="24" t="n"/>
      <c r="L400" s="25">
        <f>IF(ISNUMBER(J400),J400-IF(ISNUMBER(K400),K400,30),"")</f>
        <v/>
      </c>
      <c r="M400" s="26">
        <f>IF(J400="","",IF(ISNUMBER(J400),J400-TODAY(),"Check date"))</f>
        <v/>
      </c>
      <c r="N400" s="27">
        <f>IF(M400="","",IF(ISNUMBER(M400),IF(M400&lt;0,"Expired",IF(M400&lt;=30,"Due ≤30 days",IF(M400&lt;=90,"Due ≤90 days","OK"))),"Check date"))</f>
        <v/>
      </c>
      <c r="O400" s="21" t="n"/>
      <c r="P400" s="21" t="n"/>
      <c r="Q400" s="21" t="n"/>
      <c r="R400" s="21" t="n"/>
      <c r="S400" s="21" t="n"/>
    </row>
    <row r="401">
      <c r="A401" s="21" t="n"/>
      <c r="B401" s="21" t="n"/>
      <c r="C401" s="21" t="n"/>
      <c r="D401" s="21" t="n"/>
      <c r="E401" s="21" t="n"/>
      <c r="F401" s="22" t="n"/>
      <c r="G401" s="22" t="n"/>
      <c r="H401" s="21" t="n"/>
      <c r="I401" s="23" t="n"/>
      <c r="J401" s="23" t="n"/>
      <c r="K401" s="24" t="n"/>
      <c r="L401" s="25">
        <f>IF(ISNUMBER(J401),J401-IF(ISNUMBER(K401),K401,30),"")</f>
        <v/>
      </c>
      <c r="M401" s="26">
        <f>IF(J401="","",IF(ISNUMBER(J401),J401-TODAY(),"Check date"))</f>
        <v/>
      </c>
      <c r="N401" s="27">
        <f>IF(M401="","",IF(ISNUMBER(M401),IF(M401&lt;0,"Expired",IF(M401&lt;=30,"Due ≤30 days",IF(M401&lt;=90,"Due ≤90 days","OK"))),"Check date"))</f>
        <v/>
      </c>
      <c r="O401" s="21" t="n"/>
      <c r="P401" s="21" t="n"/>
      <c r="Q401" s="21" t="n"/>
      <c r="R401" s="21" t="n"/>
      <c r="S401" s="21" t="n"/>
    </row>
    <row r="402">
      <c r="A402" s="21" t="n"/>
      <c r="B402" s="21" t="n"/>
      <c r="C402" s="21" t="n"/>
      <c r="D402" s="21" t="n"/>
      <c r="E402" s="21" t="n"/>
      <c r="F402" s="22" t="n"/>
      <c r="G402" s="22" t="n"/>
      <c r="H402" s="21" t="n"/>
      <c r="I402" s="23" t="n"/>
      <c r="J402" s="23" t="n"/>
      <c r="K402" s="24" t="n"/>
      <c r="L402" s="25">
        <f>IF(ISNUMBER(J402),J402-IF(ISNUMBER(K402),K402,30),"")</f>
        <v/>
      </c>
      <c r="M402" s="26">
        <f>IF(J402="","",IF(ISNUMBER(J402),J402-TODAY(),"Check date"))</f>
        <v/>
      </c>
      <c r="N402" s="27">
        <f>IF(M402="","",IF(ISNUMBER(M402),IF(M402&lt;0,"Expired",IF(M402&lt;=30,"Due ≤30 days",IF(M402&lt;=90,"Due ≤90 days","OK"))),"Check date"))</f>
        <v/>
      </c>
      <c r="O402" s="21" t="n"/>
      <c r="P402" s="21" t="n"/>
      <c r="Q402" s="21" t="n"/>
      <c r="R402" s="21" t="n"/>
      <c r="S402" s="21" t="n"/>
    </row>
    <row r="403">
      <c r="A403" s="21" t="n"/>
      <c r="B403" s="21" t="n"/>
      <c r="C403" s="21" t="n"/>
      <c r="D403" s="21" t="n"/>
      <c r="E403" s="21" t="n"/>
      <c r="F403" s="22" t="n"/>
      <c r="G403" s="22" t="n"/>
      <c r="H403" s="21" t="n"/>
      <c r="I403" s="23" t="n"/>
      <c r="J403" s="23" t="n"/>
      <c r="K403" s="24" t="n"/>
      <c r="L403" s="25">
        <f>IF(ISNUMBER(J403),J403-IF(ISNUMBER(K403),K403,30),"")</f>
        <v/>
      </c>
      <c r="M403" s="26">
        <f>IF(J403="","",IF(ISNUMBER(J403),J403-TODAY(),"Check date"))</f>
        <v/>
      </c>
      <c r="N403" s="27">
        <f>IF(M403="","",IF(ISNUMBER(M403),IF(M403&lt;0,"Expired",IF(M403&lt;=30,"Due ≤30 days",IF(M403&lt;=90,"Due ≤90 days","OK"))),"Check date"))</f>
        <v/>
      </c>
      <c r="O403" s="21" t="n"/>
      <c r="P403" s="21" t="n"/>
      <c r="Q403" s="21" t="n"/>
      <c r="R403" s="21" t="n"/>
      <c r="S403" s="21" t="n"/>
    </row>
    <row r="404">
      <c r="A404" s="21" t="n"/>
      <c r="B404" s="21" t="n"/>
      <c r="C404" s="21" t="n"/>
      <c r="D404" s="21" t="n"/>
      <c r="E404" s="21" t="n"/>
      <c r="F404" s="22" t="n"/>
      <c r="G404" s="22" t="n"/>
      <c r="H404" s="21" t="n"/>
      <c r="I404" s="23" t="n"/>
      <c r="J404" s="23" t="n"/>
      <c r="K404" s="24" t="n"/>
      <c r="L404" s="25">
        <f>IF(ISNUMBER(J404),J404-IF(ISNUMBER(K404),K404,30),"")</f>
        <v/>
      </c>
      <c r="M404" s="26">
        <f>IF(J404="","",IF(ISNUMBER(J404),J404-TODAY(),"Check date"))</f>
        <v/>
      </c>
      <c r="N404" s="27">
        <f>IF(M404="","",IF(ISNUMBER(M404),IF(M404&lt;0,"Expired",IF(M404&lt;=30,"Due ≤30 days",IF(M404&lt;=90,"Due ≤90 days","OK"))),"Check date"))</f>
        <v/>
      </c>
      <c r="O404" s="21" t="n"/>
      <c r="P404" s="21" t="n"/>
      <c r="Q404" s="21" t="n"/>
      <c r="R404" s="21" t="n"/>
      <c r="S404" s="21" t="n"/>
    </row>
    <row r="405">
      <c r="A405" s="21" t="n"/>
      <c r="B405" s="21" t="n"/>
      <c r="C405" s="21" t="n"/>
      <c r="D405" s="21" t="n"/>
      <c r="E405" s="21" t="n"/>
      <c r="F405" s="22" t="n"/>
      <c r="G405" s="22" t="n"/>
      <c r="H405" s="21" t="n"/>
      <c r="I405" s="23" t="n"/>
      <c r="J405" s="23" t="n"/>
      <c r="K405" s="24" t="n"/>
      <c r="L405" s="25">
        <f>IF(ISNUMBER(J405),J405-IF(ISNUMBER(K405),K405,30),"")</f>
        <v/>
      </c>
      <c r="M405" s="26">
        <f>IF(J405="","",IF(ISNUMBER(J405),J405-TODAY(),"Check date"))</f>
        <v/>
      </c>
      <c r="N405" s="27">
        <f>IF(M405="","",IF(ISNUMBER(M405),IF(M405&lt;0,"Expired",IF(M405&lt;=30,"Due ≤30 days",IF(M405&lt;=90,"Due ≤90 days","OK"))),"Check date"))</f>
        <v/>
      </c>
      <c r="O405" s="21" t="n"/>
      <c r="P405" s="21" t="n"/>
      <c r="Q405" s="21" t="n"/>
      <c r="R405" s="21" t="n"/>
      <c r="S405" s="21" t="n"/>
    </row>
    <row r="406">
      <c r="A406" s="21" t="n"/>
      <c r="B406" s="21" t="n"/>
      <c r="C406" s="21" t="n"/>
      <c r="D406" s="21" t="n"/>
      <c r="E406" s="21" t="n"/>
      <c r="F406" s="22" t="n"/>
      <c r="G406" s="22" t="n"/>
      <c r="H406" s="21" t="n"/>
      <c r="I406" s="23" t="n"/>
      <c r="J406" s="23" t="n"/>
      <c r="K406" s="24" t="n"/>
      <c r="L406" s="25">
        <f>IF(ISNUMBER(J406),J406-IF(ISNUMBER(K406),K406,30),"")</f>
        <v/>
      </c>
      <c r="M406" s="26">
        <f>IF(J406="","",IF(ISNUMBER(J406),J406-TODAY(),"Check date"))</f>
        <v/>
      </c>
      <c r="N406" s="27">
        <f>IF(M406="","",IF(ISNUMBER(M406),IF(M406&lt;0,"Expired",IF(M406&lt;=30,"Due ≤30 days",IF(M406&lt;=90,"Due ≤90 days","OK"))),"Check date"))</f>
        <v/>
      </c>
      <c r="O406" s="21" t="n"/>
      <c r="P406" s="21" t="n"/>
      <c r="Q406" s="21" t="n"/>
      <c r="R406" s="21" t="n"/>
      <c r="S406" s="21" t="n"/>
    </row>
    <row r="407">
      <c r="A407" s="21" t="n"/>
      <c r="B407" s="21" t="n"/>
      <c r="C407" s="21" t="n"/>
      <c r="D407" s="21" t="n"/>
      <c r="E407" s="21" t="n"/>
      <c r="F407" s="22" t="n"/>
      <c r="G407" s="22" t="n"/>
      <c r="H407" s="21" t="n"/>
      <c r="I407" s="23" t="n"/>
      <c r="J407" s="23" t="n"/>
      <c r="K407" s="24" t="n"/>
      <c r="L407" s="25">
        <f>IF(ISNUMBER(J407),J407-IF(ISNUMBER(K407),K407,30),"")</f>
        <v/>
      </c>
      <c r="M407" s="26">
        <f>IF(J407="","",IF(ISNUMBER(J407),J407-TODAY(),"Check date"))</f>
        <v/>
      </c>
      <c r="N407" s="27">
        <f>IF(M407="","",IF(ISNUMBER(M407),IF(M407&lt;0,"Expired",IF(M407&lt;=30,"Due ≤30 days",IF(M407&lt;=90,"Due ≤90 days","OK"))),"Check date"))</f>
        <v/>
      </c>
      <c r="O407" s="21" t="n"/>
      <c r="P407" s="21" t="n"/>
      <c r="Q407" s="21" t="n"/>
      <c r="R407" s="21" t="n"/>
      <c r="S407" s="21" t="n"/>
    </row>
    <row r="408">
      <c r="A408" s="21" t="n"/>
      <c r="B408" s="21" t="n"/>
      <c r="C408" s="21" t="n"/>
      <c r="D408" s="21" t="n"/>
      <c r="E408" s="21" t="n"/>
      <c r="F408" s="22" t="n"/>
      <c r="G408" s="22" t="n"/>
      <c r="H408" s="21" t="n"/>
      <c r="I408" s="23" t="n"/>
      <c r="J408" s="23" t="n"/>
      <c r="K408" s="24" t="n"/>
      <c r="L408" s="25">
        <f>IF(ISNUMBER(J408),J408-IF(ISNUMBER(K408),K408,30),"")</f>
        <v/>
      </c>
      <c r="M408" s="26">
        <f>IF(J408="","",IF(ISNUMBER(J408),J408-TODAY(),"Check date"))</f>
        <v/>
      </c>
      <c r="N408" s="27">
        <f>IF(M408="","",IF(ISNUMBER(M408),IF(M408&lt;0,"Expired",IF(M408&lt;=30,"Due ≤30 days",IF(M408&lt;=90,"Due ≤90 days","OK"))),"Check date"))</f>
        <v/>
      </c>
      <c r="O408" s="21" t="n"/>
      <c r="P408" s="21" t="n"/>
      <c r="Q408" s="21" t="n"/>
      <c r="R408" s="21" t="n"/>
      <c r="S408" s="21" t="n"/>
    </row>
    <row r="409">
      <c r="A409" s="21" t="n"/>
      <c r="B409" s="21" t="n"/>
      <c r="C409" s="21" t="n"/>
      <c r="D409" s="21" t="n"/>
      <c r="E409" s="21" t="n"/>
      <c r="F409" s="22" t="n"/>
      <c r="G409" s="22" t="n"/>
      <c r="H409" s="21" t="n"/>
      <c r="I409" s="23" t="n"/>
      <c r="J409" s="23" t="n"/>
      <c r="K409" s="24" t="n"/>
      <c r="L409" s="25">
        <f>IF(ISNUMBER(J409),J409-IF(ISNUMBER(K409),K409,30),"")</f>
        <v/>
      </c>
      <c r="M409" s="26">
        <f>IF(J409="","",IF(ISNUMBER(J409),J409-TODAY(),"Check date"))</f>
        <v/>
      </c>
      <c r="N409" s="27">
        <f>IF(M409="","",IF(ISNUMBER(M409),IF(M409&lt;0,"Expired",IF(M409&lt;=30,"Due ≤30 days",IF(M409&lt;=90,"Due ≤90 days","OK"))),"Check date"))</f>
        <v/>
      </c>
      <c r="O409" s="21" t="n"/>
      <c r="P409" s="21" t="n"/>
      <c r="Q409" s="21" t="n"/>
      <c r="R409" s="21" t="n"/>
      <c r="S409" s="21" t="n"/>
    </row>
    <row r="410">
      <c r="A410" s="21" t="n"/>
      <c r="B410" s="21" t="n"/>
      <c r="C410" s="21" t="n"/>
      <c r="D410" s="21" t="n"/>
      <c r="E410" s="21" t="n"/>
      <c r="F410" s="22" t="n"/>
      <c r="G410" s="22" t="n"/>
      <c r="H410" s="21" t="n"/>
      <c r="I410" s="23" t="n"/>
      <c r="J410" s="23" t="n"/>
      <c r="K410" s="24" t="n"/>
      <c r="L410" s="25">
        <f>IF(ISNUMBER(J410),J410-IF(ISNUMBER(K410),K410,30),"")</f>
        <v/>
      </c>
      <c r="M410" s="26">
        <f>IF(J410="","",IF(ISNUMBER(J410),J410-TODAY(),"Check date"))</f>
        <v/>
      </c>
      <c r="N410" s="27">
        <f>IF(M410="","",IF(ISNUMBER(M410),IF(M410&lt;0,"Expired",IF(M410&lt;=30,"Due ≤30 days",IF(M410&lt;=90,"Due ≤90 days","OK"))),"Check date"))</f>
        <v/>
      </c>
      <c r="O410" s="21" t="n"/>
      <c r="P410" s="21" t="n"/>
      <c r="Q410" s="21" t="n"/>
      <c r="R410" s="21" t="n"/>
      <c r="S410" s="21" t="n"/>
    </row>
    <row r="411">
      <c r="A411" s="21" t="n"/>
      <c r="B411" s="21" t="n"/>
      <c r="C411" s="21" t="n"/>
      <c r="D411" s="21" t="n"/>
      <c r="E411" s="21" t="n"/>
      <c r="F411" s="22" t="n"/>
      <c r="G411" s="22" t="n"/>
      <c r="H411" s="21" t="n"/>
      <c r="I411" s="23" t="n"/>
      <c r="J411" s="23" t="n"/>
      <c r="K411" s="24" t="n"/>
      <c r="L411" s="25">
        <f>IF(ISNUMBER(J411),J411-IF(ISNUMBER(K411),K411,30),"")</f>
        <v/>
      </c>
      <c r="M411" s="26">
        <f>IF(J411="","",IF(ISNUMBER(J411),J411-TODAY(),"Check date"))</f>
        <v/>
      </c>
      <c r="N411" s="27">
        <f>IF(M411="","",IF(ISNUMBER(M411),IF(M411&lt;0,"Expired",IF(M411&lt;=30,"Due ≤30 days",IF(M411&lt;=90,"Due ≤90 days","OK"))),"Check date"))</f>
        <v/>
      </c>
      <c r="O411" s="21" t="n"/>
      <c r="P411" s="21" t="n"/>
      <c r="Q411" s="21" t="n"/>
      <c r="R411" s="21" t="n"/>
      <c r="S411" s="21" t="n"/>
    </row>
    <row r="412">
      <c r="A412" s="21" t="n"/>
      <c r="B412" s="21" t="n"/>
      <c r="C412" s="21" t="n"/>
      <c r="D412" s="21" t="n"/>
      <c r="E412" s="21" t="n"/>
      <c r="F412" s="22" t="n"/>
      <c r="G412" s="22" t="n"/>
      <c r="H412" s="21" t="n"/>
      <c r="I412" s="23" t="n"/>
      <c r="J412" s="23" t="n"/>
      <c r="K412" s="24" t="n"/>
      <c r="L412" s="25">
        <f>IF(ISNUMBER(J412),J412-IF(ISNUMBER(K412),K412,30),"")</f>
        <v/>
      </c>
      <c r="M412" s="26">
        <f>IF(J412="","",IF(ISNUMBER(J412),J412-TODAY(),"Check date"))</f>
        <v/>
      </c>
      <c r="N412" s="27">
        <f>IF(M412="","",IF(ISNUMBER(M412),IF(M412&lt;0,"Expired",IF(M412&lt;=30,"Due ≤30 days",IF(M412&lt;=90,"Due ≤90 days","OK"))),"Check date"))</f>
        <v/>
      </c>
      <c r="O412" s="21" t="n"/>
      <c r="P412" s="21" t="n"/>
      <c r="Q412" s="21" t="n"/>
      <c r="R412" s="21" t="n"/>
      <c r="S412" s="21" t="n"/>
    </row>
    <row r="413">
      <c r="A413" s="21" t="n"/>
      <c r="B413" s="21" t="n"/>
      <c r="C413" s="21" t="n"/>
      <c r="D413" s="21" t="n"/>
      <c r="E413" s="21" t="n"/>
      <c r="F413" s="22" t="n"/>
      <c r="G413" s="22" t="n"/>
      <c r="H413" s="21" t="n"/>
      <c r="I413" s="23" t="n"/>
      <c r="J413" s="23" t="n"/>
      <c r="K413" s="24" t="n"/>
      <c r="L413" s="25">
        <f>IF(ISNUMBER(J413),J413-IF(ISNUMBER(K413),K413,30),"")</f>
        <v/>
      </c>
      <c r="M413" s="26">
        <f>IF(J413="","",IF(ISNUMBER(J413),J413-TODAY(),"Check date"))</f>
        <v/>
      </c>
      <c r="N413" s="27">
        <f>IF(M413="","",IF(ISNUMBER(M413),IF(M413&lt;0,"Expired",IF(M413&lt;=30,"Due ≤30 days",IF(M413&lt;=90,"Due ≤90 days","OK"))),"Check date"))</f>
        <v/>
      </c>
      <c r="O413" s="21" t="n"/>
      <c r="P413" s="21" t="n"/>
      <c r="Q413" s="21" t="n"/>
      <c r="R413" s="21" t="n"/>
      <c r="S413" s="21" t="n"/>
    </row>
    <row r="414">
      <c r="A414" s="21" t="n"/>
      <c r="B414" s="21" t="n"/>
      <c r="C414" s="21" t="n"/>
      <c r="D414" s="21" t="n"/>
      <c r="E414" s="21" t="n"/>
      <c r="F414" s="22" t="n"/>
      <c r="G414" s="22" t="n"/>
      <c r="H414" s="21" t="n"/>
      <c r="I414" s="23" t="n"/>
      <c r="J414" s="23" t="n"/>
      <c r="K414" s="24" t="n"/>
      <c r="L414" s="25">
        <f>IF(ISNUMBER(J414),J414-IF(ISNUMBER(K414),K414,30),"")</f>
        <v/>
      </c>
      <c r="M414" s="26">
        <f>IF(J414="","",IF(ISNUMBER(J414),J414-TODAY(),"Check date"))</f>
        <v/>
      </c>
      <c r="N414" s="27">
        <f>IF(M414="","",IF(ISNUMBER(M414),IF(M414&lt;0,"Expired",IF(M414&lt;=30,"Due ≤30 days",IF(M414&lt;=90,"Due ≤90 days","OK"))),"Check date"))</f>
        <v/>
      </c>
      <c r="O414" s="21" t="n"/>
      <c r="P414" s="21" t="n"/>
      <c r="Q414" s="21" t="n"/>
      <c r="R414" s="21" t="n"/>
      <c r="S414" s="21" t="n"/>
    </row>
    <row r="415">
      <c r="A415" s="21" t="n"/>
      <c r="B415" s="21" t="n"/>
      <c r="C415" s="21" t="n"/>
      <c r="D415" s="21" t="n"/>
      <c r="E415" s="21" t="n"/>
      <c r="F415" s="22" t="n"/>
      <c r="G415" s="22" t="n"/>
      <c r="H415" s="21" t="n"/>
      <c r="I415" s="23" t="n"/>
      <c r="J415" s="23" t="n"/>
      <c r="K415" s="24" t="n"/>
      <c r="L415" s="25">
        <f>IF(ISNUMBER(J415),J415-IF(ISNUMBER(K415),K415,30),"")</f>
        <v/>
      </c>
      <c r="M415" s="26">
        <f>IF(J415="","",IF(ISNUMBER(J415),J415-TODAY(),"Check date"))</f>
        <v/>
      </c>
      <c r="N415" s="27">
        <f>IF(M415="","",IF(ISNUMBER(M415),IF(M415&lt;0,"Expired",IF(M415&lt;=30,"Due ≤30 days",IF(M415&lt;=90,"Due ≤90 days","OK"))),"Check date"))</f>
        <v/>
      </c>
      <c r="O415" s="21" t="n"/>
      <c r="P415" s="21" t="n"/>
      <c r="Q415" s="21" t="n"/>
      <c r="R415" s="21" t="n"/>
      <c r="S415" s="21" t="n"/>
    </row>
    <row r="416">
      <c r="A416" s="21" t="n"/>
      <c r="B416" s="21" t="n"/>
      <c r="C416" s="21" t="n"/>
      <c r="D416" s="21" t="n"/>
      <c r="E416" s="21" t="n"/>
      <c r="F416" s="22" t="n"/>
      <c r="G416" s="22" t="n"/>
      <c r="H416" s="21" t="n"/>
      <c r="I416" s="23" t="n"/>
      <c r="J416" s="23" t="n"/>
      <c r="K416" s="24" t="n"/>
      <c r="L416" s="25">
        <f>IF(ISNUMBER(J416),J416-IF(ISNUMBER(K416),K416,30),"")</f>
        <v/>
      </c>
      <c r="M416" s="26">
        <f>IF(J416="","",IF(ISNUMBER(J416),J416-TODAY(),"Check date"))</f>
        <v/>
      </c>
      <c r="N416" s="27">
        <f>IF(M416="","",IF(ISNUMBER(M416),IF(M416&lt;0,"Expired",IF(M416&lt;=30,"Due ≤30 days",IF(M416&lt;=90,"Due ≤90 days","OK"))),"Check date"))</f>
        <v/>
      </c>
      <c r="O416" s="21" t="n"/>
      <c r="P416" s="21" t="n"/>
      <c r="Q416" s="21" t="n"/>
      <c r="R416" s="21" t="n"/>
      <c r="S416" s="21" t="n"/>
    </row>
    <row r="417">
      <c r="A417" s="21" t="n"/>
      <c r="B417" s="21" t="n"/>
      <c r="C417" s="21" t="n"/>
      <c r="D417" s="21" t="n"/>
      <c r="E417" s="21" t="n"/>
      <c r="F417" s="22" t="n"/>
      <c r="G417" s="22" t="n"/>
      <c r="H417" s="21" t="n"/>
      <c r="I417" s="23" t="n"/>
      <c r="J417" s="23" t="n"/>
      <c r="K417" s="24" t="n"/>
      <c r="L417" s="25">
        <f>IF(ISNUMBER(J417),J417-IF(ISNUMBER(K417),K417,30),"")</f>
        <v/>
      </c>
      <c r="M417" s="26">
        <f>IF(J417="","",IF(ISNUMBER(J417),J417-TODAY(),"Check date"))</f>
        <v/>
      </c>
      <c r="N417" s="27">
        <f>IF(M417="","",IF(ISNUMBER(M417),IF(M417&lt;0,"Expired",IF(M417&lt;=30,"Due ≤30 days",IF(M417&lt;=90,"Due ≤90 days","OK"))),"Check date"))</f>
        <v/>
      </c>
      <c r="O417" s="21" t="n"/>
      <c r="P417" s="21" t="n"/>
      <c r="Q417" s="21" t="n"/>
      <c r="R417" s="21" t="n"/>
      <c r="S417" s="21" t="n"/>
    </row>
    <row r="418">
      <c r="A418" s="21" t="n"/>
      <c r="B418" s="21" t="n"/>
      <c r="C418" s="21" t="n"/>
      <c r="D418" s="21" t="n"/>
      <c r="E418" s="21" t="n"/>
      <c r="F418" s="22" t="n"/>
      <c r="G418" s="22" t="n"/>
      <c r="H418" s="21" t="n"/>
      <c r="I418" s="23" t="n"/>
      <c r="J418" s="23" t="n"/>
      <c r="K418" s="24" t="n"/>
      <c r="L418" s="25">
        <f>IF(ISNUMBER(J418),J418-IF(ISNUMBER(K418),K418,30),"")</f>
        <v/>
      </c>
      <c r="M418" s="26">
        <f>IF(J418="","",IF(ISNUMBER(J418),J418-TODAY(),"Check date"))</f>
        <v/>
      </c>
      <c r="N418" s="27">
        <f>IF(M418="","",IF(ISNUMBER(M418),IF(M418&lt;0,"Expired",IF(M418&lt;=30,"Due ≤30 days",IF(M418&lt;=90,"Due ≤90 days","OK"))),"Check date"))</f>
        <v/>
      </c>
      <c r="O418" s="21" t="n"/>
      <c r="P418" s="21" t="n"/>
      <c r="Q418" s="21" t="n"/>
      <c r="R418" s="21" t="n"/>
      <c r="S418" s="21" t="n"/>
    </row>
    <row r="419">
      <c r="A419" s="21" t="n"/>
      <c r="B419" s="21" t="n"/>
      <c r="C419" s="21" t="n"/>
      <c r="D419" s="21" t="n"/>
      <c r="E419" s="21" t="n"/>
      <c r="F419" s="22" t="n"/>
      <c r="G419" s="22" t="n"/>
      <c r="H419" s="21" t="n"/>
      <c r="I419" s="23" t="n"/>
      <c r="J419" s="23" t="n"/>
      <c r="K419" s="24" t="n"/>
      <c r="L419" s="25">
        <f>IF(ISNUMBER(J419),J419-IF(ISNUMBER(K419),K419,30),"")</f>
        <v/>
      </c>
      <c r="M419" s="26">
        <f>IF(J419="","",IF(ISNUMBER(J419),J419-TODAY(),"Check date"))</f>
        <v/>
      </c>
      <c r="N419" s="27">
        <f>IF(M419="","",IF(ISNUMBER(M419),IF(M419&lt;0,"Expired",IF(M419&lt;=30,"Due ≤30 days",IF(M419&lt;=90,"Due ≤90 days","OK"))),"Check date"))</f>
        <v/>
      </c>
      <c r="O419" s="21" t="n"/>
      <c r="P419" s="21" t="n"/>
      <c r="Q419" s="21" t="n"/>
      <c r="R419" s="21" t="n"/>
      <c r="S419" s="21" t="n"/>
    </row>
    <row r="420">
      <c r="A420" s="21" t="n"/>
      <c r="B420" s="21" t="n"/>
      <c r="C420" s="21" t="n"/>
      <c r="D420" s="21" t="n"/>
      <c r="E420" s="21" t="n"/>
      <c r="F420" s="22" t="n"/>
      <c r="G420" s="22" t="n"/>
      <c r="H420" s="21" t="n"/>
      <c r="I420" s="23" t="n"/>
      <c r="J420" s="23" t="n"/>
      <c r="K420" s="24" t="n"/>
      <c r="L420" s="25">
        <f>IF(ISNUMBER(J420),J420-IF(ISNUMBER(K420),K420,30),"")</f>
        <v/>
      </c>
      <c r="M420" s="26">
        <f>IF(J420="","",IF(ISNUMBER(J420),J420-TODAY(),"Check date"))</f>
        <v/>
      </c>
      <c r="N420" s="27">
        <f>IF(M420="","",IF(ISNUMBER(M420),IF(M420&lt;0,"Expired",IF(M420&lt;=30,"Due ≤30 days",IF(M420&lt;=90,"Due ≤90 days","OK"))),"Check date"))</f>
        <v/>
      </c>
      <c r="O420" s="21" t="n"/>
      <c r="P420" s="21" t="n"/>
      <c r="Q420" s="21" t="n"/>
      <c r="R420" s="21" t="n"/>
      <c r="S420" s="21" t="n"/>
    </row>
    <row r="421">
      <c r="A421" s="21" t="n"/>
      <c r="B421" s="21" t="n"/>
      <c r="C421" s="21" t="n"/>
      <c r="D421" s="21" t="n"/>
      <c r="E421" s="21" t="n"/>
      <c r="F421" s="22" t="n"/>
      <c r="G421" s="22" t="n"/>
      <c r="H421" s="21" t="n"/>
      <c r="I421" s="23" t="n"/>
      <c r="J421" s="23" t="n"/>
      <c r="K421" s="24" t="n"/>
      <c r="L421" s="25">
        <f>IF(ISNUMBER(J421),J421-IF(ISNUMBER(K421),K421,30),"")</f>
        <v/>
      </c>
      <c r="M421" s="26">
        <f>IF(J421="","",IF(ISNUMBER(J421),J421-TODAY(),"Check date"))</f>
        <v/>
      </c>
      <c r="N421" s="27">
        <f>IF(M421="","",IF(ISNUMBER(M421),IF(M421&lt;0,"Expired",IF(M421&lt;=30,"Due ≤30 days",IF(M421&lt;=90,"Due ≤90 days","OK"))),"Check date"))</f>
        <v/>
      </c>
      <c r="O421" s="21" t="n"/>
      <c r="P421" s="21" t="n"/>
      <c r="Q421" s="21" t="n"/>
      <c r="R421" s="21" t="n"/>
      <c r="S421" s="21" t="n"/>
    </row>
    <row r="422">
      <c r="A422" s="21" t="n"/>
      <c r="B422" s="21" t="n"/>
      <c r="C422" s="21" t="n"/>
      <c r="D422" s="21" t="n"/>
      <c r="E422" s="21" t="n"/>
      <c r="F422" s="22" t="n"/>
      <c r="G422" s="22" t="n"/>
      <c r="H422" s="21" t="n"/>
      <c r="I422" s="23" t="n"/>
      <c r="J422" s="23" t="n"/>
      <c r="K422" s="24" t="n"/>
      <c r="L422" s="25">
        <f>IF(ISNUMBER(J422),J422-IF(ISNUMBER(K422),K422,30),"")</f>
        <v/>
      </c>
      <c r="M422" s="26">
        <f>IF(J422="","",IF(ISNUMBER(J422),J422-TODAY(),"Check date"))</f>
        <v/>
      </c>
      <c r="N422" s="27">
        <f>IF(M422="","",IF(ISNUMBER(M422),IF(M422&lt;0,"Expired",IF(M422&lt;=30,"Due ≤30 days",IF(M422&lt;=90,"Due ≤90 days","OK"))),"Check date"))</f>
        <v/>
      </c>
      <c r="O422" s="21" t="n"/>
      <c r="P422" s="21" t="n"/>
      <c r="Q422" s="21" t="n"/>
      <c r="R422" s="21" t="n"/>
      <c r="S422" s="21" t="n"/>
    </row>
    <row r="423">
      <c r="A423" s="21" t="n"/>
      <c r="B423" s="21" t="n"/>
      <c r="C423" s="21" t="n"/>
      <c r="D423" s="21" t="n"/>
      <c r="E423" s="21" t="n"/>
      <c r="F423" s="22" t="n"/>
      <c r="G423" s="22" t="n"/>
      <c r="H423" s="21" t="n"/>
      <c r="I423" s="23" t="n"/>
      <c r="J423" s="23" t="n"/>
      <c r="K423" s="24" t="n"/>
      <c r="L423" s="25">
        <f>IF(ISNUMBER(J423),J423-IF(ISNUMBER(K423),K423,30),"")</f>
        <v/>
      </c>
      <c r="M423" s="26">
        <f>IF(J423="","",IF(ISNUMBER(J423),J423-TODAY(),"Check date"))</f>
        <v/>
      </c>
      <c r="N423" s="27">
        <f>IF(M423="","",IF(ISNUMBER(M423),IF(M423&lt;0,"Expired",IF(M423&lt;=30,"Due ≤30 days",IF(M423&lt;=90,"Due ≤90 days","OK"))),"Check date"))</f>
        <v/>
      </c>
      <c r="O423" s="21" t="n"/>
      <c r="P423" s="21" t="n"/>
      <c r="Q423" s="21" t="n"/>
      <c r="R423" s="21" t="n"/>
      <c r="S423" s="21" t="n"/>
    </row>
    <row r="424">
      <c r="A424" s="21" t="n"/>
      <c r="B424" s="21" t="n"/>
      <c r="C424" s="21" t="n"/>
      <c r="D424" s="21" t="n"/>
      <c r="E424" s="21" t="n"/>
      <c r="F424" s="22" t="n"/>
      <c r="G424" s="22" t="n"/>
      <c r="H424" s="21" t="n"/>
      <c r="I424" s="23" t="n"/>
      <c r="J424" s="23" t="n"/>
      <c r="K424" s="24" t="n"/>
      <c r="L424" s="25">
        <f>IF(ISNUMBER(J424),J424-IF(ISNUMBER(K424),K424,30),"")</f>
        <v/>
      </c>
      <c r="M424" s="26">
        <f>IF(J424="","",IF(ISNUMBER(J424),J424-TODAY(),"Check date"))</f>
        <v/>
      </c>
      <c r="N424" s="27">
        <f>IF(M424="","",IF(ISNUMBER(M424),IF(M424&lt;0,"Expired",IF(M424&lt;=30,"Due ≤30 days",IF(M424&lt;=90,"Due ≤90 days","OK"))),"Check date"))</f>
        <v/>
      </c>
      <c r="O424" s="21" t="n"/>
      <c r="P424" s="21" t="n"/>
      <c r="Q424" s="21" t="n"/>
      <c r="R424" s="21" t="n"/>
      <c r="S424" s="21" t="n"/>
    </row>
    <row r="425">
      <c r="A425" s="21" t="n"/>
      <c r="B425" s="21" t="n"/>
      <c r="C425" s="21" t="n"/>
      <c r="D425" s="21" t="n"/>
      <c r="E425" s="21" t="n"/>
      <c r="F425" s="22" t="n"/>
      <c r="G425" s="22" t="n"/>
      <c r="H425" s="21" t="n"/>
      <c r="I425" s="23" t="n"/>
      <c r="J425" s="23" t="n"/>
      <c r="K425" s="24" t="n"/>
      <c r="L425" s="25">
        <f>IF(ISNUMBER(J425),J425-IF(ISNUMBER(K425),K425,30),"")</f>
        <v/>
      </c>
      <c r="M425" s="26">
        <f>IF(J425="","",IF(ISNUMBER(J425),J425-TODAY(),"Check date"))</f>
        <v/>
      </c>
      <c r="N425" s="27">
        <f>IF(M425="","",IF(ISNUMBER(M425),IF(M425&lt;0,"Expired",IF(M425&lt;=30,"Due ≤30 days",IF(M425&lt;=90,"Due ≤90 days","OK"))),"Check date"))</f>
        <v/>
      </c>
      <c r="O425" s="21" t="n"/>
      <c r="P425" s="21" t="n"/>
      <c r="Q425" s="21" t="n"/>
      <c r="R425" s="21" t="n"/>
      <c r="S425" s="21" t="n"/>
    </row>
    <row r="426">
      <c r="A426" s="21" t="n"/>
      <c r="B426" s="21" t="n"/>
      <c r="C426" s="21" t="n"/>
      <c r="D426" s="21" t="n"/>
      <c r="E426" s="21" t="n"/>
      <c r="F426" s="22" t="n"/>
      <c r="G426" s="22" t="n"/>
      <c r="H426" s="21" t="n"/>
      <c r="I426" s="23" t="n"/>
      <c r="J426" s="23" t="n"/>
      <c r="K426" s="24" t="n"/>
      <c r="L426" s="25">
        <f>IF(ISNUMBER(J426),J426-IF(ISNUMBER(K426),K426,30),"")</f>
        <v/>
      </c>
      <c r="M426" s="26">
        <f>IF(J426="","",IF(ISNUMBER(J426),J426-TODAY(),"Check date"))</f>
        <v/>
      </c>
      <c r="N426" s="27">
        <f>IF(M426="","",IF(ISNUMBER(M426),IF(M426&lt;0,"Expired",IF(M426&lt;=30,"Due ≤30 days",IF(M426&lt;=90,"Due ≤90 days","OK"))),"Check date"))</f>
        <v/>
      </c>
      <c r="O426" s="21" t="n"/>
      <c r="P426" s="21" t="n"/>
      <c r="Q426" s="21" t="n"/>
      <c r="R426" s="21" t="n"/>
      <c r="S426" s="21" t="n"/>
    </row>
    <row r="427">
      <c r="A427" s="21" t="n"/>
      <c r="B427" s="21" t="n"/>
      <c r="C427" s="21" t="n"/>
      <c r="D427" s="21" t="n"/>
      <c r="E427" s="21" t="n"/>
      <c r="F427" s="22" t="n"/>
      <c r="G427" s="22" t="n"/>
      <c r="H427" s="21" t="n"/>
      <c r="I427" s="23" t="n"/>
      <c r="J427" s="23" t="n"/>
      <c r="K427" s="24" t="n"/>
      <c r="L427" s="25">
        <f>IF(ISNUMBER(J427),J427-IF(ISNUMBER(K427),K427,30),"")</f>
        <v/>
      </c>
      <c r="M427" s="26">
        <f>IF(J427="","",IF(ISNUMBER(J427),J427-TODAY(),"Check date"))</f>
        <v/>
      </c>
      <c r="N427" s="27">
        <f>IF(M427="","",IF(ISNUMBER(M427),IF(M427&lt;0,"Expired",IF(M427&lt;=30,"Due ≤30 days",IF(M427&lt;=90,"Due ≤90 days","OK"))),"Check date"))</f>
        <v/>
      </c>
      <c r="O427" s="21" t="n"/>
      <c r="P427" s="21" t="n"/>
      <c r="Q427" s="21" t="n"/>
      <c r="R427" s="21" t="n"/>
      <c r="S427" s="21" t="n"/>
    </row>
    <row r="428">
      <c r="A428" s="21" t="n"/>
      <c r="B428" s="21" t="n"/>
      <c r="C428" s="21" t="n"/>
      <c r="D428" s="21" t="n"/>
      <c r="E428" s="21" t="n"/>
      <c r="F428" s="22" t="n"/>
      <c r="G428" s="22" t="n"/>
      <c r="H428" s="21" t="n"/>
      <c r="I428" s="23" t="n"/>
      <c r="J428" s="23" t="n"/>
      <c r="K428" s="24" t="n"/>
      <c r="L428" s="25">
        <f>IF(ISNUMBER(J428),J428-IF(ISNUMBER(K428),K428,30),"")</f>
        <v/>
      </c>
      <c r="M428" s="26">
        <f>IF(J428="","",IF(ISNUMBER(J428),J428-TODAY(),"Check date"))</f>
        <v/>
      </c>
      <c r="N428" s="27">
        <f>IF(M428="","",IF(ISNUMBER(M428),IF(M428&lt;0,"Expired",IF(M428&lt;=30,"Due ≤30 days",IF(M428&lt;=90,"Due ≤90 days","OK"))),"Check date"))</f>
        <v/>
      </c>
      <c r="O428" s="21" t="n"/>
      <c r="P428" s="21" t="n"/>
      <c r="Q428" s="21" t="n"/>
      <c r="R428" s="21" t="n"/>
      <c r="S428" s="21" t="n"/>
    </row>
    <row r="429">
      <c r="A429" s="21" t="n"/>
      <c r="B429" s="21" t="n"/>
      <c r="C429" s="21" t="n"/>
      <c r="D429" s="21" t="n"/>
      <c r="E429" s="21" t="n"/>
      <c r="F429" s="22" t="n"/>
      <c r="G429" s="22" t="n"/>
      <c r="H429" s="21" t="n"/>
      <c r="I429" s="23" t="n"/>
      <c r="J429" s="23" t="n"/>
      <c r="K429" s="24" t="n"/>
      <c r="L429" s="25">
        <f>IF(ISNUMBER(J429),J429-IF(ISNUMBER(K429),K429,30),"")</f>
        <v/>
      </c>
      <c r="M429" s="26">
        <f>IF(J429="","",IF(ISNUMBER(J429),J429-TODAY(),"Check date"))</f>
        <v/>
      </c>
      <c r="N429" s="27">
        <f>IF(M429="","",IF(ISNUMBER(M429),IF(M429&lt;0,"Expired",IF(M429&lt;=30,"Due ≤30 days",IF(M429&lt;=90,"Due ≤90 days","OK"))),"Check date"))</f>
        <v/>
      </c>
      <c r="O429" s="21" t="n"/>
      <c r="P429" s="21" t="n"/>
      <c r="Q429" s="21" t="n"/>
      <c r="R429" s="21" t="n"/>
      <c r="S429" s="21" t="n"/>
    </row>
    <row r="430">
      <c r="A430" s="21" t="n"/>
      <c r="B430" s="21" t="n"/>
      <c r="C430" s="21" t="n"/>
      <c r="D430" s="21" t="n"/>
      <c r="E430" s="21" t="n"/>
      <c r="F430" s="22" t="n"/>
      <c r="G430" s="22" t="n"/>
      <c r="H430" s="21" t="n"/>
      <c r="I430" s="23" t="n"/>
      <c r="J430" s="23" t="n"/>
      <c r="K430" s="24" t="n"/>
      <c r="L430" s="25">
        <f>IF(ISNUMBER(J430),J430-IF(ISNUMBER(K430),K430,30),"")</f>
        <v/>
      </c>
      <c r="M430" s="26">
        <f>IF(J430="","",IF(ISNUMBER(J430),J430-TODAY(),"Check date"))</f>
        <v/>
      </c>
      <c r="N430" s="27">
        <f>IF(M430="","",IF(ISNUMBER(M430),IF(M430&lt;0,"Expired",IF(M430&lt;=30,"Due ≤30 days",IF(M430&lt;=90,"Due ≤90 days","OK"))),"Check date"))</f>
        <v/>
      </c>
      <c r="O430" s="21" t="n"/>
      <c r="P430" s="21" t="n"/>
      <c r="Q430" s="21" t="n"/>
      <c r="R430" s="21" t="n"/>
      <c r="S430" s="21" t="n"/>
    </row>
    <row r="431">
      <c r="A431" s="21" t="n"/>
      <c r="B431" s="21" t="n"/>
      <c r="C431" s="21" t="n"/>
      <c r="D431" s="21" t="n"/>
      <c r="E431" s="21" t="n"/>
      <c r="F431" s="22" t="n"/>
      <c r="G431" s="22" t="n"/>
      <c r="H431" s="21" t="n"/>
      <c r="I431" s="23" t="n"/>
      <c r="J431" s="23" t="n"/>
      <c r="K431" s="24" t="n"/>
      <c r="L431" s="25">
        <f>IF(ISNUMBER(J431),J431-IF(ISNUMBER(K431),K431,30),"")</f>
        <v/>
      </c>
      <c r="M431" s="26">
        <f>IF(J431="","",IF(ISNUMBER(J431),J431-TODAY(),"Check date"))</f>
        <v/>
      </c>
      <c r="N431" s="27">
        <f>IF(M431="","",IF(ISNUMBER(M431),IF(M431&lt;0,"Expired",IF(M431&lt;=30,"Due ≤30 days",IF(M431&lt;=90,"Due ≤90 days","OK"))),"Check date"))</f>
        <v/>
      </c>
      <c r="O431" s="21" t="n"/>
      <c r="P431" s="21" t="n"/>
      <c r="Q431" s="21" t="n"/>
      <c r="R431" s="21" t="n"/>
      <c r="S431" s="21" t="n"/>
    </row>
    <row r="432">
      <c r="A432" s="21" t="n"/>
      <c r="B432" s="21" t="n"/>
      <c r="C432" s="21" t="n"/>
      <c r="D432" s="21" t="n"/>
      <c r="E432" s="21" t="n"/>
      <c r="F432" s="22" t="n"/>
      <c r="G432" s="22" t="n"/>
      <c r="H432" s="21" t="n"/>
      <c r="I432" s="23" t="n"/>
      <c r="J432" s="23" t="n"/>
      <c r="K432" s="24" t="n"/>
      <c r="L432" s="25">
        <f>IF(ISNUMBER(J432),J432-IF(ISNUMBER(K432),K432,30),"")</f>
        <v/>
      </c>
      <c r="M432" s="26">
        <f>IF(J432="","",IF(ISNUMBER(J432),J432-TODAY(),"Check date"))</f>
        <v/>
      </c>
      <c r="N432" s="27">
        <f>IF(M432="","",IF(ISNUMBER(M432),IF(M432&lt;0,"Expired",IF(M432&lt;=30,"Due ≤30 days",IF(M432&lt;=90,"Due ≤90 days","OK"))),"Check date"))</f>
        <v/>
      </c>
      <c r="O432" s="21" t="n"/>
      <c r="P432" s="21" t="n"/>
      <c r="Q432" s="21" t="n"/>
      <c r="R432" s="21" t="n"/>
      <c r="S432" s="21" t="n"/>
    </row>
    <row r="433">
      <c r="A433" s="21" t="n"/>
      <c r="B433" s="21" t="n"/>
      <c r="C433" s="21" t="n"/>
      <c r="D433" s="21" t="n"/>
      <c r="E433" s="21" t="n"/>
      <c r="F433" s="22" t="n"/>
      <c r="G433" s="22" t="n"/>
      <c r="H433" s="21" t="n"/>
      <c r="I433" s="23" t="n"/>
      <c r="J433" s="23" t="n"/>
      <c r="K433" s="24" t="n"/>
      <c r="L433" s="25">
        <f>IF(ISNUMBER(J433),J433-IF(ISNUMBER(K433),K433,30),"")</f>
        <v/>
      </c>
      <c r="M433" s="26">
        <f>IF(J433="","",IF(ISNUMBER(J433),J433-TODAY(),"Check date"))</f>
        <v/>
      </c>
      <c r="N433" s="27">
        <f>IF(M433="","",IF(ISNUMBER(M433),IF(M433&lt;0,"Expired",IF(M433&lt;=30,"Due ≤30 days",IF(M433&lt;=90,"Due ≤90 days","OK"))),"Check date"))</f>
        <v/>
      </c>
      <c r="O433" s="21" t="n"/>
      <c r="P433" s="21" t="n"/>
      <c r="Q433" s="21" t="n"/>
      <c r="R433" s="21" t="n"/>
      <c r="S433" s="21" t="n"/>
    </row>
    <row r="434">
      <c r="A434" s="21" t="n"/>
      <c r="B434" s="21" t="n"/>
      <c r="C434" s="21" t="n"/>
      <c r="D434" s="21" t="n"/>
      <c r="E434" s="21" t="n"/>
      <c r="F434" s="22" t="n"/>
      <c r="G434" s="22" t="n"/>
      <c r="H434" s="21" t="n"/>
      <c r="I434" s="23" t="n"/>
      <c r="J434" s="23" t="n"/>
      <c r="K434" s="24" t="n"/>
      <c r="L434" s="25">
        <f>IF(ISNUMBER(J434),J434-IF(ISNUMBER(K434),K434,30),"")</f>
        <v/>
      </c>
      <c r="M434" s="26">
        <f>IF(J434="","",IF(ISNUMBER(J434),J434-TODAY(),"Check date"))</f>
        <v/>
      </c>
      <c r="N434" s="27">
        <f>IF(M434="","",IF(ISNUMBER(M434),IF(M434&lt;0,"Expired",IF(M434&lt;=30,"Due ≤30 days",IF(M434&lt;=90,"Due ≤90 days","OK"))),"Check date"))</f>
        <v/>
      </c>
      <c r="O434" s="21" t="n"/>
      <c r="P434" s="21" t="n"/>
      <c r="Q434" s="21" t="n"/>
      <c r="R434" s="21" t="n"/>
      <c r="S434" s="21" t="n"/>
    </row>
    <row r="435">
      <c r="A435" s="21" t="n"/>
      <c r="B435" s="21" t="n"/>
      <c r="C435" s="21" t="n"/>
      <c r="D435" s="21" t="n"/>
      <c r="E435" s="21" t="n"/>
      <c r="F435" s="22" t="n"/>
      <c r="G435" s="22" t="n"/>
      <c r="H435" s="21" t="n"/>
      <c r="I435" s="23" t="n"/>
      <c r="J435" s="23" t="n"/>
      <c r="K435" s="24" t="n"/>
      <c r="L435" s="25">
        <f>IF(ISNUMBER(J435),J435-IF(ISNUMBER(K435),K435,30),"")</f>
        <v/>
      </c>
      <c r="M435" s="26">
        <f>IF(J435="","",IF(ISNUMBER(J435),J435-TODAY(),"Check date"))</f>
        <v/>
      </c>
      <c r="N435" s="27">
        <f>IF(M435="","",IF(ISNUMBER(M435),IF(M435&lt;0,"Expired",IF(M435&lt;=30,"Due ≤30 days",IF(M435&lt;=90,"Due ≤90 days","OK"))),"Check date"))</f>
        <v/>
      </c>
      <c r="O435" s="21" t="n"/>
      <c r="P435" s="21" t="n"/>
      <c r="Q435" s="21" t="n"/>
      <c r="R435" s="21" t="n"/>
      <c r="S435" s="21" t="n"/>
    </row>
    <row r="436">
      <c r="A436" s="21" t="n"/>
      <c r="B436" s="21" t="n"/>
      <c r="C436" s="21" t="n"/>
      <c r="D436" s="21" t="n"/>
      <c r="E436" s="21" t="n"/>
      <c r="F436" s="22" t="n"/>
      <c r="G436" s="22" t="n"/>
      <c r="H436" s="21" t="n"/>
      <c r="I436" s="23" t="n"/>
      <c r="J436" s="23" t="n"/>
      <c r="K436" s="24" t="n"/>
      <c r="L436" s="25">
        <f>IF(ISNUMBER(J436),J436-IF(ISNUMBER(K436),K436,30),"")</f>
        <v/>
      </c>
      <c r="M436" s="26">
        <f>IF(J436="","",IF(ISNUMBER(J436),J436-TODAY(),"Check date"))</f>
        <v/>
      </c>
      <c r="N436" s="27">
        <f>IF(M436="","",IF(ISNUMBER(M436),IF(M436&lt;0,"Expired",IF(M436&lt;=30,"Due ≤30 days",IF(M436&lt;=90,"Due ≤90 days","OK"))),"Check date"))</f>
        <v/>
      </c>
      <c r="O436" s="21" t="n"/>
      <c r="P436" s="21" t="n"/>
      <c r="Q436" s="21" t="n"/>
      <c r="R436" s="21" t="n"/>
      <c r="S436" s="21" t="n"/>
    </row>
    <row r="437">
      <c r="A437" s="21" t="n"/>
      <c r="B437" s="21" t="n"/>
      <c r="C437" s="21" t="n"/>
      <c r="D437" s="21" t="n"/>
      <c r="E437" s="21" t="n"/>
      <c r="F437" s="22" t="n"/>
      <c r="G437" s="22" t="n"/>
      <c r="H437" s="21" t="n"/>
      <c r="I437" s="23" t="n"/>
      <c r="J437" s="23" t="n"/>
      <c r="K437" s="24" t="n"/>
      <c r="L437" s="25">
        <f>IF(ISNUMBER(J437),J437-IF(ISNUMBER(K437),K437,30),"")</f>
        <v/>
      </c>
      <c r="M437" s="26">
        <f>IF(J437="","",IF(ISNUMBER(J437),J437-TODAY(),"Check date"))</f>
        <v/>
      </c>
      <c r="N437" s="27">
        <f>IF(M437="","",IF(ISNUMBER(M437),IF(M437&lt;0,"Expired",IF(M437&lt;=30,"Due ≤30 days",IF(M437&lt;=90,"Due ≤90 days","OK"))),"Check date"))</f>
        <v/>
      </c>
      <c r="O437" s="21" t="n"/>
      <c r="P437" s="21" t="n"/>
      <c r="Q437" s="21" t="n"/>
      <c r="R437" s="21" t="n"/>
      <c r="S437" s="21" t="n"/>
    </row>
    <row r="438">
      <c r="A438" s="21" t="n"/>
      <c r="B438" s="21" t="n"/>
      <c r="C438" s="21" t="n"/>
      <c r="D438" s="21" t="n"/>
      <c r="E438" s="21" t="n"/>
      <c r="F438" s="22" t="n"/>
      <c r="G438" s="22" t="n"/>
      <c r="H438" s="21" t="n"/>
      <c r="I438" s="23" t="n"/>
      <c r="J438" s="23" t="n"/>
      <c r="K438" s="24" t="n"/>
      <c r="L438" s="25">
        <f>IF(ISNUMBER(J438),J438-IF(ISNUMBER(K438),K438,30),"")</f>
        <v/>
      </c>
      <c r="M438" s="26">
        <f>IF(J438="","",IF(ISNUMBER(J438),J438-TODAY(),"Check date"))</f>
        <v/>
      </c>
      <c r="N438" s="27">
        <f>IF(M438="","",IF(ISNUMBER(M438),IF(M438&lt;0,"Expired",IF(M438&lt;=30,"Due ≤30 days",IF(M438&lt;=90,"Due ≤90 days","OK"))),"Check date"))</f>
        <v/>
      </c>
      <c r="O438" s="21" t="n"/>
      <c r="P438" s="21" t="n"/>
      <c r="Q438" s="21" t="n"/>
      <c r="R438" s="21" t="n"/>
      <c r="S438" s="21" t="n"/>
    </row>
    <row r="439">
      <c r="A439" s="21" t="n"/>
      <c r="B439" s="21" t="n"/>
      <c r="C439" s="21" t="n"/>
      <c r="D439" s="21" t="n"/>
      <c r="E439" s="21" t="n"/>
      <c r="F439" s="22" t="n"/>
      <c r="G439" s="22" t="n"/>
      <c r="H439" s="21" t="n"/>
      <c r="I439" s="23" t="n"/>
      <c r="J439" s="23" t="n"/>
      <c r="K439" s="24" t="n"/>
      <c r="L439" s="25">
        <f>IF(ISNUMBER(J439),J439-IF(ISNUMBER(K439),K439,30),"")</f>
        <v/>
      </c>
      <c r="M439" s="26">
        <f>IF(J439="","",IF(ISNUMBER(J439),J439-TODAY(),"Check date"))</f>
        <v/>
      </c>
      <c r="N439" s="27">
        <f>IF(M439="","",IF(ISNUMBER(M439),IF(M439&lt;0,"Expired",IF(M439&lt;=30,"Due ≤30 days",IF(M439&lt;=90,"Due ≤90 days","OK"))),"Check date"))</f>
        <v/>
      </c>
      <c r="O439" s="21" t="n"/>
      <c r="P439" s="21" t="n"/>
      <c r="Q439" s="21" t="n"/>
      <c r="R439" s="21" t="n"/>
      <c r="S439" s="21" t="n"/>
    </row>
    <row r="440">
      <c r="A440" s="21" t="n"/>
      <c r="B440" s="21" t="n"/>
      <c r="C440" s="21" t="n"/>
      <c r="D440" s="21" t="n"/>
      <c r="E440" s="21" t="n"/>
      <c r="F440" s="22" t="n"/>
      <c r="G440" s="22" t="n"/>
      <c r="H440" s="21" t="n"/>
      <c r="I440" s="23" t="n"/>
      <c r="J440" s="23" t="n"/>
      <c r="K440" s="24" t="n"/>
      <c r="L440" s="25">
        <f>IF(ISNUMBER(J440),J440-IF(ISNUMBER(K440),K440,30),"")</f>
        <v/>
      </c>
      <c r="M440" s="26">
        <f>IF(J440="","",IF(ISNUMBER(J440),J440-TODAY(),"Check date"))</f>
        <v/>
      </c>
      <c r="N440" s="27">
        <f>IF(M440="","",IF(ISNUMBER(M440),IF(M440&lt;0,"Expired",IF(M440&lt;=30,"Due ≤30 days",IF(M440&lt;=90,"Due ≤90 days","OK"))),"Check date"))</f>
        <v/>
      </c>
      <c r="O440" s="21" t="n"/>
      <c r="P440" s="21" t="n"/>
      <c r="Q440" s="21" t="n"/>
      <c r="R440" s="21" t="n"/>
      <c r="S440" s="21" t="n"/>
    </row>
    <row r="441">
      <c r="A441" s="21" t="n"/>
      <c r="B441" s="21" t="n"/>
      <c r="C441" s="21" t="n"/>
      <c r="D441" s="21" t="n"/>
      <c r="E441" s="21" t="n"/>
      <c r="F441" s="22" t="n"/>
      <c r="G441" s="22" t="n"/>
      <c r="H441" s="21" t="n"/>
      <c r="I441" s="23" t="n"/>
      <c r="J441" s="23" t="n"/>
      <c r="K441" s="24" t="n"/>
      <c r="L441" s="25">
        <f>IF(ISNUMBER(J441),J441-IF(ISNUMBER(K441),K441,30),"")</f>
        <v/>
      </c>
      <c r="M441" s="26">
        <f>IF(J441="","",IF(ISNUMBER(J441),J441-TODAY(),"Check date"))</f>
        <v/>
      </c>
      <c r="N441" s="27">
        <f>IF(M441="","",IF(ISNUMBER(M441),IF(M441&lt;0,"Expired",IF(M441&lt;=30,"Due ≤30 days",IF(M441&lt;=90,"Due ≤90 days","OK"))),"Check date"))</f>
        <v/>
      </c>
      <c r="O441" s="21" t="n"/>
      <c r="P441" s="21" t="n"/>
      <c r="Q441" s="21" t="n"/>
      <c r="R441" s="21" t="n"/>
      <c r="S441" s="21" t="n"/>
    </row>
    <row r="442">
      <c r="A442" s="21" t="n"/>
      <c r="B442" s="21" t="n"/>
      <c r="C442" s="21" t="n"/>
      <c r="D442" s="21" t="n"/>
      <c r="E442" s="21" t="n"/>
      <c r="F442" s="22" t="n"/>
      <c r="G442" s="22" t="n"/>
      <c r="H442" s="21" t="n"/>
      <c r="I442" s="23" t="n"/>
      <c r="J442" s="23" t="n"/>
      <c r="K442" s="24" t="n"/>
      <c r="L442" s="25">
        <f>IF(ISNUMBER(J442),J442-IF(ISNUMBER(K442),K442,30),"")</f>
        <v/>
      </c>
      <c r="M442" s="26">
        <f>IF(J442="","",IF(ISNUMBER(J442),J442-TODAY(),"Check date"))</f>
        <v/>
      </c>
      <c r="N442" s="27">
        <f>IF(M442="","",IF(ISNUMBER(M442),IF(M442&lt;0,"Expired",IF(M442&lt;=30,"Due ≤30 days",IF(M442&lt;=90,"Due ≤90 days","OK"))),"Check date"))</f>
        <v/>
      </c>
      <c r="O442" s="21" t="n"/>
      <c r="P442" s="21" t="n"/>
      <c r="Q442" s="21" t="n"/>
      <c r="R442" s="21" t="n"/>
      <c r="S442" s="21" t="n"/>
    </row>
    <row r="443">
      <c r="A443" s="21" t="n"/>
      <c r="B443" s="21" t="n"/>
      <c r="C443" s="21" t="n"/>
      <c r="D443" s="21" t="n"/>
      <c r="E443" s="21" t="n"/>
      <c r="F443" s="22" t="n"/>
      <c r="G443" s="22" t="n"/>
      <c r="H443" s="21" t="n"/>
      <c r="I443" s="23" t="n"/>
      <c r="J443" s="23" t="n"/>
      <c r="K443" s="24" t="n"/>
      <c r="L443" s="25">
        <f>IF(ISNUMBER(J443),J443-IF(ISNUMBER(K443),K443,30),"")</f>
        <v/>
      </c>
      <c r="M443" s="26">
        <f>IF(J443="","",IF(ISNUMBER(J443),J443-TODAY(),"Check date"))</f>
        <v/>
      </c>
      <c r="N443" s="27">
        <f>IF(M443="","",IF(ISNUMBER(M443),IF(M443&lt;0,"Expired",IF(M443&lt;=30,"Due ≤30 days",IF(M443&lt;=90,"Due ≤90 days","OK"))),"Check date"))</f>
        <v/>
      </c>
      <c r="O443" s="21" t="n"/>
      <c r="P443" s="21" t="n"/>
      <c r="Q443" s="21" t="n"/>
      <c r="R443" s="21" t="n"/>
      <c r="S443" s="21" t="n"/>
    </row>
    <row r="444">
      <c r="A444" s="21" t="n"/>
      <c r="B444" s="21" t="n"/>
      <c r="C444" s="21" t="n"/>
      <c r="D444" s="21" t="n"/>
      <c r="E444" s="21" t="n"/>
      <c r="F444" s="22" t="n"/>
      <c r="G444" s="22" t="n"/>
      <c r="H444" s="21" t="n"/>
      <c r="I444" s="23" t="n"/>
      <c r="J444" s="23" t="n"/>
      <c r="K444" s="24" t="n"/>
      <c r="L444" s="25">
        <f>IF(ISNUMBER(J444),J444-IF(ISNUMBER(K444),K444,30),"")</f>
        <v/>
      </c>
      <c r="M444" s="26">
        <f>IF(J444="","",IF(ISNUMBER(J444),J444-TODAY(),"Check date"))</f>
        <v/>
      </c>
      <c r="N444" s="27">
        <f>IF(M444="","",IF(ISNUMBER(M444),IF(M444&lt;0,"Expired",IF(M444&lt;=30,"Due ≤30 days",IF(M444&lt;=90,"Due ≤90 days","OK"))),"Check date"))</f>
        <v/>
      </c>
      <c r="O444" s="21" t="n"/>
      <c r="P444" s="21" t="n"/>
      <c r="Q444" s="21" t="n"/>
      <c r="R444" s="21" t="n"/>
      <c r="S444" s="21" t="n"/>
    </row>
    <row r="445">
      <c r="A445" s="21" t="n"/>
      <c r="B445" s="21" t="n"/>
      <c r="C445" s="21" t="n"/>
      <c r="D445" s="21" t="n"/>
      <c r="E445" s="21" t="n"/>
      <c r="F445" s="22" t="n"/>
      <c r="G445" s="22" t="n"/>
      <c r="H445" s="21" t="n"/>
      <c r="I445" s="23" t="n"/>
      <c r="J445" s="23" t="n"/>
      <c r="K445" s="24" t="n"/>
      <c r="L445" s="25">
        <f>IF(ISNUMBER(J445),J445-IF(ISNUMBER(K445),K445,30),"")</f>
        <v/>
      </c>
      <c r="M445" s="26">
        <f>IF(J445="","",IF(ISNUMBER(J445),J445-TODAY(),"Check date"))</f>
        <v/>
      </c>
      <c r="N445" s="27">
        <f>IF(M445="","",IF(ISNUMBER(M445),IF(M445&lt;0,"Expired",IF(M445&lt;=30,"Due ≤30 days",IF(M445&lt;=90,"Due ≤90 days","OK"))),"Check date"))</f>
        <v/>
      </c>
      <c r="O445" s="21" t="n"/>
      <c r="P445" s="21" t="n"/>
      <c r="Q445" s="21" t="n"/>
      <c r="R445" s="21" t="n"/>
      <c r="S445" s="21" t="n"/>
    </row>
    <row r="446">
      <c r="A446" s="21" t="n"/>
      <c r="B446" s="21" t="n"/>
      <c r="C446" s="21" t="n"/>
      <c r="D446" s="21" t="n"/>
      <c r="E446" s="21" t="n"/>
      <c r="F446" s="22" t="n"/>
      <c r="G446" s="22" t="n"/>
      <c r="H446" s="21" t="n"/>
      <c r="I446" s="23" t="n"/>
      <c r="J446" s="23" t="n"/>
      <c r="K446" s="24" t="n"/>
      <c r="L446" s="25">
        <f>IF(ISNUMBER(J446),J446-IF(ISNUMBER(K446),K446,30),"")</f>
        <v/>
      </c>
      <c r="M446" s="26">
        <f>IF(J446="","",IF(ISNUMBER(J446),J446-TODAY(),"Check date"))</f>
        <v/>
      </c>
      <c r="N446" s="27">
        <f>IF(M446="","",IF(ISNUMBER(M446),IF(M446&lt;0,"Expired",IF(M446&lt;=30,"Due ≤30 days",IF(M446&lt;=90,"Due ≤90 days","OK"))),"Check date"))</f>
        <v/>
      </c>
      <c r="O446" s="21" t="n"/>
      <c r="P446" s="21" t="n"/>
      <c r="Q446" s="21" t="n"/>
      <c r="R446" s="21" t="n"/>
      <c r="S446" s="21" t="n"/>
    </row>
    <row r="447">
      <c r="A447" s="21" t="n"/>
      <c r="B447" s="21" t="n"/>
      <c r="C447" s="21" t="n"/>
      <c r="D447" s="21" t="n"/>
      <c r="E447" s="21" t="n"/>
      <c r="F447" s="22" t="n"/>
      <c r="G447" s="22" t="n"/>
      <c r="H447" s="21" t="n"/>
      <c r="I447" s="23" t="n"/>
      <c r="J447" s="23" t="n"/>
      <c r="K447" s="24" t="n"/>
      <c r="L447" s="25">
        <f>IF(ISNUMBER(J447),J447-IF(ISNUMBER(K447),K447,30),"")</f>
        <v/>
      </c>
      <c r="M447" s="26">
        <f>IF(J447="","",IF(ISNUMBER(J447),J447-TODAY(),"Check date"))</f>
        <v/>
      </c>
      <c r="N447" s="27">
        <f>IF(M447="","",IF(ISNUMBER(M447),IF(M447&lt;0,"Expired",IF(M447&lt;=30,"Due ≤30 days",IF(M447&lt;=90,"Due ≤90 days","OK"))),"Check date"))</f>
        <v/>
      </c>
      <c r="O447" s="21" t="n"/>
      <c r="P447" s="21" t="n"/>
      <c r="Q447" s="21" t="n"/>
      <c r="R447" s="21" t="n"/>
      <c r="S447" s="21" t="n"/>
    </row>
    <row r="448">
      <c r="A448" s="21" t="n"/>
      <c r="B448" s="21" t="n"/>
      <c r="C448" s="21" t="n"/>
      <c r="D448" s="21" t="n"/>
      <c r="E448" s="21" t="n"/>
      <c r="F448" s="22" t="n"/>
      <c r="G448" s="22" t="n"/>
      <c r="H448" s="21" t="n"/>
      <c r="I448" s="23" t="n"/>
      <c r="J448" s="23" t="n"/>
      <c r="K448" s="24" t="n"/>
      <c r="L448" s="25">
        <f>IF(ISNUMBER(J448),J448-IF(ISNUMBER(K448),K448,30),"")</f>
        <v/>
      </c>
      <c r="M448" s="26">
        <f>IF(J448="","",IF(ISNUMBER(J448),J448-TODAY(),"Check date"))</f>
        <v/>
      </c>
      <c r="N448" s="27">
        <f>IF(M448="","",IF(ISNUMBER(M448),IF(M448&lt;0,"Expired",IF(M448&lt;=30,"Due ≤30 days",IF(M448&lt;=90,"Due ≤90 days","OK"))),"Check date"))</f>
        <v/>
      </c>
      <c r="O448" s="21" t="n"/>
      <c r="P448" s="21" t="n"/>
      <c r="Q448" s="21" t="n"/>
      <c r="R448" s="21" t="n"/>
      <c r="S448" s="21" t="n"/>
    </row>
    <row r="449">
      <c r="A449" s="21" t="n"/>
      <c r="B449" s="21" t="n"/>
      <c r="C449" s="21" t="n"/>
      <c r="D449" s="21" t="n"/>
      <c r="E449" s="21" t="n"/>
      <c r="F449" s="22" t="n"/>
      <c r="G449" s="22" t="n"/>
      <c r="H449" s="21" t="n"/>
      <c r="I449" s="23" t="n"/>
      <c r="J449" s="23" t="n"/>
      <c r="K449" s="24" t="n"/>
      <c r="L449" s="25">
        <f>IF(ISNUMBER(J449),J449-IF(ISNUMBER(K449),K449,30),"")</f>
        <v/>
      </c>
      <c r="M449" s="26">
        <f>IF(J449="","",IF(ISNUMBER(J449),J449-TODAY(),"Check date"))</f>
        <v/>
      </c>
      <c r="N449" s="27">
        <f>IF(M449="","",IF(ISNUMBER(M449),IF(M449&lt;0,"Expired",IF(M449&lt;=30,"Due ≤30 days",IF(M449&lt;=90,"Due ≤90 days","OK"))),"Check date"))</f>
        <v/>
      </c>
      <c r="O449" s="21" t="n"/>
      <c r="P449" s="21" t="n"/>
      <c r="Q449" s="21" t="n"/>
      <c r="R449" s="21" t="n"/>
      <c r="S449" s="21" t="n"/>
    </row>
    <row r="450">
      <c r="A450" s="21" t="n"/>
      <c r="B450" s="21" t="n"/>
      <c r="C450" s="21" t="n"/>
      <c r="D450" s="21" t="n"/>
      <c r="E450" s="21" t="n"/>
      <c r="F450" s="22" t="n"/>
      <c r="G450" s="22" t="n"/>
      <c r="H450" s="21" t="n"/>
      <c r="I450" s="23" t="n"/>
      <c r="J450" s="23" t="n"/>
      <c r="K450" s="24" t="n"/>
      <c r="L450" s="25">
        <f>IF(ISNUMBER(J450),J450-IF(ISNUMBER(K450),K450,30),"")</f>
        <v/>
      </c>
      <c r="M450" s="26">
        <f>IF(J450="","",IF(ISNUMBER(J450),J450-TODAY(),"Check date"))</f>
        <v/>
      </c>
      <c r="N450" s="27">
        <f>IF(M450="","",IF(ISNUMBER(M450),IF(M450&lt;0,"Expired",IF(M450&lt;=30,"Due ≤30 days",IF(M450&lt;=90,"Due ≤90 days","OK"))),"Check date"))</f>
        <v/>
      </c>
      <c r="O450" s="21" t="n"/>
      <c r="P450" s="21" t="n"/>
      <c r="Q450" s="21" t="n"/>
      <c r="R450" s="21" t="n"/>
      <c r="S450" s="21" t="n"/>
    </row>
    <row r="451">
      <c r="A451" s="21" t="n"/>
      <c r="B451" s="21" t="n"/>
      <c r="C451" s="21" t="n"/>
      <c r="D451" s="21" t="n"/>
      <c r="E451" s="21" t="n"/>
      <c r="F451" s="22" t="n"/>
      <c r="G451" s="22" t="n"/>
      <c r="H451" s="21" t="n"/>
      <c r="I451" s="23" t="n"/>
      <c r="J451" s="23" t="n"/>
      <c r="K451" s="24" t="n"/>
      <c r="L451" s="25">
        <f>IF(ISNUMBER(J451),J451-IF(ISNUMBER(K451),K451,30),"")</f>
        <v/>
      </c>
      <c r="M451" s="26">
        <f>IF(J451="","",IF(ISNUMBER(J451),J451-TODAY(),"Check date"))</f>
        <v/>
      </c>
      <c r="N451" s="27">
        <f>IF(M451="","",IF(ISNUMBER(M451),IF(M451&lt;0,"Expired",IF(M451&lt;=30,"Due ≤30 days",IF(M451&lt;=90,"Due ≤90 days","OK"))),"Check date"))</f>
        <v/>
      </c>
      <c r="O451" s="21" t="n"/>
      <c r="P451" s="21" t="n"/>
      <c r="Q451" s="21" t="n"/>
      <c r="R451" s="21" t="n"/>
      <c r="S451" s="21" t="n"/>
    </row>
    <row r="452">
      <c r="A452" s="21" t="n"/>
      <c r="B452" s="21" t="n"/>
      <c r="C452" s="21" t="n"/>
      <c r="D452" s="21" t="n"/>
      <c r="E452" s="21" t="n"/>
      <c r="F452" s="22" t="n"/>
      <c r="G452" s="22" t="n"/>
      <c r="H452" s="21" t="n"/>
      <c r="I452" s="23" t="n"/>
      <c r="J452" s="23" t="n"/>
      <c r="K452" s="24" t="n"/>
      <c r="L452" s="25">
        <f>IF(ISNUMBER(J452),J452-IF(ISNUMBER(K452),K452,30),"")</f>
        <v/>
      </c>
      <c r="M452" s="26">
        <f>IF(J452="","",IF(ISNUMBER(J452),J452-TODAY(),"Check date"))</f>
        <v/>
      </c>
      <c r="N452" s="27">
        <f>IF(M452="","",IF(ISNUMBER(M452),IF(M452&lt;0,"Expired",IF(M452&lt;=30,"Due ≤30 days",IF(M452&lt;=90,"Due ≤90 days","OK"))),"Check date"))</f>
        <v/>
      </c>
      <c r="O452" s="21" t="n"/>
      <c r="P452" s="21" t="n"/>
      <c r="Q452" s="21" t="n"/>
      <c r="R452" s="21" t="n"/>
      <c r="S452" s="21" t="n"/>
    </row>
    <row r="453">
      <c r="A453" s="21" t="n"/>
      <c r="B453" s="21" t="n"/>
      <c r="C453" s="21" t="n"/>
      <c r="D453" s="21" t="n"/>
      <c r="E453" s="21" t="n"/>
      <c r="F453" s="22" t="n"/>
      <c r="G453" s="22" t="n"/>
      <c r="H453" s="21" t="n"/>
      <c r="I453" s="23" t="n"/>
      <c r="J453" s="23" t="n"/>
      <c r="K453" s="24" t="n"/>
      <c r="L453" s="25">
        <f>IF(ISNUMBER(J453),J453-IF(ISNUMBER(K453),K453,30),"")</f>
        <v/>
      </c>
      <c r="M453" s="26">
        <f>IF(J453="","",IF(ISNUMBER(J453),J453-TODAY(),"Check date"))</f>
        <v/>
      </c>
      <c r="N453" s="27">
        <f>IF(M453="","",IF(ISNUMBER(M453),IF(M453&lt;0,"Expired",IF(M453&lt;=30,"Due ≤30 days",IF(M453&lt;=90,"Due ≤90 days","OK"))),"Check date"))</f>
        <v/>
      </c>
      <c r="O453" s="21" t="n"/>
      <c r="P453" s="21" t="n"/>
      <c r="Q453" s="21" t="n"/>
      <c r="R453" s="21" t="n"/>
      <c r="S453" s="21" t="n"/>
    </row>
    <row r="454">
      <c r="A454" s="21" t="n"/>
      <c r="B454" s="21" t="n"/>
      <c r="C454" s="21" t="n"/>
      <c r="D454" s="21" t="n"/>
      <c r="E454" s="21" t="n"/>
      <c r="F454" s="22" t="n"/>
      <c r="G454" s="22" t="n"/>
      <c r="H454" s="21" t="n"/>
      <c r="I454" s="23" t="n"/>
      <c r="J454" s="23" t="n"/>
      <c r="K454" s="24" t="n"/>
      <c r="L454" s="25">
        <f>IF(ISNUMBER(J454),J454-IF(ISNUMBER(K454),K454,30),"")</f>
        <v/>
      </c>
      <c r="M454" s="26">
        <f>IF(J454="","",IF(ISNUMBER(J454),J454-TODAY(),"Check date"))</f>
        <v/>
      </c>
      <c r="N454" s="27">
        <f>IF(M454="","",IF(ISNUMBER(M454),IF(M454&lt;0,"Expired",IF(M454&lt;=30,"Due ≤30 days",IF(M454&lt;=90,"Due ≤90 days","OK"))),"Check date"))</f>
        <v/>
      </c>
      <c r="O454" s="21" t="n"/>
      <c r="P454" s="21" t="n"/>
      <c r="Q454" s="21" t="n"/>
      <c r="R454" s="21" t="n"/>
      <c r="S454" s="21" t="n"/>
    </row>
    <row r="455">
      <c r="A455" s="21" t="n"/>
      <c r="B455" s="21" t="n"/>
      <c r="C455" s="21" t="n"/>
      <c r="D455" s="21" t="n"/>
      <c r="E455" s="21" t="n"/>
      <c r="F455" s="22" t="n"/>
      <c r="G455" s="22" t="n"/>
      <c r="H455" s="21" t="n"/>
      <c r="I455" s="23" t="n"/>
      <c r="J455" s="23" t="n"/>
      <c r="K455" s="24" t="n"/>
      <c r="L455" s="25">
        <f>IF(ISNUMBER(J455),J455-IF(ISNUMBER(K455),K455,30),"")</f>
        <v/>
      </c>
      <c r="M455" s="26">
        <f>IF(J455="","",IF(ISNUMBER(J455),J455-TODAY(),"Check date"))</f>
        <v/>
      </c>
      <c r="N455" s="27">
        <f>IF(M455="","",IF(ISNUMBER(M455),IF(M455&lt;0,"Expired",IF(M455&lt;=30,"Due ≤30 days",IF(M455&lt;=90,"Due ≤90 days","OK"))),"Check date"))</f>
        <v/>
      </c>
      <c r="O455" s="21" t="n"/>
      <c r="P455" s="21" t="n"/>
      <c r="Q455" s="21" t="n"/>
      <c r="R455" s="21" t="n"/>
      <c r="S455" s="21" t="n"/>
    </row>
    <row r="456">
      <c r="A456" s="21" t="n"/>
      <c r="B456" s="21" t="n"/>
      <c r="C456" s="21" t="n"/>
      <c r="D456" s="21" t="n"/>
      <c r="E456" s="21" t="n"/>
      <c r="F456" s="22" t="n"/>
      <c r="G456" s="22" t="n"/>
      <c r="H456" s="21" t="n"/>
      <c r="I456" s="23" t="n"/>
      <c r="J456" s="23" t="n"/>
      <c r="K456" s="24" t="n"/>
      <c r="L456" s="25">
        <f>IF(ISNUMBER(J456),J456-IF(ISNUMBER(K456),K456,30),"")</f>
        <v/>
      </c>
      <c r="M456" s="26">
        <f>IF(J456="","",IF(ISNUMBER(J456),J456-TODAY(),"Check date"))</f>
        <v/>
      </c>
      <c r="N456" s="27">
        <f>IF(M456="","",IF(ISNUMBER(M456),IF(M456&lt;0,"Expired",IF(M456&lt;=30,"Due ≤30 days",IF(M456&lt;=90,"Due ≤90 days","OK"))),"Check date"))</f>
        <v/>
      </c>
      <c r="O456" s="21" t="n"/>
      <c r="P456" s="21" t="n"/>
      <c r="Q456" s="21" t="n"/>
      <c r="R456" s="21" t="n"/>
      <c r="S456" s="21" t="n"/>
    </row>
    <row r="457">
      <c r="A457" s="21" t="n"/>
      <c r="B457" s="21" t="n"/>
      <c r="C457" s="21" t="n"/>
      <c r="D457" s="21" t="n"/>
      <c r="E457" s="21" t="n"/>
      <c r="F457" s="22" t="n"/>
      <c r="G457" s="22" t="n"/>
      <c r="H457" s="21" t="n"/>
      <c r="I457" s="23" t="n"/>
      <c r="J457" s="23" t="n"/>
      <c r="K457" s="24" t="n"/>
      <c r="L457" s="25">
        <f>IF(ISNUMBER(J457),J457-IF(ISNUMBER(K457),K457,30),"")</f>
        <v/>
      </c>
      <c r="M457" s="26">
        <f>IF(J457="","",IF(ISNUMBER(J457),J457-TODAY(),"Check date"))</f>
        <v/>
      </c>
      <c r="N457" s="27">
        <f>IF(M457="","",IF(ISNUMBER(M457),IF(M457&lt;0,"Expired",IF(M457&lt;=30,"Due ≤30 days",IF(M457&lt;=90,"Due ≤90 days","OK"))),"Check date"))</f>
        <v/>
      </c>
      <c r="O457" s="21" t="n"/>
      <c r="P457" s="21" t="n"/>
      <c r="Q457" s="21" t="n"/>
      <c r="R457" s="21" t="n"/>
      <c r="S457" s="21" t="n"/>
    </row>
    <row r="458">
      <c r="A458" s="21" t="n"/>
      <c r="B458" s="21" t="n"/>
      <c r="C458" s="21" t="n"/>
      <c r="D458" s="21" t="n"/>
      <c r="E458" s="21" t="n"/>
      <c r="F458" s="22" t="n"/>
      <c r="G458" s="22" t="n"/>
      <c r="H458" s="21" t="n"/>
      <c r="I458" s="23" t="n"/>
      <c r="J458" s="23" t="n"/>
      <c r="K458" s="24" t="n"/>
      <c r="L458" s="25">
        <f>IF(ISNUMBER(J458),J458-IF(ISNUMBER(K458),K458,30),"")</f>
        <v/>
      </c>
      <c r="M458" s="26">
        <f>IF(J458="","",IF(ISNUMBER(J458),J458-TODAY(),"Check date"))</f>
        <v/>
      </c>
      <c r="N458" s="27">
        <f>IF(M458="","",IF(ISNUMBER(M458),IF(M458&lt;0,"Expired",IF(M458&lt;=30,"Due ≤30 days",IF(M458&lt;=90,"Due ≤90 days","OK"))),"Check date"))</f>
        <v/>
      </c>
      <c r="O458" s="21" t="n"/>
      <c r="P458" s="21" t="n"/>
      <c r="Q458" s="21" t="n"/>
      <c r="R458" s="21" t="n"/>
      <c r="S458" s="21" t="n"/>
    </row>
    <row r="459">
      <c r="A459" s="21" t="n"/>
      <c r="B459" s="21" t="n"/>
      <c r="C459" s="21" t="n"/>
      <c r="D459" s="21" t="n"/>
      <c r="E459" s="21" t="n"/>
      <c r="F459" s="22" t="n"/>
      <c r="G459" s="22" t="n"/>
      <c r="H459" s="21" t="n"/>
      <c r="I459" s="23" t="n"/>
      <c r="J459" s="23" t="n"/>
      <c r="K459" s="24" t="n"/>
      <c r="L459" s="25">
        <f>IF(ISNUMBER(J459),J459-IF(ISNUMBER(K459),K459,30),"")</f>
        <v/>
      </c>
      <c r="M459" s="26">
        <f>IF(J459="","",IF(ISNUMBER(J459),J459-TODAY(),"Check date"))</f>
        <v/>
      </c>
      <c r="N459" s="27">
        <f>IF(M459="","",IF(ISNUMBER(M459),IF(M459&lt;0,"Expired",IF(M459&lt;=30,"Due ≤30 days",IF(M459&lt;=90,"Due ≤90 days","OK"))),"Check date"))</f>
        <v/>
      </c>
      <c r="O459" s="21" t="n"/>
      <c r="P459" s="21" t="n"/>
      <c r="Q459" s="21" t="n"/>
      <c r="R459" s="21" t="n"/>
      <c r="S459" s="21" t="n"/>
    </row>
    <row r="460">
      <c r="A460" s="21" t="n"/>
      <c r="B460" s="21" t="n"/>
      <c r="C460" s="21" t="n"/>
      <c r="D460" s="21" t="n"/>
      <c r="E460" s="21" t="n"/>
      <c r="F460" s="22" t="n"/>
      <c r="G460" s="22" t="n"/>
      <c r="H460" s="21" t="n"/>
      <c r="I460" s="23" t="n"/>
      <c r="J460" s="23" t="n"/>
      <c r="K460" s="24" t="n"/>
      <c r="L460" s="25">
        <f>IF(ISNUMBER(J460),J460-IF(ISNUMBER(K460),K460,30),"")</f>
        <v/>
      </c>
      <c r="M460" s="26">
        <f>IF(J460="","",IF(ISNUMBER(J460),J460-TODAY(),"Check date"))</f>
        <v/>
      </c>
      <c r="N460" s="27">
        <f>IF(M460="","",IF(ISNUMBER(M460),IF(M460&lt;0,"Expired",IF(M460&lt;=30,"Due ≤30 days",IF(M460&lt;=90,"Due ≤90 days","OK"))),"Check date"))</f>
        <v/>
      </c>
      <c r="O460" s="21" t="n"/>
      <c r="P460" s="21" t="n"/>
      <c r="Q460" s="21" t="n"/>
      <c r="R460" s="21" t="n"/>
      <c r="S460" s="21" t="n"/>
    </row>
    <row r="461">
      <c r="A461" s="21" t="n"/>
      <c r="B461" s="21" t="n"/>
      <c r="C461" s="21" t="n"/>
      <c r="D461" s="21" t="n"/>
      <c r="E461" s="21" t="n"/>
      <c r="F461" s="22" t="n"/>
      <c r="G461" s="22" t="n"/>
      <c r="H461" s="21" t="n"/>
      <c r="I461" s="23" t="n"/>
      <c r="J461" s="23" t="n"/>
      <c r="K461" s="24" t="n"/>
      <c r="L461" s="25">
        <f>IF(ISNUMBER(J461),J461-IF(ISNUMBER(K461),K461,30),"")</f>
        <v/>
      </c>
      <c r="M461" s="26">
        <f>IF(J461="","",IF(ISNUMBER(J461),J461-TODAY(),"Check date"))</f>
        <v/>
      </c>
      <c r="N461" s="27">
        <f>IF(M461="","",IF(ISNUMBER(M461),IF(M461&lt;0,"Expired",IF(M461&lt;=30,"Due ≤30 days",IF(M461&lt;=90,"Due ≤90 days","OK"))),"Check date"))</f>
        <v/>
      </c>
      <c r="O461" s="21" t="n"/>
      <c r="P461" s="21" t="n"/>
      <c r="Q461" s="21" t="n"/>
      <c r="R461" s="21" t="n"/>
      <c r="S461" s="21" t="n"/>
    </row>
    <row r="462">
      <c r="A462" s="21" t="n"/>
      <c r="B462" s="21" t="n"/>
      <c r="C462" s="21" t="n"/>
      <c r="D462" s="21" t="n"/>
      <c r="E462" s="21" t="n"/>
      <c r="F462" s="22" t="n"/>
      <c r="G462" s="22" t="n"/>
      <c r="H462" s="21" t="n"/>
      <c r="I462" s="23" t="n"/>
      <c r="J462" s="23" t="n"/>
      <c r="K462" s="24" t="n"/>
      <c r="L462" s="25">
        <f>IF(ISNUMBER(J462),J462-IF(ISNUMBER(K462),K462,30),"")</f>
        <v/>
      </c>
      <c r="M462" s="26">
        <f>IF(J462="","",IF(ISNUMBER(J462),J462-TODAY(),"Check date"))</f>
        <v/>
      </c>
      <c r="N462" s="27">
        <f>IF(M462="","",IF(ISNUMBER(M462),IF(M462&lt;0,"Expired",IF(M462&lt;=30,"Due ≤30 days",IF(M462&lt;=90,"Due ≤90 days","OK"))),"Check date"))</f>
        <v/>
      </c>
      <c r="O462" s="21" t="n"/>
      <c r="P462" s="21" t="n"/>
      <c r="Q462" s="21" t="n"/>
      <c r="R462" s="21" t="n"/>
      <c r="S462" s="21" t="n"/>
    </row>
    <row r="463">
      <c r="A463" s="21" t="n"/>
      <c r="B463" s="21" t="n"/>
      <c r="C463" s="21" t="n"/>
      <c r="D463" s="21" t="n"/>
      <c r="E463" s="21" t="n"/>
      <c r="F463" s="22" t="n"/>
      <c r="G463" s="22" t="n"/>
      <c r="H463" s="21" t="n"/>
      <c r="I463" s="23" t="n"/>
      <c r="J463" s="23" t="n"/>
      <c r="K463" s="24" t="n"/>
      <c r="L463" s="25">
        <f>IF(ISNUMBER(J463),J463-IF(ISNUMBER(K463),K463,30),"")</f>
        <v/>
      </c>
      <c r="M463" s="26">
        <f>IF(J463="","",IF(ISNUMBER(J463),J463-TODAY(),"Check date"))</f>
        <v/>
      </c>
      <c r="N463" s="27">
        <f>IF(M463="","",IF(ISNUMBER(M463),IF(M463&lt;0,"Expired",IF(M463&lt;=30,"Due ≤30 days",IF(M463&lt;=90,"Due ≤90 days","OK"))),"Check date"))</f>
        <v/>
      </c>
      <c r="O463" s="21" t="n"/>
      <c r="P463" s="21" t="n"/>
      <c r="Q463" s="21" t="n"/>
      <c r="R463" s="21" t="n"/>
      <c r="S463" s="21" t="n"/>
    </row>
    <row r="464">
      <c r="A464" s="21" t="n"/>
      <c r="B464" s="21" t="n"/>
      <c r="C464" s="21" t="n"/>
      <c r="D464" s="21" t="n"/>
      <c r="E464" s="21" t="n"/>
      <c r="F464" s="22" t="n"/>
      <c r="G464" s="22" t="n"/>
      <c r="H464" s="21" t="n"/>
      <c r="I464" s="23" t="n"/>
      <c r="J464" s="23" t="n"/>
      <c r="K464" s="24" t="n"/>
      <c r="L464" s="25">
        <f>IF(ISNUMBER(J464),J464-IF(ISNUMBER(K464),K464,30),"")</f>
        <v/>
      </c>
      <c r="M464" s="26">
        <f>IF(J464="","",IF(ISNUMBER(J464),J464-TODAY(),"Check date"))</f>
        <v/>
      </c>
      <c r="N464" s="27">
        <f>IF(M464="","",IF(ISNUMBER(M464),IF(M464&lt;0,"Expired",IF(M464&lt;=30,"Due ≤30 days",IF(M464&lt;=90,"Due ≤90 days","OK"))),"Check date"))</f>
        <v/>
      </c>
      <c r="O464" s="21" t="n"/>
      <c r="P464" s="21" t="n"/>
      <c r="Q464" s="21" t="n"/>
      <c r="R464" s="21" t="n"/>
      <c r="S464" s="21" t="n"/>
    </row>
    <row r="465">
      <c r="A465" s="21" t="n"/>
      <c r="B465" s="21" t="n"/>
      <c r="C465" s="21" t="n"/>
      <c r="D465" s="21" t="n"/>
      <c r="E465" s="21" t="n"/>
      <c r="F465" s="22" t="n"/>
      <c r="G465" s="22" t="n"/>
      <c r="H465" s="21" t="n"/>
      <c r="I465" s="23" t="n"/>
      <c r="J465" s="23" t="n"/>
      <c r="K465" s="24" t="n"/>
      <c r="L465" s="25">
        <f>IF(ISNUMBER(J465),J465-IF(ISNUMBER(K465),K465,30),"")</f>
        <v/>
      </c>
      <c r="M465" s="26">
        <f>IF(J465="","",IF(ISNUMBER(J465),J465-TODAY(),"Check date"))</f>
        <v/>
      </c>
      <c r="N465" s="27">
        <f>IF(M465="","",IF(ISNUMBER(M465),IF(M465&lt;0,"Expired",IF(M465&lt;=30,"Due ≤30 days",IF(M465&lt;=90,"Due ≤90 days","OK"))),"Check date"))</f>
        <v/>
      </c>
      <c r="O465" s="21" t="n"/>
      <c r="P465" s="21" t="n"/>
      <c r="Q465" s="21" t="n"/>
      <c r="R465" s="21" t="n"/>
      <c r="S465" s="21" t="n"/>
    </row>
    <row r="466">
      <c r="A466" s="21" t="n"/>
      <c r="B466" s="21" t="n"/>
      <c r="C466" s="21" t="n"/>
      <c r="D466" s="21" t="n"/>
      <c r="E466" s="21" t="n"/>
      <c r="F466" s="22" t="n"/>
      <c r="G466" s="22" t="n"/>
      <c r="H466" s="21" t="n"/>
      <c r="I466" s="23" t="n"/>
      <c r="J466" s="23" t="n"/>
      <c r="K466" s="24" t="n"/>
      <c r="L466" s="25">
        <f>IF(ISNUMBER(J466),J466-IF(ISNUMBER(K466),K466,30),"")</f>
        <v/>
      </c>
      <c r="M466" s="26">
        <f>IF(J466="","",IF(ISNUMBER(J466),J466-TODAY(),"Check date"))</f>
        <v/>
      </c>
      <c r="N466" s="27">
        <f>IF(M466="","",IF(ISNUMBER(M466),IF(M466&lt;0,"Expired",IF(M466&lt;=30,"Due ≤30 days",IF(M466&lt;=90,"Due ≤90 days","OK"))),"Check date"))</f>
        <v/>
      </c>
      <c r="O466" s="21" t="n"/>
      <c r="P466" s="21" t="n"/>
      <c r="Q466" s="21" t="n"/>
      <c r="R466" s="21" t="n"/>
      <c r="S466" s="21" t="n"/>
    </row>
    <row r="467">
      <c r="A467" s="21" t="n"/>
      <c r="B467" s="21" t="n"/>
      <c r="C467" s="21" t="n"/>
      <c r="D467" s="21" t="n"/>
      <c r="E467" s="21" t="n"/>
      <c r="F467" s="22" t="n"/>
      <c r="G467" s="22" t="n"/>
      <c r="H467" s="21" t="n"/>
      <c r="I467" s="23" t="n"/>
      <c r="J467" s="23" t="n"/>
      <c r="K467" s="24" t="n"/>
      <c r="L467" s="25">
        <f>IF(ISNUMBER(J467),J467-IF(ISNUMBER(K467),K467,30),"")</f>
        <v/>
      </c>
      <c r="M467" s="26">
        <f>IF(J467="","",IF(ISNUMBER(J467),J467-TODAY(),"Check date"))</f>
        <v/>
      </c>
      <c r="N467" s="27">
        <f>IF(M467="","",IF(ISNUMBER(M467),IF(M467&lt;0,"Expired",IF(M467&lt;=30,"Due ≤30 days",IF(M467&lt;=90,"Due ≤90 days","OK"))),"Check date"))</f>
        <v/>
      </c>
      <c r="O467" s="21" t="n"/>
      <c r="P467" s="21" t="n"/>
      <c r="Q467" s="21" t="n"/>
      <c r="R467" s="21" t="n"/>
      <c r="S467" s="21" t="n"/>
    </row>
    <row r="468">
      <c r="A468" s="21" t="n"/>
      <c r="B468" s="21" t="n"/>
      <c r="C468" s="21" t="n"/>
      <c r="D468" s="21" t="n"/>
      <c r="E468" s="21" t="n"/>
      <c r="F468" s="22" t="n"/>
      <c r="G468" s="22" t="n"/>
      <c r="H468" s="21" t="n"/>
      <c r="I468" s="23" t="n"/>
      <c r="J468" s="23" t="n"/>
      <c r="K468" s="24" t="n"/>
      <c r="L468" s="25">
        <f>IF(ISNUMBER(J468),J468-IF(ISNUMBER(K468),K468,30),"")</f>
        <v/>
      </c>
      <c r="M468" s="26">
        <f>IF(J468="","",IF(ISNUMBER(J468),J468-TODAY(),"Check date"))</f>
        <v/>
      </c>
      <c r="N468" s="27">
        <f>IF(M468="","",IF(ISNUMBER(M468),IF(M468&lt;0,"Expired",IF(M468&lt;=30,"Due ≤30 days",IF(M468&lt;=90,"Due ≤90 days","OK"))),"Check date"))</f>
        <v/>
      </c>
      <c r="O468" s="21" t="n"/>
      <c r="P468" s="21" t="n"/>
      <c r="Q468" s="21" t="n"/>
      <c r="R468" s="21" t="n"/>
      <c r="S468" s="21" t="n"/>
    </row>
    <row r="469">
      <c r="A469" s="21" t="n"/>
      <c r="B469" s="21" t="n"/>
      <c r="C469" s="21" t="n"/>
      <c r="D469" s="21" t="n"/>
      <c r="E469" s="21" t="n"/>
      <c r="F469" s="22" t="n"/>
      <c r="G469" s="22" t="n"/>
      <c r="H469" s="21" t="n"/>
      <c r="I469" s="23" t="n"/>
      <c r="J469" s="23" t="n"/>
      <c r="K469" s="24" t="n"/>
      <c r="L469" s="25">
        <f>IF(ISNUMBER(J469),J469-IF(ISNUMBER(K469),K469,30),"")</f>
        <v/>
      </c>
      <c r="M469" s="26">
        <f>IF(J469="","",IF(ISNUMBER(J469),J469-TODAY(),"Check date"))</f>
        <v/>
      </c>
      <c r="N469" s="27">
        <f>IF(M469="","",IF(ISNUMBER(M469),IF(M469&lt;0,"Expired",IF(M469&lt;=30,"Due ≤30 days",IF(M469&lt;=90,"Due ≤90 days","OK"))),"Check date"))</f>
        <v/>
      </c>
      <c r="O469" s="21" t="n"/>
      <c r="P469" s="21" t="n"/>
      <c r="Q469" s="21" t="n"/>
      <c r="R469" s="21" t="n"/>
      <c r="S469" s="21" t="n"/>
    </row>
    <row r="470">
      <c r="A470" s="21" t="n"/>
      <c r="B470" s="21" t="n"/>
      <c r="C470" s="21" t="n"/>
      <c r="D470" s="21" t="n"/>
      <c r="E470" s="21" t="n"/>
      <c r="F470" s="22" t="n"/>
      <c r="G470" s="22" t="n"/>
      <c r="H470" s="21" t="n"/>
      <c r="I470" s="23" t="n"/>
      <c r="J470" s="23" t="n"/>
      <c r="K470" s="24" t="n"/>
      <c r="L470" s="25">
        <f>IF(ISNUMBER(J470),J470-IF(ISNUMBER(K470),K470,30),"")</f>
        <v/>
      </c>
      <c r="M470" s="26">
        <f>IF(J470="","",IF(ISNUMBER(J470),J470-TODAY(),"Check date"))</f>
        <v/>
      </c>
      <c r="N470" s="27">
        <f>IF(M470="","",IF(ISNUMBER(M470),IF(M470&lt;0,"Expired",IF(M470&lt;=30,"Due ≤30 days",IF(M470&lt;=90,"Due ≤90 days","OK"))),"Check date"))</f>
        <v/>
      </c>
      <c r="O470" s="21" t="n"/>
      <c r="P470" s="21" t="n"/>
      <c r="Q470" s="21" t="n"/>
      <c r="R470" s="21" t="n"/>
      <c r="S470" s="21" t="n"/>
    </row>
    <row r="471">
      <c r="A471" s="21" t="n"/>
      <c r="B471" s="21" t="n"/>
      <c r="C471" s="21" t="n"/>
      <c r="D471" s="21" t="n"/>
      <c r="E471" s="21" t="n"/>
      <c r="F471" s="22" t="n"/>
      <c r="G471" s="22" t="n"/>
      <c r="H471" s="21" t="n"/>
      <c r="I471" s="23" t="n"/>
      <c r="J471" s="23" t="n"/>
      <c r="K471" s="24" t="n"/>
      <c r="L471" s="25">
        <f>IF(ISNUMBER(J471),J471-IF(ISNUMBER(K471),K471,30),"")</f>
        <v/>
      </c>
      <c r="M471" s="26">
        <f>IF(J471="","",IF(ISNUMBER(J471),J471-TODAY(),"Check date"))</f>
        <v/>
      </c>
      <c r="N471" s="27">
        <f>IF(M471="","",IF(ISNUMBER(M471),IF(M471&lt;0,"Expired",IF(M471&lt;=30,"Due ≤30 days",IF(M471&lt;=90,"Due ≤90 days","OK"))),"Check date"))</f>
        <v/>
      </c>
      <c r="O471" s="21" t="n"/>
      <c r="P471" s="21" t="n"/>
      <c r="Q471" s="21" t="n"/>
      <c r="R471" s="21" t="n"/>
      <c r="S471" s="21" t="n"/>
    </row>
    <row r="472">
      <c r="A472" s="21" t="n"/>
      <c r="B472" s="21" t="n"/>
      <c r="C472" s="21" t="n"/>
      <c r="D472" s="21" t="n"/>
      <c r="E472" s="21" t="n"/>
      <c r="F472" s="22" t="n"/>
      <c r="G472" s="22" t="n"/>
      <c r="H472" s="21" t="n"/>
      <c r="I472" s="23" t="n"/>
      <c r="J472" s="23" t="n"/>
      <c r="K472" s="24" t="n"/>
      <c r="L472" s="25">
        <f>IF(ISNUMBER(J472),J472-IF(ISNUMBER(K472),K472,30),"")</f>
        <v/>
      </c>
      <c r="M472" s="26">
        <f>IF(J472="","",IF(ISNUMBER(J472),J472-TODAY(),"Check date"))</f>
        <v/>
      </c>
      <c r="N472" s="27">
        <f>IF(M472="","",IF(ISNUMBER(M472),IF(M472&lt;0,"Expired",IF(M472&lt;=30,"Due ≤30 days",IF(M472&lt;=90,"Due ≤90 days","OK"))),"Check date"))</f>
        <v/>
      </c>
      <c r="O472" s="21" t="n"/>
      <c r="P472" s="21" t="n"/>
      <c r="Q472" s="21" t="n"/>
      <c r="R472" s="21" t="n"/>
      <c r="S472" s="21" t="n"/>
    </row>
    <row r="473">
      <c r="A473" s="21" t="n"/>
      <c r="B473" s="21" t="n"/>
      <c r="C473" s="21" t="n"/>
      <c r="D473" s="21" t="n"/>
      <c r="E473" s="21" t="n"/>
      <c r="F473" s="22" t="n"/>
      <c r="G473" s="22" t="n"/>
      <c r="H473" s="21" t="n"/>
      <c r="I473" s="23" t="n"/>
      <c r="J473" s="23" t="n"/>
      <c r="K473" s="24" t="n"/>
      <c r="L473" s="25">
        <f>IF(ISNUMBER(J473),J473-IF(ISNUMBER(K473),K473,30),"")</f>
        <v/>
      </c>
      <c r="M473" s="26">
        <f>IF(J473="","",IF(ISNUMBER(J473),J473-TODAY(),"Check date"))</f>
        <v/>
      </c>
      <c r="N473" s="27">
        <f>IF(M473="","",IF(ISNUMBER(M473),IF(M473&lt;0,"Expired",IF(M473&lt;=30,"Due ≤30 days",IF(M473&lt;=90,"Due ≤90 days","OK"))),"Check date"))</f>
        <v/>
      </c>
      <c r="O473" s="21" t="n"/>
      <c r="P473" s="21" t="n"/>
      <c r="Q473" s="21" t="n"/>
      <c r="R473" s="21" t="n"/>
      <c r="S473" s="21" t="n"/>
    </row>
    <row r="474">
      <c r="A474" s="21" t="n"/>
      <c r="B474" s="21" t="n"/>
      <c r="C474" s="21" t="n"/>
      <c r="D474" s="21" t="n"/>
      <c r="E474" s="21" t="n"/>
      <c r="F474" s="22" t="n"/>
      <c r="G474" s="22" t="n"/>
      <c r="H474" s="21" t="n"/>
      <c r="I474" s="23" t="n"/>
      <c r="J474" s="23" t="n"/>
      <c r="K474" s="24" t="n"/>
      <c r="L474" s="25">
        <f>IF(ISNUMBER(J474),J474-IF(ISNUMBER(K474),K474,30),"")</f>
        <v/>
      </c>
      <c r="M474" s="26">
        <f>IF(J474="","",IF(ISNUMBER(J474),J474-TODAY(),"Check date"))</f>
        <v/>
      </c>
      <c r="N474" s="27">
        <f>IF(M474="","",IF(ISNUMBER(M474),IF(M474&lt;0,"Expired",IF(M474&lt;=30,"Due ≤30 days",IF(M474&lt;=90,"Due ≤90 days","OK"))),"Check date"))</f>
        <v/>
      </c>
      <c r="O474" s="21" t="n"/>
      <c r="P474" s="21" t="n"/>
      <c r="Q474" s="21" t="n"/>
      <c r="R474" s="21" t="n"/>
      <c r="S474" s="21" t="n"/>
    </row>
    <row r="475">
      <c r="A475" s="21" t="n"/>
      <c r="B475" s="21" t="n"/>
      <c r="C475" s="21" t="n"/>
      <c r="D475" s="21" t="n"/>
      <c r="E475" s="21" t="n"/>
      <c r="F475" s="22" t="n"/>
      <c r="G475" s="22" t="n"/>
      <c r="H475" s="21" t="n"/>
      <c r="I475" s="23" t="n"/>
      <c r="J475" s="23" t="n"/>
      <c r="K475" s="24" t="n"/>
      <c r="L475" s="25">
        <f>IF(ISNUMBER(J475),J475-IF(ISNUMBER(K475),K475,30),"")</f>
        <v/>
      </c>
      <c r="M475" s="26">
        <f>IF(J475="","",IF(ISNUMBER(J475),J475-TODAY(),"Check date"))</f>
        <v/>
      </c>
      <c r="N475" s="27">
        <f>IF(M475="","",IF(ISNUMBER(M475),IF(M475&lt;0,"Expired",IF(M475&lt;=30,"Due ≤30 days",IF(M475&lt;=90,"Due ≤90 days","OK"))),"Check date"))</f>
        <v/>
      </c>
      <c r="O475" s="21" t="n"/>
      <c r="P475" s="21" t="n"/>
      <c r="Q475" s="21" t="n"/>
      <c r="R475" s="21" t="n"/>
      <c r="S475" s="21" t="n"/>
    </row>
    <row r="476">
      <c r="A476" s="21" t="n"/>
      <c r="B476" s="21" t="n"/>
      <c r="C476" s="21" t="n"/>
      <c r="D476" s="21" t="n"/>
      <c r="E476" s="21" t="n"/>
      <c r="F476" s="22" t="n"/>
      <c r="G476" s="22" t="n"/>
      <c r="H476" s="21" t="n"/>
      <c r="I476" s="23" t="n"/>
      <c r="J476" s="23" t="n"/>
      <c r="K476" s="24" t="n"/>
      <c r="L476" s="25">
        <f>IF(ISNUMBER(J476),J476-IF(ISNUMBER(K476),K476,30),"")</f>
        <v/>
      </c>
      <c r="M476" s="26">
        <f>IF(J476="","",IF(ISNUMBER(J476),J476-TODAY(),"Check date"))</f>
        <v/>
      </c>
      <c r="N476" s="27">
        <f>IF(M476="","",IF(ISNUMBER(M476),IF(M476&lt;0,"Expired",IF(M476&lt;=30,"Due ≤30 days",IF(M476&lt;=90,"Due ≤90 days","OK"))),"Check date"))</f>
        <v/>
      </c>
      <c r="O476" s="21" t="n"/>
      <c r="P476" s="21" t="n"/>
      <c r="Q476" s="21" t="n"/>
      <c r="R476" s="21" t="n"/>
      <c r="S476" s="21" t="n"/>
    </row>
    <row r="477">
      <c r="A477" s="21" t="n"/>
      <c r="B477" s="21" t="n"/>
      <c r="C477" s="21" t="n"/>
      <c r="D477" s="21" t="n"/>
      <c r="E477" s="21" t="n"/>
      <c r="F477" s="22" t="n"/>
      <c r="G477" s="22" t="n"/>
      <c r="H477" s="21" t="n"/>
      <c r="I477" s="23" t="n"/>
      <c r="J477" s="23" t="n"/>
      <c r="K477" s="24" t="n"/>
      <c r="L477" s="25">
        <f>IF(ISNUMBER(J477),J477-IF(ISNUMBER(K477),K477,30),"")</f>
        <v/>
      </c>
      <c r="M477" s="26">
        <f>IF(J477="","",IF(ISNUMBER(J477),J477-TODAY(),"Check date"))</f>
        <v/>
      </c>
      <c r="N477" s="27">
        <f>IF(M477="","",IF(ISNUMBER(M477),IF(M477&lt;0,"Expired",IF(M477&lt;=30,"Due ≤30 days",IF(M477&lt;=90,"Due ≤90 days","OK"))),"Check date"))</f>
        <v/>
      </c>
      <c r="O477" s="21" t="n"/>
      <c r="P477" s="21" t="n"/>
      <c r="Q477" s="21" t="n"/>
      <c r="R477" s="21" t="n"/>
      <c r="S477" s="21" t="n"/>
    </row>
    <row r="478">
      <c r="A478" s="21" t="n"/>
      <c r="B478" s="21" t="n"/>
      <c r="C478" s="21" t="n"/>
      <c r="D478" s="21" t="n"/>
      <c r="E478" s="21" t="n"/>
      <c r="F478" s="22" t="n"/>
      <c r="G478" s="22" t="n"/>
      <c r="H478" s="21" t="n"/>
      <c r="I478" s="23" t="n"/>
      <c r="J478" s="23" t="n"/>
      <c r="K478" s="24" t="n"/>
      <c r="L478" s="25">
        <f>IF(ISNUMBER(J478),J478-IF(ISNUMBER(K478),K478,30),"")</f>
        <v/>
      </c>
      <c r="M478" s="26">
        <f>IF(J478="","",IF(ISNUMBER(J478),J478-TODAY(),"Check date"))</f>
        <v/>
      </c>
      <c r="N478" s="27">
        <f>IF(M478="","",IF(ISNUMBER(M478),IF(M478&lt;0,"Expired",IF(M478&lt;=30,"Due ≤30 days",IF(M478&lt;=90,"Due ≤90 days","OK"))),"Check date"))</f>
        <v/>
      </c>
      <c r="O478" s="21" t="n"/>
      <c r="P478" s="21" t="n"/>
      <c r="Q478" s="21" t="n"/>
      <c r="R478" s="21" t="n"/>
      <c r="S478" s="21" t="n"/>
    </row>
    <row r="479">
      <c r="A479" s="21" t="n"/>
      <c r="B479" s="21" t="n"/>
      <c r="C479" s="21" t="n"/>
      <c r="D479" s="21" t="n"/>
      <c r="E479" s="21" t="n"/>
      <c r="F479" s="22" t="n"/>
      <c r="G479" s="22" t="n"/>
      <c r="H479" s="21" t="n"/>
      <c r="I479" s="23" t="n"/>
      <c r="J479" s="23" t="n"/>
      <c r="K479" s="24" t="n"/>
      <c r="L479" s="25">
        <f>IF(ISNUMBER(J479),J479-IF(ISNUMBER(K479),K479,30),"")</f>
        <v/>
      </c>
      <c r="M479" s="26">
        <f>IF(J479="","",IF(ISNUMBER(J479),J479-TODAY(),"Check date"))</f>
        <v/>
      </c>
      <c r="N479" s="27">
        <f>IF(M479="","",IF(ISNUMBER(M479),IF(M479&lt;0,"Expired",IF(M479&lt;=30,"Due ≤30 days",IF(M479&lt;=90,"Due ≤90 days","OK"))),"Check date"))</f>
        <v/>
      </c>
      <c r="O479" s="21" t="n"/>
      <c r="P479" s="21" t="n"/>
      <c r="Q479" s="21" t="n"/>
      <c r="R479" s="21" t="n"/>
      <c r="S479" s="21" t="n"/>
    </row>
    <row r="480">
      <c r="A480" s="21" t="n"/>
      <c r="B480" s="21" t="n"/>
      <c r="C480" s="21" t="n"/>
      <c r="D480" s="21" t="n"/>
      <c r="E480" s="21" t="n"/>
      <c r="F480" s="22" t="n"/>
      <c r="G480" s="22" t="n"/>
      <c r="H480" s="21" t="n"/>
      <c r="I480" s="23" t="n"/>
      <c r="J480" s="23" t="n"/>
      <c r="K480" s="24" t="n"/>
      <c r="L480" s="25">
        <f>IF(ISNUMBER(J480),J480-IF(ISNUMBER(K480),K480,30),"")</f>
        <v/>
      </c>
      <c r="M480" s="26">
        <f>IF(J480="","",IF(ISNUMBER(J480),J480-TODAY(),"Check date"))</f>
        <v/>
      </c>
      <c r="N480" s="27">
        <f>IF(M480="","",IF(ISNUMBER(M480),IF(M480&lt;0,"Expired",IF(M480&lt;=30,"Due ≤30 days",IF(M480&lt;=90,"Due ≤90 days","OK"))),"Check date"))</f>
        <v/>
      </c>
      <c r="O480" s="21" t="n"/>
      <c r="P480" s="21" t="n"/>
      <c r="Q480" s="21" t="n"/>
      <c r="R480" s="21" t="n"/>
      <c r="S480" s="21" t="n"/>
    </row>
    <row r="481">
      <c r="A481" s="21" t="n"/>
      <c r="B481" s="21" t="n"/>
      <c r="C481" s="21" t="n"/>
      <c r="D481" s="21" t="n"/>
      <c r="E481" s="21" t="n"/>
      <c r="F481" s="22" t="n"/>
      <c r="G481" s="22" t="n"/>
      <c r="H481" s="21" t="n"/>
      <c r="I481" s="23" t="n"/>
      <c r="J481" s="23" t="n"/>
      <c r="K481" s="24" t="n"/>
      <c r="L481" s="25">
        <f>IF(ISNUMBER(J481),J481-IF(ISNUMBER(K481),K481,30),"")</f>
        <v/>
      </c>
      <c r="M481" s="26">
        <f>IF(J481="","",IF(ISNUMBER(J481),J481-TODAY(),"Check date"))</f>
        <v/>
      </c>
      <c r="N481" s="27">
        <f>IF(M481="","",IF(ISNUMBER(M481),IF(M481&lt;0,"Expired",IF(M481&lt;=30,"Due ≤30 days",IF(M481&lt;=90,"Due ≤90 days","OK"))),"Check date"))</f>
        <v/>
      </c>
      <c r="O481" s="21" t="n"/>
      <c r="P481" s="21" t="n"/>
      <c r="Q481" s="21" t="n"/>
      <c r="R481" s="21" t="n"/>
      <c r="S481" s="21" t="n"/>
    </row>
    <row r="482">
      <c r="A482" s="21" t="n"/>
      <c r="B482" s="21" t="n"/>
      <c r="C482" s="21" t="n"/>
      <c r="D482" s="21" t="n"/>
      <c r="E482" s="21" t="n"/>
      <c r="F482" s="22" t="n"/>
      <c r="G482" s="22" t="n"/>
      <c r="H482" s="21" t="n"/>
      <c r="I482" s="23" t="n"/>
      <c r="J482" s="23" t="n"/>
      <c r="K482" s="24" t="n"/>
      <c r="L482" s="25">
        <f>IF(ISNUMBER(J482),J482-IF(ISNUMBER(K482),K482,30),"")</f>
        <v/>
      </c>
      <c r="M482" s="26">
        <f>IF(J482="","",IF(ISNUMBER(J482),J482-TODAY(),"Check date"))</f>
        <v/>
      </c>
      <c r="N482" s="27">
        <f>IF(M482="","",IF(ISNUMBER(M482),IF(M482&lt;0,"Expired",IF(M482&lt;=30,"Due ≤30 days",IF(M482&lt;=90,"Due ≤90 days","OK"))),"Check date"))</f>
        <v/>
      </c>
      <c r="O482" s="21" t="n"/>
      <c r="P482" s="21" t="n"/>
      <c r="Q482" s="21" t="n"/>
      <c r="R482" s="21" t="n"/>
      <c r="S482" s="21" t="n"/>
    </row>
    <row r="483">
      <c r="A483" s="21" t="n"/>
      <c r="B483" s="21" t="n"/>
      <c r="C483" s="21" t="n"/>
      <c r="D483" s="21" t="n"/>
      <c r="E483" s="21" t="n"/>
      <c r="F483" s="22" t="n"/>
      <c r="G483" s="22" t="n"/>
      <c r="H483" s="21" t="n"/>
      <c r="I483" s="23" t="n"/>
      <c r="J483" s="23" t="n"/>
      <c r="K483" s="24" t="n"/>
      <c r="L483" s="25">
        <f>IF(ISNUMBER(J483),J483-IF(ISNUMBER(K483),K483,30),"")</f>
        <v/>
      </c>
      <c r="M483" s="26">
        <f>IF(J483="","",IF(ISNUMBER(J483),J483-TODAY(),"Check date"))</f>
        <v/>
      </c>
      <c r="N483" s="27">
        <f>IF(M483="","",IF(ISNUMBER(M483),IF(M483&lt;0,"Expired",IF(M483&lt;=30,"Due ≤30 days",IF(M483&lt;=90,"Due ≤90 days","OK"))),"Check date"))</f>
        <v/>
      </c>
      <c r="O483" s="21" t="n"/>
      <c r="P483" s="21" t="n"/>
      <c r="Q483" s="21" t="n"/>
      <c r="R483" s="21" t="n"/>
      <c r="S483" s="21" t="n"/>
    </row>
    <row r="484">
      <c r="A484" s="21" t="n"/>
      <c r="B484" s="21" t="n"/>
      <c r="C484" s="21" t="n"/>
      <c r="D484" s="21" t="n"/>
      <c r="E484" s="21" t="n"/>
      <c r="F484" s="22" t="n"/>
      <c r="G484" s="22" t="n"/>
      <c r="H484" s="21" t="n"/>
      <c r="I484" s="23" t="n"/>
      <c r="J484" s="23" t="n"/>
      <c r="K484" s="24" t="n"/>
      <c r="L484" s="25">
        <f>IF(ISNUMBER(J484),J484-IF(ISNUMBER(K484),K484,30),"")</f>
        <v/>
      </c>
      <c r="M484" s="26">
        <f>IF(J484="","",IF(ISNUMBER(J484),J484-TODAY(),"Check date"))</f>
        <v/>
      </c>
      <c r="N484" s="27">
        <f>IF(M484="","",IF(ISNUMBER(M484),IF(M484&lt;0,"Expired",IF(M484&lt;=30,"Due ≤30 days",IF(M484&lt;=90,"Due ≤90 days","OK"))),"Check date"))</f>
        <v/>
      </c>
      <c r="O484" s="21" t="n"/>
      <c r="P484" s="21" t="n"/>
      <c r="Q484" s="21" t="n"/>
      <c r="R484" s="21" t="n"/>
      <c r="S484" s="21" t="n"/>
    </row>
    <row r="485">
      <c r="A485" s="21" t="n"/>
      <c r="B485" s="21" t="n"/>
      <c r="C485" s="21" t="n"/>
      <c r="D485" s="21" t="n"/>
      <c r="E485" s="21" t="n"/>
      <c r="F485" s="22" t="n"/>
      <c r="G485" s="22" t="n"/>
      <c r="H485" s="21" t="n"/>
      <c r="I485" s="23" t="n"/>
      <c r="J485" s="23" t="n"/>
      <c r="K485" s="24" t="n"/>
      <c r="L485" s="25">
        <f>IF(ISNUMBER(J485),J485-IF(ISNUMBER(K485),K485,30),"")</f>
        <v/>
      </c>
      <c r="M485" s="26">
        <f>IF(J485="","",IF(ISNUMBER(J485),J485-TODAY(),"Check date"))</f>
        <v/>
      </c>
      <c r="N485" s="27">
        <f>IF(M485="","",IF(ISNUMBER(M485),IF(M485&lt;0,"Expired",IF(M485&lt;=30,"Due ≤30 days",IF(M485&lt;=90,"Due ≤90 days","OK"))),"Check date"))</f>
        <v/>
      </c>
      <c r="O485" s="21" t="n"/>
      <c r="P485" s="21" t="n"/>
      <c r="Q485" s="21" t="n"/>
      <c r="R485" s="21" t="n"/>
      <c r="S485" s="21" t="n"/>
    </row>
    <row r="486">
      <c r="A486" s="21" t="n"/>
      <c r="B486" s="21" t="n"/>
      <c r="C486" s="21" t="n"/>
      <c r="D486" s="21" t="n"/>
      <c r="E486" s="21" t="n"/>
      <c r="F486" s="22" t="n"/>
      <c r="G486" s="22" t="n"/>
      <c r="H486" s="21" t="n"/>
      <c r="I486" s="23" t="n"/>
      <c r="J486" s="23" t="n"/>
      <c r="K486" s="24" t="n"/>
      <c r="L486" s="25">
        <f>IF(ISNUMBER(J486),J486-IF(ISNUMBER(K486),K486,30),"")</f>
        <v/>
      </c>
      <c r="M486" s="26">
        <f>IF(J486="","",IF(ISNUMBER(J486),J486-TODAY(),"Check date"))</f>
        <v/>
      </c>
      <c r="N486" s="27">
        <f>IF(M486="","",IF(ISNUMBER(M486),IF(M486&lt;0,"Expired",IF(M486&lt;=30,"Due ≤30 days",IF(M486&lt;=90,"Due ≤90 days","OK"))),"Check date"))</f>
        <v/>
      </c>
      <c r="O486" s="21" t="n"/>
      <c r="P486" s="21" t="n"/>
      <c r="Q486" s="21" t="n"/>
      <c r="R486" s="21" t="n"/>
      <c r="S486" s="21" t="n"/>
    </row>
    <row r="487">
      <c r="A487" s="21" t="n"/>
      <c r="B487" s="21" t="n"/>
      <c r="C487" s="21" t="n"/>
      <c r="D487" s="21" t="n"/>
      <c r="E487" s="21" t="n"/>
      <c r="F487" s="22" t="n"/>
      <c r="G487" s="22" t="n"/>
      <c r="H487" s="21" t="n"/>
      <c r="I487" s="23" t="n"/>
      <c r="J487" s="23" t="n"/>
      <c r="K487" s="24" t="n"/>
      <c r="L487" s="25">
        <f>IF(ISNUMBER(J487),J487-IF(ISNUMBER(K487),K487,30),"")</f>
        <v/>
      </c>
      <c r="M487" s="26">
        <f>IF(J487="","",IF(ISNUMBER(J487),J487-TODAY(),"Check date"))</f>
        <v/>
      </c>
      <c r="N487" s="27">
        <f>IF(M487="","",IF(ISNUMBER(M487),IF(M487&lt;0,"Expired",IF(M487&lt;=30,"Due ≤30 days",IF(M487&lt;=90,"Due ≤90 days","OK"))),"Check date"))</f>
        <v/>
      </c>
      <c r="O487" s="21" t="n"/>
      <c r="P487" s="21" t="n"/>
      <c r="Q487" s="21" t="n"/>
      <c r="R487" s="21" t="n"/>
      <c r="S487" s="21" t="n"/>
    </row>
    <row r="488">
      <c r="A488" s="21" t="n"/>
      <c r="B488" s="21" t="n"/>
      <c r="C488" s="21" t="n"/>
      <c r="D488" s="21" t="n"/>
      <c r="E488" s="21" t="n"/>
      <c r="F488" s="22" t="n"/>
      <c r="G488" s="22" t="n"/>
      <c r="H488" s="21" t="n"/>
      <c r="I488" s="23" t="n"/>
      <c r="J488" s="23" t="n"/>
      <c r="K488" s="24" t="n"/>
      <c r="L488" s="25">
        <f>IF(ISNUMBER(J488),J488-IF(ISNUMBER(K488),K488,30),"")</f>
        <v/>
      </c>
      <c r="M488" s="26">
        <f>IF(J488="","",IF(ISNUMBER(J488),J488-TODAY(),"Check date"))</f>
        <v/>
      </c>
      <c r="N488" s="27">
        <f>IF(M488="","",IF(ISNUMBER(M488),IF(M488&lt;0,"Expired",IF(M488&lt;=30,"Due ≤30 days",IF(M488&lt;=90,"Due ≤90 days","OK"))),"Check date"))</f>
        <v/>
      </c>
      <c r="O488" s="21" t="n"/>
      <c r="P488" s="21" t="n"/>
      <c r="Q488" s="21" t="n"/>
      <c r="R488" s="21" t="n"/>
      <c r="S488" s="21" t="n"/>
    </row>
    <row r="489">
      <c r="A489" s="21" t="n"/>
      <c r="B489" s="21" t="n"/>
      <c r="C489" s="21" t="n"/>
      <c r="D489" s="21" t="n"/>
      <c r="E489" s="21" t="n"/>
      <c r="F489" s="22" t="n"/>
      <c r="G489" s="22" t="n"/>
      <c r="H489" s="21" t="n"/>
      <c r="I489" s="23" t="n"/>
      <c r="J489" s="23" t="n"/>
      <c r="K489" s="24" t="n"/>
      <c r="L489" s="25">
        <f>IF(ISNUMBER(J489),J489-IF(ISNUMBER(K489),K489,30),"")</f>
        <v/>
      </c>
      <c r="M489" s="26">
        <f>IF(J489="","",IF(ISNUMBER(J489),J489-TODAY(),"Check date"))</f>
        <v/>
      </c>
      <c r="N489" s="27">
        <f>IF(M489="","",IF(ISNUMBER(M489),IF(M489&lt;0,"Expired",IF(M489&lt;=30,"Due ≤30 days",IF(M489&lt;=90,"Due ≤90 days","OK"))),"Check date"))</f>
        <v/>
      </c>
      <c r="O489" s="21" t="n"/>
      <c r="P489" s="21" t="n"/>
      <c r="Q489" s="21" t="n"/>
      <c r="R489" s="21" t="n"/>
      <c r="S489" s="21" t="n"/>
    </row>
    <row r="490">
      <c r="A490" s="21" t="n"/>
      <c r="B490" s="21" t="n"/>
      <c r="C490" s="21" t="n"/>
      <c r="D490" s="21" t="n"/>
      <c r="E490" s="21" t="n"/>
      <c r="F490" s="22" t="n"/>
      <c r="G490" s="22" t="n"/>
      <c r="H490" s="21" t="n"/>
      <c r="I490" s="23" t="n"/>
      <c r="J490" s="23" t="n"/>
      <c r="K490" s="24" t="n"/>
      <c r="L490" s="25">
        <f>IF(ISNUMBER(J490),J490-IF(ISNUMBER(K490),K490,30),"")</f>
        <v/>
      </c>
      <c r="M490" s="26">
        <f>IF(J490="","",IF(ISNUMBER(J490),J490-TODAY(),"Check date"))</f>
        <v/>
      </c>
      <c r="N490" s="27">
        <f>IF(M490="","",IF(ISNUMBER(M490),IF(M490&lt;0,"Expired",IF(M490&lt;=30,"Due ≤30 days",IF(M490&lt;=90,"Due ≤90 days","OK"))),"Check date"))</f>
        <v/>
      </c>
      <c r="O490" s="21" t="n"/>
      <c r="P490" s="21" t="n"/>
      <c r="Q490" s="21" t="n"/>
      <c r="R490" s="21" t="n"/>
      <c r="S490" s="21" t="n"/>
    </row>
    <row r="491">
      <c r="A491" s="21" t="n"/>
      <c r="B491" s="21" t="n"/>
      <c r="C491" s="21" t="n"/>
      <c r="D491" s="21" t="n"/>
      <c r="E491" s="21" t="n"/>
      <c r="F491" s="22" t="n"/>
      <c r="G491" s="22" t="n"/>
      <c r="H491" s="21" t="n"/>
      <c r="I491" s="23" t="n"/>
      <c r="J491" s="23" t="n"/>
      <c r="K491" s="24" t="n"/>
      <c r="L491" s="25">
        <f>IF(ISNUMBER(J491),J491-IF(ISNUMBER(K491),K491,30),"")</f>
        <v/>
      </c>
      <c r="M491" s="26">
        <f>IF(J491="","",IF(ISNUMBER(J491),J491-TODAY(),"Check date"))</f>
        <v/>
      </c>
      <c r="N491" s="27">
        <f>IF(M491="","",IF(ISNUMBER(M491),IF(M491&lt;0,"Expired",IF(M491&lt;=30,"Due ≤30 days",IF(M491&lt;=90,"Due ≤90 days","OK"))),"Check date"))</f>
        <v/>
      </c>
      <c r="O491" s="21" t="n"/>
      <c r="P491" s="21" t="n"/>
      <c r="Q491" s="21" t="n"/>
      <c r="R491" s="21" t="n"/>
      <c r="S491" s="21" t="n"/>
    </row>
    <row r="492">
      <c r="A492" s="21" t="n"/>
      <c r="B492" s="21" t="n"/>
      <c r="C492" s="21" t="n"/>
      <c r="D492" s="21" t="n"/>
      <c r="E492" s="21" t="n"/>
      <c r="F492" s="22" t="n"/>
      <c r="G492" s="22" t="n"/>
      <c r="H492" s="21" t="n"/>
      <c r="I492" s="23" t="n"/>
      <c r="J492" s="23" t="n"/>
      <c r="K492" s="24" t="n"/>
      <c r="L492" s="25">
        <f>IF(ISNUMBER(J492),J492-IF(ISNUMBER(K492),K492,30),"")</f>
        <v/>
      </c>
      <c r="M492" s="26">
        <f>IF(J492="","",IF(ISNUMBER(J492),J492-TODAY(),"Check date"))</f>
        <v/>
      </c>
      <c r="N492" s="27">
        <f>IF(M492="","",IF(ISNUMBER(M492),IF(M492&lt;0,"Expired",IF(M492&lt;=30,"Due ≤30 days",IF(M492&lt;=90,"Due ≤90 days","OK"))),"Check date"))</f>
        <v/>
      </c>
      <c r="O492" s="21" t="n"/>
      <c r="P492" s="21" t="n"/>
      <c r="Q492" s="21" t="n"/>
      <c r="R492" s="21" t="n"/>
      <c r="S492" s="21" t="n"/>
    </row>
    <row r="493">
      <c r="A493" s="21" t="n"/>
      <c r="B493" s="21" t="n"/>
      <c r="C493" s="21" t="n"/>
      <c r="D493" s="21" t="n"/>
      <c r="E493" s="21" t="n"/>
      <c r="F493" s="22" t="n"/>
      <c r="G493" s="22" t="n"/>
      <c r="H493" s="21" t="n"/>
      <c r="I493" s="23" t="n"/>
      <c r="J493" s="23" t="n"/>
      <c r="K493" s="24" t="n"/>
      <c r="L493" s="25">
        <f>IF(ISNUMBER(J493),J493-IF(ISNUMBER(K493),K493,30),"")</f>
        <v/>
      </c>
      <c r="M493" s="26">
        <f>IF(J493="","",IF(ISNUMBER(J493),J493-TODAY(),"Check date"))</f>
        <v/>
      </c>
      <c r="N493" s="27">
        <f>IF(M493="","",IF(ISNUMBER(M493),IF(M493&lt;0,"Expired",IF(M493&lt;=30,"Due ≤30 days",IF(M493&lt;=90,"Due ≤90 days","OK"))),"Check date"))</f>
        <v/>
      </c>
      <c r="O493" s="21" t="n"/>
      <c r="P493" s="21" t="n"/>
      <c r="Q493" s="21" t="n"/>
      <c r="R493" s="21" t="n"/>
      <c r="S493" s="21" t="n"/>
    </row>
    <row r="494">
      <c r="A494" s="21" t="n"/>
      <c r="B494" s="21" t="n"/>
      <c r="C494" s="21" t="n"/>
      <c r="D494" s="21" t="n"/>
      <c r="E494" s="21" t="n"/>
      <c r="F494" s="22" t="n"/>
      <c r="G494" s="22" t="n"/>
      <c r="H494" s="21" t="n"/>
      <c r="I494" s="23" t="n"/>
      <c r="J494" s="23" t="n"/>
      <c r="K494" s="24" t="n"/>
      <c r="L494" s="25">
        <f>IF(ISNUMBER(J494),J494-IF(ISNUMBER(K494),K494,30),"")</f>
        <v/>
      </c>
      <c r="M494" s="26">
        <f>IF(J494="","",IF(ISNUMBER(J494),J494-TODAY(),"Check date"))</f>
        <v/>
      </c>
      <c r="N494" s="27">
        <f>IF(M494="","",IF(ISNUMBER(M494),IF(M494&lt;0,"Expired",IF(M494&lt;=30,"Due ≤30 days",IF(M494&lt;=90,"Due ≤90 days","OK"))),"Check date"))</f>
        <v/>
      </c>
      <c r="O494" s="21" t="n"/>
      <c r="P494" s="21" t="n"/>
      <c r="Q494" s="21" t="n"/>
      <c r="R494" s="21" t="n"/>
      <c r="S494" s="21" t="n"/>
    </row>
    <row r="495">
      <c r="A495" s="21" t="n"/>
      <c r="B495" s="21" t="n"/>
      <c r="C495" s="21" t="n"/>
      <c r="D495" s="21" t="n"/>
      <c r="E495" s="21" t="n"/>
      <c r="F495" s="22" t="n"/>
      <c r="G495" s="22" t="n"/>
      <c r="H495" s="21" t="n"/>
      <c r="I495" s="23" t="n"/>
      <c r="J495" s="23" t="n"/>
      <c r="K495" s="24" t="n"/>
      <c r="L495" s="25">
        <f>IF(ISNUMBER(J495),J495-IF(ISNUMBER(K495),K495,30),"")</f>
        <v/>
      </c>
      <c r="M495" s="26">
        <f>IF(J495="","",IF(ISNUMBER(J495),J495-TODAY(),"Check date"))</f>
        <v/>
      </c>
      <c r="N495" s="27">
        <f>IF(M495="","",IF(ISNUMBER(M495),IF(M495&lt;0,"Expired",IF(M495&lt;=30,"Due ≤30 days",IF(M495&lt;=90,"Due ≤90 days","OK"))),"Check date"))</f>
        <v/>
      </c>
      <c r="O495" s="21" t="n"/>
      <c r="P495" s="21" t="n"/>
      <c r="Q495" s="21" t="n"/>
      <c r="R495" s="21" t="n"/>
      <c r="S495" s="21" t="n"/>
    </row>
    <row r="496">
      <c r="A496" s="21" t="n"/>
      <c r="B496" s="21" t="n"/>
      <c r="C496" s="21" t="n"/>
      <c r="D496" s="21" t="n"/>
      <c r="E496" s="21" t="n"/>
      <c r="F496" s="22" t="n"/>
      <c r="G496" s="22" t="n"/>
      <c r="H496" s="21" t="n"/>
      <c r="I496" s="23" t="n"/>
      <c r="J496" s="23" t="n"/>
      <c r="K496" s="24" t="n"/>
      <c r="L496" s="25">
        <f>IF(ISNUMBER(J496),J496-IF(ISNUMBER(K496),K496,30),"")</f>
        <v/>
      </c>
      <c r="M496" s="26">
        <f>IF(J496="","",IF(ISNUMBER(J496),J496-TODAY(),"Check date"))</f>
        <v/>
      </c>
      <c r="N496" s="27">
        <f>IF(M496="","",IF(ISNUMBER(M496),IF(M496&lt;0,"Expired",IF(M496&lt;=30,"Due ≤30 days",IF(M496&lt;=90,"Due ≤90 days","OK"))),"Check date"))</f>
        <v/>
      </c>
      <c r="O496" s="21" t="n"/>
      <c r="P496" s="21" t="n"/>
      <c r="Q496" s="21" t="n"/>
      <c r="R496" s="21" t="n"/>
      <c r="S496" s="21" t="n"/>
    </row>
    <row r="497">
      <c r="A497" s="21" t="n"/>
      <c r="B497" s="21" t="n"/>
      <c r="C497" s="21" t="n"/>
      <c r="D497" s="21" t="n"/>
      <c r="E497" s="21" t="n"/>
      <c r="F497" s="22" t="n"/>
      <c r="G497" s="22" t="n"/>
      <c r="H497" s="21" t="n"/>
      <c r="I497" s="23" t="n"/>
      <c r="J497" s="23" t="n"/>
      <c r="K497" s="24" t="n"/>
      <c r="L497" s="25">
        <f>IF(ISNUMBER(J497),J497-IF(ISNUMBER(K497),K497,30),"")</f>
        <v/>
      </c>
      <c r="M497" s="26">
        <f>IF(J497="","",IF(ISNUMBER(J497),J497-TODAY(),"Check date"))</f>
        <v/>
      </c>
      <c r="N497" s="27">
        <f>IF(M497="","",IF(ISNUMBER(M497),IF(M497&lt;0,"Expired",IF(M497&lt;=30,"Due ≤30 days",IF(M497&lt;=90,"Due ≤90 days","OK"))),"Check date"))</f>
        <v/>
      </c>
      <c r="O497" s="21" t="n"/>
      <c r="P497" s="21" t="n"/>
      <c r="Q497" s="21" t="n"/>
      <c r="R497" s="21" t="n"/>
      <c r="S497" s="21" t="n"/>
    </row>
    <row r="498">
      <c r="A498" s="21" t="n"/>
      <c r="B498" s="21" t="n"/>
      <c r="C498" s="21" t="n"/>
      <c r="D498" s="21" t="n"/>
      <c r="E498" s="21" t="n"/>
      <c r="F498" s="22" t="n"/>
      <c r="G498" s="22" t="n"/>
      <c r="H498" s="21" t="n"/>
      <c r="I498" s="23" t="n"/>
      <c r="J498" s="23" t="n"/>
      <c r="K498" s="24" t="n"/>
      <c r="L498" s="25">
        <f>IF(ISNUMBER(J498),J498-IF(ISNUMBER(K498),K498,30),"")</f>
        <v/>
      </c>
      <c r="M498" s="26">
        <f>IF(J498="","",IF(ISNUMBER(J498),J498-TODAY(),"Check date"))</f>
        <v/>
      </c>
      <c r="N498" s="27">
        <f>IF(M498="","",IF(ISNUMBER(M498),IF(M498&lt;0,"Expired",IF(M498&lt;=30,"Due ≤30 days",IF(M498&lt;=90,"Due ≤90 days","OK"))),"Check date"))</f>
        <v/>
      </c>
      <c r="O498" s="21" t="n"/>
      <c r="P498" s="21" t="n"/>
      <c r="Q498" s="21" t="n"/>
      <c r="R498" s="21" t="n"/>
      <c r="S498" s="21" t="n"/>
    </row>
    <row r="499">
      <c r="A499" s="21" t="n"/>
      <c r="B499" s="21" t="n"/>
      <c r="C499" s="21" t="n"/>
      <c r="D499" s="21" t="n"/>
      <c r="E499" s="21" t="n"/>
      <c r="F499" s="22" t="n"/>
      <c r="G499" s="22" t="n"/>
      <c r="H499" s="21" t="n"/>
      <c r="I499" s="23" t="n"/>
      <c r="J499" s="23" t="n"/>
      <c r="K499" s="24" t="n"/>
      <c r="L499" s="25">
        <f>IF(ISNUMBER(J499),J499-IF(ISNUMBER(K499),K499,30),"")</f>
        <v/>
      </c>
      <c r="M499" s="26">
        <f>IF(J499="","",IF(ISNUMBER(J499),J499-TODAY(),"Check date"))</f>
        <v/>
      </c>
      <c r="N499" s="27">
        <f>IF(M499="","",IF(ISNUMBER(M499),IF(M499&lt;0,"Expired",IF(M499&lt;=30,"Due ≤30 days",IF(M499&lt;=90,"Due ≤90 days","OK"))),"Check date"))</f>
        <v/>
      </c>
      <c r="O499" s="21" t="n"/>
      <c r="P499" s="21" t="n"/>
      <c r="Q499" s="21" t="n"/>
      <c r="R499" s="21" t="n"/>
      <c r="S499" s="21" t="n"/>
    </row>
    <row r="500">
      <c r="A500" s="21" t="n"/>
      <c r="B500" s="21" t="n"/>
      <c r="C500" s="21" t="n"/>
      <c r="D500" s="21" t="n"/>
      <c r="E500" s="21" t="n"/>
      <c r="F500" s="22" t="n"/>
      <c r="G500" s="22" t="n"/>
      <c r="H500" s="21" t="n"/>
      <c r="I500" s="23" t="n"/>
      <c r="J500" s="23" t="n"/>
      <c r="K500" s="24" t="n"/>
      <c r="L500" s="25">
        <f>IF(ISNUMBER(J500),J500-IF(ISNUMBER(K500),K500,30),"")</f>
        <v/>
      </c>
      <c r="M500" s="26">
        <f>IF(J500="","",IF(ISNUMBER(J500),J500-TODAY(),"Check date"))</f>
        <v/>
      </c>
      <c r="N500" s="27">
        <f>IF(M500="","",IF(ISNUMBER(M500),IF(M500&lt;0,"Expired",IF(M500&lt;=30,"Due ≤30 days",IF(M500&lt;=90,"Due ≤90 days","OK"))),"Check date"))</f>
        <v/>
      </c>
      <c r="O500" s="21" t="n"/>
      <c r="P500" s="21" t="n"/>
      <c r="Q500" s="21" t="n"/>
      <c r="R500" s="21" t="n"/>
      <c r="S500" s="21" t="n"/>
    </row>
    <row r="501">
      <c r="A501" s="21" t="n"/>
      <c r="B501" s="21" t="n"/>
      <c r="C501" s="21" t="n"/>
      <c r="D501" s="21" t="n"/>
      <c r="E501" s="21" t="n"/>
      <c r="F501" s="22" t="n"/>
      <c r="G501" s="22" t="n"/>
      <c r="H501" s="21" t="n"/>
      <c r="I501" s="23" t="n"/>
      <c r="J501" s="23" t="n"/>
      <c r="K501" s="24" t="n"/>
      <c r="L501" s="25">
        <f>IF(ISNUMBER(J501),J501-IF(ISNUMBER(K501),K501,30),"")</f>
        <v/>
      </c>
      <c r="M501" s="26">
        <f>IF(J501="","",IF(ISNUMBER(J501),J501-TODAY(),"Check date"))</f>
        <v/>
      </c>
      <c r="N501" s="27">
        <f>IF(M501="","",IF(ISNUMBER(M501),IF(M501&lt;0,"Expired",IF(M501&lt;=30,"Due ≤30 days",IF(M501&lt;=90,"Due ≤90 days","OK"))),"Check date"))</f>
        <v/>
      </c>
      <c r="O501" s="21" t="n"/>
      <c r="P501" s="21" t="n"/>
      <c r="Q501" s="21" t="n"/>
      <c r="R501" s="21" t="n"/>
      <c r="S501" s="21" t="n"/>
    </row>
    <row r="502">
      <c r="A502" s="21" t="n"/>
      <c r="B502" s="21" t="n"/>
      <c r="C502" s="21" t="n"/>
      <c r="D502" s="21" t="n"/>
      <c r="E502" s="21" t="n"/>
      <c r="F502" s="22" t="n"/>
      <c r="G502" s="22" t="n"/>
      <c r="H502" s="21" t="n"/>
      <c r="I502" s="23" t="n"/>
      <c r="J502" s="23" t="n"/>
      <c r="K502" s="24" t="n"/>
      <c r="L502" s="25">
        <f>IF(ISNUMBER(J502),J502-IF(ISNUMBER(K502),K502,30),"")</f>
        <v/>
      </c>
      <c r="M502" s="26">
        <f>IF(J502="","",IF(ISNUMBER(J502),J502-TODAY(),"Check date"))</f>
        <v/>
      </c>
      <c r="N502" s="27">
        <f>IF(M502="","",IF(ISNUMBER(M502),IF(M502&lt;0,"Expired",IF(M502&lt;=30,"Due ≤30 days",IF(M502&lt;=90,"Due ≤90 days","OK"))),"Check date"))</f>
        <v/>
      </c>
      <c r="O502" s="21" t="n"/>
      <c r="P502" s="21" t="n"/>
      <c r="Q502" s="21" t="n"/>
      <c r="R502" s="21" t="n"/>
      <c r="S502" s="21" t="n"/>
    </row>
    <row r="503">
      <c r="A503" s="21" t="n"/>
      <c r="B503" s="21" t="n"/>
      <c r="C503" s="21" t="n"/>
      <c r="D503" s="21" t="n"/>
      <c r="E503" s="21" t="n"/>
      <c r="F503" s="22" t="n"/>
      <c r="G503" s="22" t="n"/>
      <c r="H503" s="21" t="n"/>
      <c r="I503" s="23" t="n"/>
      <c r="J503" s="23" t="n"/>
      <c r="K503" s="24" t="n"/>
      <c r="L503" s="25">
        <f>IF(ISNUMBER(J503),J503-IF(ISNUMBER(K503),K503,30),"")</f>
        <v/>
      </c>
      <c r="M503" s="26">
        <f>IF(J503="","",IF(ISNUMBER(J503),J503-TODAY(),"Check date"))</f>
        <v/>
      </c>
      <c r="N503" s="27">
        <f>IF(M503="","",IF(ISNUMBER(M503),IF(M503&lt;0,"Expired",IF(M503&lt;=30,"Due ≤30 days",IF(M503&lt;=90,"Due ≤90 days","OK"))),"Check date"))</f>
        <v/>
      </c>
      <c r="O503" s="21" t="n"/>
      <c r="P503" s="21" t="n"/>
      <c r="Q503" s="21" t="n"/>
      <c r="R503" s="21" t="n"/>
      <c r="S503" s="21" t="n"/>
    </row>
  </sheetData>
  <conditionalFormatting sqref="J4:J503 M4:M503 N4:N503">
    <cfRule type="expression" priority="1" dxfId="0" stopIfTrue="1">
      <formula>AND(ISNUMBER($M4),$M4&lt;0)</formula>
    </cfRule>
    <cfRule type="expression" priority="2" dxfId="1" stopIfTrue="1">
      <formula>AND(ISNUMBER($M4),$M4&lt;=30)</formula>
    </cfRule>
    <cfRule type="expression" priority="3" dxfId="2" stopIfTrue="1">
      <formula>AND(ISNUMBER($M4),$M4&lt;=90)</formula>
    </cfRule>
    <cfRule type="expression" priority="4" dxfId="3" stopIfTrue="1">
      <formula>ISNUMBER($M4)</formula>
    </cfRule>
  </conditionalFormatting>
  <conditionalFormatting sqref="A4:A503 B4:B503 C4:C503 D4:D503 E4:E503 F4:F503 G4:G503 H4:H503 I4:I503 J4:J503 K4:K503 O4:O503 P4:P503 Q4:Q503 R4:R503 S4:S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8">
    <dataValidation sqref="B4:B503" showDropDown="0" showInputMessage="0" showErrorMessage="1" allowBlank="1" errorTitle="Cover type" error="That is not on the list. Keep it anyway, or add it to the Lists sheet." type="list" errorStyle="warning">
      <formula1>=Lists!$A$2:$A$12</formula1>
    </dataValidation>
    <dataValidation sqref="F4:F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G4:G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H4:H503" showDropDown="0" showInputMessage="0" showErrorMessage="1" allowBlank="1" errorTitle="Currency" error="That is not on the list. Keep it anyway, or add it to the Lists sheet." type="list" errorStyle="warning">
      <formula1>=Lists!$C$2:$C$7</formula1>
    </dataValidation>
    <dataValidation sqref="I4:I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J4:J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K4:K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Q4:Q503" showDropDown="0" showInputMessage="0" showErrorMessage="1" allowBlank="1" errorTitle="Priority" error="Pick one of: Low, Medium, High." type="list" errorStyle="stop">
      <formula1>"Low,Medium,High"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P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2" customWidth="1" min="2" max="2"/>
    <col width="20" customWidth="1" min="3" max="3"/>
    <col width="16" customWidth="1" min="4" max="4"/>
    <col width="13" customWidth="1" min="5" max="5"/>
    <col width="12" customWidth="1" min="6" max="6"/>
    <col width="12" customWidth="1" min="7" max="7"/>
    <col width="13" customWidth="1" min="8" max="8"/>
    <col width="11" customWidth="1" min="9" max="9"/>
    <col width="13" customWidth="1" min="10" max="10"/>
    <col width="10" customWidth="1" min="11" max="11"/>
    <col width="14" customWidth="1" min="12" max="12"/>
    <col width="26" customWidth="1" min="13" max="13"/>
    <col width="26" customWidth="1" min="14" max="14"/>
    <col width="26" customWidth="1" min="15" max="15"/>
    <col width="36" customWidth="1" min="16" max="16"/>
  </cols>
  <sheetData>
    <row r="1" ht="24" customHeight="1">
      <c r="A1" s="18" t="inlineStr">
        <is>
          <t>Certificates of insurance from vendors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Vendor / contractor</t>
        </is>
      </c>
      <c r="B3" s="19" t="inlineStr">
        <is>
          <t>Cover type</t>
        </is>
      </c>
      <c r="C3" s="19" t="inlineStr">
        <is>
          <t>Insurer</t>
        </is>
      </c>
      <c r="D3" s="19" t="inlineStr">
        <is>
          <t>Policy number</t>
        </is>
      </c>
      <c r="E3" s="19" t="inlineStr">
        <is>
          <t>Limit</t>
        </is>
      </c>
      <c r="F3" s="19" t="inlineStr">
        <is>
          <t>Meets our minimum?</t>
        </is>
      </c>
      <c r="G3" s="19" t="inlineStr">
        <is>
          <t>Additional insured?</t>
        </is>
      </c>
      <c r="H3" s="19" t="inlineStr">
        <is>
          <t>Expiry date</t>
        </is>
      </c>
      <c r="I3" s="19" t="inlineStr">
        <is>
          <t>Lead time (days)</t>
        </is>
      </c>
      <c r="J3" s="20" t="inlineStr">
        <is>
          <t>Request-by date</t>
        </is>
      </c>
      <c r="K3" s="20" t="inlineStr">
        <is>
          <t>Days left</t>
        </is>
      </c>
      <c r="L3" s="20" t="inlineStr">
        <is>
          <t>Status</t>
        </is>
      </c>
      <c r="M3" s="19" t="inlineStr">
        <is>
          <t>Vendor contact email</t>
        </is>
      </c>
      <c r="N3" s="19" t="inlineStr">
        <is>
          <t>Internal owner email</t>
        </is>
      </c>
      <c r="O3" s="19" t="inlineStr">
        <is>
          <t>Certificate link</t>
        </is>
      </c>
      <c r="P3" s="19" t="inlineStr">
        <is>
          <t>Notes</t>
        </is>
      </c>
    </row>
    <row r="4">
      <c r="A4" s="21" t="inlineStr">
        <is>
          <t>Example – Sample Electrical Ltd</t>
        </is>
      </c>
      <c r="B4" s="21" t="inlineStr">
        <is>
          <t>Public liability</t>
        </is>
      </c>
      <c r="C4" s="21" t="inlineStr">
        <is>
          <t>Example Insurance plc</t>
        </is>
      </c>
      <c r="D4" s="21" t="inlineStr">
        <is>
          <t>PL-111222</t>
        </is>
      </c>
      <c r="E4" s="22" t="n">
        <v>2000000</v>
      </c>
      <c r="F4" s="21" t="inlineStr">
        <is>
          <t>Yes</t>
        </is>
      </c>
      <c r="G4" s="21" t="inlineStr">
        <is>
          <t>n/a</t>
        </is>
      </c>
      <c r="H4" s="23" t="n">
        <v>46315</v>
      </c>
      <c r="I4" s="24" t="n">
        <v>30</v>
      </c>
      <c r="J4" s="25">
        <f>IF(ISNUMBER(H4),H4-IF(ISNUMBER(I4),I4,30),"")</f>
        <v/>
      </c>
      <c r="K4" s="26">
        <f>IF(H4="","",IF(ISNUMBER(H4),H4-TODAY(),"Check date"))</f>
        <v/>
      </c>
      <c r="L4" s="27">
        <f>IF(K4="","",IF(ISNUMBER(K4),IF(K4&lt;0,"Expired",IF(K4&lt;=30,"Due ≤30 days",IF(K4&lt;=90,"Due ≤90 days","OK"))),"Check date"))</f>
        <v/>
      </c>
      <c r="M4" s="21" t="inlineStr">
        <is>
          <t>office@example.com</t>
        </is>
      </c>
      <c r="N4" s="21" t="inlineStr">
        <is>
          <t>alex@example.com</t>
        </is>
      </c>
      <c r="O4" s="21" t="n"/>
      <c r="P4" s="21" t="n"/>
    </row>
    <row r="5">
      <c r="A5" s="21" t="inlineStr">
        <is>
          <t>Example – Sample Scaffolding Co</t>
        </is>
      </c>
      <c r="B5" s="21" t="inlineStr">
        <is>
          <t>Employers' liability</t>
        </is>
      </c>
      <c r="C5" s="21" t="inlineStr">
        <is>
          <t>Example Mutual</t>
        </is>
      </c>
      <c r="D5" s="21" t="inlineStr">
        <is>
          <t>EL-333444</t>
        </is>
      </c>
      <c r="E5" s="22" t="n">
        <v>10000000</v>
      </c>
      <c r="F5" s="21" t="inlineStr">
        <is>
          <t>Yes</t>
        </is>
      </c>
      <c r="G5" s="21" t="inlineStr">
        <is>
          <t>n/a</t>
        </is>
      </c>
      <c r="H5" s="23" t="n">
        <v>46280</v>
      </c>
      <c r="I5" s="24" t="n">
        <v>30</v>
      </c>
      <c r="J5" s="25">
        <f>IF(ISNUMBER(H5),H5-IF(ISNUMBER(I5),I5,30),"")</f>
        <v/>
      </c>
      <c r="K5" s="26">
        <f>IF(H5="","",IF(ISNUMBER(H5),H5-TODAY(),"Check date"))</f>
        <v/>
      </c>
      <c r="L5" s="27">
        <f>IF(K5="","",IF(ISNUMBER(K5),IF(K5&lt;0,"Expired",IF(K5&lt;=30,"Due ≤30 days",IF(K5&lt;=90,"Due ≤90 days","OK"))),"Check date"))</f>
        <v/>
      </c>
      <c r="M5" s="21" t="inlineStr">
        <is>
          <t>office@example.com</t>
        </is>
      </c>
      <c r="N5" s="21" t="inlineStr">
        <is>
          <t>alex@example.com</t>
        </is>
      </c>
      <c r="O5" s="21" t="n"/>
      <c r="P5" s="21" t="n"/>
    </row>
    <row r="6">
      <c r="A6" s="21" t="inlineStr">
        <is>
          <t>Example – Sample Cleaning Services</t>
        </is>
      </c>
      <c r="B6" s="21" t="inlineStr">
        <is>
          <t>General liability</t>
        </is>
      </c>
      <c r="C6" s="21" t="inlineStr">
        <is>
          <t>Example Specialty</t>
        </is>
      </c>
      <c r="D6" s="21" t="inlineStr">
        <is>
          <t>GL-555666</t>
        </is>
      </c>
      <c r="E6" s="22" t="n">
        <v>1000000</v>
      </c>
      <c r="F6" s="21" t="inlineStr">
        <is>
          <t>Checking</t>
        </is>
      </c>
      <c r="G6" s="21" t="inlineStr">
        <is>
          <t>Yes</t>
        </is>
      </c>
      <c r="H6" s="23" t="n">
        <v>46446</v>
      </c>
      <c r="I6" s="24" t="n">
        <v>30</v>
      </c>
      <c r="J6" s="25">
        <f>IF(ISNUMBER(H6),H6-IF(ISNUMBER(I6),I6,30),"")</f>
        <v/>
      </c>
      <c r="K6" s="26">
        <f>IF(H6="","",IF(ISNUMBER(H6),H6-TODAY(),"Check date"))</f>
        <v/>
      </c>
      <c r="L6" s="27">
        <f>IF(K6="","",IF(ISNUMBER(K6),IF(K6&lt;0,"Expired",IF(K6&lt;=30,"Due ≤30 days",IF(K6&lt;=90,"Due ≤90 days","OK"))),"Check date"))</f>
        <v/>
      </c>
      <c r="M6" s="21" t="inlineStr">
        <is>
          <t>office@example.com</t>
        </is>
      </c>
      <c r="N6" s="21" t="inlineStr">
        <is>
          <t>jo@example.com</t>
        </is>
      </c>
      <c r="O6" s="21" t="n"/>
      <c r="P6" s="21" t="n"/>
    </row>
    <row r="7">
      <c r="A7" s="21" t="n"/>
      <c r="B7" s="21" t="n"/>
      <c r="C7" s="21" t="n"/>
      <c r="D7" s="21" t="n"/>
      <c r="E7" s="22" t="n"/>
      <c r="F7" s="21" t="n"/>
      <c r="G7" s="21" t="n"/>
      <c r="H7" s="23" t="n"/>
      <c r="I7" s="24" t="n"/>
      <c r="J7" s="25">
        <f>IF(ISNUMBER(H7),H7-IF(ISNUMBER(I7),I7,30),"")</f>
        <v/>
      </c>
      <c r="K7" s="26">
        <f>IF(H7="","",IF(ISNUMBER(H7),H7-TODAY(),"Check date"))</f>
        <v/>
      </c>
      <c r="L7" s="27">
        <f>IF(K7="","",IF(ISNUMBER(K7),IF(K7&lt;0,"Expired",IF(K7&lt;=30,"Due ≤30 days",IF(K7&lt;=90,"Due ≤90 days","OK"))),"Check date"))</f>
        <v/>
      </c>
      <c r="M7" s="21" t="n"/>
      <c r="N7" s="21" t="n"/>
      <c r="O7" s="21" t="n"/>
      <c r="P7" s="21" t="n"/>
    </row>
    <row r="8">
      <c r="A8" s="21" t="n"/>
      <c r="B8" s="21" t="n"/>
      <c r="C8" s="21" t="n"/>
      <c r="D8" s="21" t="n"/>
      <c r="E8" s="22" t="n"/>
      <c r="F8" s="21" t="n"/>
      <c r="G8" s="21" t="n"/>
      <c r="H8" s="23" t="n"/>
      <c r="I8" s="24" t="n"/>
      <c r="J8" s="25">
        <f>IF(ISNUMBER(H8),H8-IF(ISNUMBER(I8),I8,30),"")</f>
        <v/>
      </c>
      <c r="K8" s="26">
        <f>IF(H8="","",IF(ISNUMBER(H8),H8-TODAY(),"Check date"))</f>
        <v/>
      </c>
      <c r="L8" s="27">
        <f>IF(K8="","",IF(ISNUMBER(K8),IF(K8&lt;0,"Expired",IF(K8&lt;=30,"Due ≤30 days",IF(K8&lt;=90,"Due ≤90 days","OK"))),"Check date"))</f>
        <v/>
      </c>
      <c r="M8" s="21" t="n"/>
      <c r="N8" s="21" t="n"/>
      <c r="O8" s="21" t="n"/>
      <c r="P8" s="21" t="n"/>
    </row>
    <row r="9">
      <c r="A9" s="21" t="n"/>
      <c r="B9" s="21" t="n"/>
      <c r="C9" s="21" t="n"/>
      <c r="D9" s="21" t="n"/>
      <c r="E9" s="22" t="n"/>
      <c r="F9" s="21" t="n"/>
      <c r="G9" s="21" t="n"/>
      <c r="H9" s="23" t="n"/>
      <c r="I9" s="24" t="n"/>
      <c r="J9" s="25">
        <f>IF(ISNUMBER(H9),H9-IF(ISNUMBER(I9),I9,30),"")</f>
        <v/>
      </c>
      <c r="K9" s="26">
        <f>IF(H9="","",IF(ISNUMBER(H9),H9-TODAY(),"Check date"))</f>
        <v/>
      </c>
      <c r="L9" s="27">
        <f>IF(K9="","",IF(ISNUMBER(K9),IF(K9&lt;0,"Expired",IF(K9&lt;=30,"Due ≤30 days",IF(K9&lt;=90,"Due ≤90 days","OK"))),"Check date"))</f>
        <v/>
      </c>
      <c r="M9" s="21" t="n"/>
      <c r="N9" s="21" t="n"/>
      <c r="O9" s="21" t="n"/>
      <c r="P9" s="21" t="n"/>
    </row>
    <row r="10">
      <c r="A10" s="21" t="n"/>
      <c r="B10" s="21" t="n"/>
      <c r="C10" s="21" t="n"/>
      <c r="D10" s="21" t="n"/>
      <c r="E10" s="22" t="n"/>
      <c r="F10" s="21" t="n"/>
      <c r="G10" s="21" t="n"/>
      <c r="H10" s="23" t="n"/>
      <c r="I10" s="24" t="n"/>
      <c r="J10" s="25">
        <f>IF(ISNUMBER(H10),H10-IF(ISNUMBER(I10),I10,30),"")</f>
        <v/>
      </c>
      <c r="K10" s="26">
        <f>IF(H10="","",IF(ISNUMBER(H10),H10-TODAY(),"Check date"))</f>
        <v/>
      </c>
      <c r="L10" s="27">
        <f>IF(K10="","",IF(ISNUMBER(K10),IF(K10&lt;0,"Expired",IF(K10&lt;=30,"Due ≤30 days",IF(K10&lt;=90,"Due ≤90 days","OK"))),"Check date"))</f>
        <v/>
      </c>
      <c r="M10" s="21" t="n"/>
      <c r="N10" s="21" t="n"/>
      <c r="O10" s="21" t="n"/>
      <c r="P10" s="21" t="n"/>
    </row>
    <row r="11">
      <c r="A11" s="21" t="n"/>
      <c r="B11" s="21" t="n"/>
      <c r="C11" s="21" t="n"/>
      <c r="D11" s="21" t="n"/>
      <c r="E11" s="22" t="n"/>
      <c r="F11" s="21" t="n"/>
      <c r="G11" s="21" t="n"/>
      <c r="H11" s="23" t="n"/>
      <c r="I11" s="24" t="n"/>
      <c r="J11" s="25">
        <f>IF(ISNUMBER(H11),H11-IF(ISNUMBER(I11),I11,30),"")</f>
        <v/>
      </c>
      <c r="K11" s="26">
        <f>IF(H11="","",IF(ISNUMBER(H11),H11-TODAY(),"Check date"))</f>
        <v/>
      </c>
      <c r="L11" s="27">
        <f>IF(K11="","",IF(ISNUMBER(K11),IF(K11&lt;0,"Expired",IF(K11&lt;=30,"Due ≤30 days",IF(K11&lt;=90,"Due ≤90 days","OK"))),"Check date"))</f>
        <v/>
      </c>
      <c r="M11" s="21" t="n"/>
      <c r="N11" s="21" t="n"/>
      <c r="O11" s="21" t="n"/>
      <c r="P11" s="21" t="n"/>
    </row>
    <row r="12">
      <c r="A12" s="21" t="n"/>
      <c r="B12" s="21" t="n"/>
      <c r="C12" s="21" t="n"/>
      <c r="D12" s="21" t="n"/>
      <c r="E12" s="22" t="n"/>
      <c r="F12" s="21" t="n"/>
      <c r="G12" s="21" t="n"/>
      <c r="H12" s="23" t="n"/>
      <c r="I12" s="24" t="n"/>
      <c r="J12" s="25">
        <f>IF(ISNUMBER(H12),H12-IF(ISNUMBER(I12),I12,30),"")</f>
        <v/>
      </c>
      <c r="K12" s="26">
        <f>IF(H12="","",IF(ISNUMBER(H12),H12-TODAY(),"Check date"))</f>
        <v/>
      </c>
      <c r="L12" s="27">
        <f>IF(K12="","",IF(ISNUMBER(K12),IF(K12&lt;0,"Expired",IF(K12&lt;=30,"Due ≤30 days",IF(K12&lt;=90,"Due ≤90 days","OK"))),"Check date"))</f>
        <v/>
      </c>
      <c r="M12" s="21" t="n"/>
      <c r="N12" s="21" t="n"/>
      <c r="O12" s="21" t="n"/>
      <c r="P12" s="21" t="n"/>
    </row>
    <row r="13">
      <c r="A13" s="21" t="n"/>
      <c r="B13" s="21" t="n"/>
      <c r="C13" s="21" t="n"/>
      <c r="D13" s="21" t="n"/>
      <c r="E13" s="22" t="n"/>
      <c r="F13" s="21" t="n"/>
      <c r="G13" s="21" t="n"/>
      <c r="H13" s="23" t="n"/>
      <c r="I13" s="24" t="n"/>
      <c r="J13" s="25">
        <f>IF(ISNUMBER(H13),H13-IF(ISNUMBER(I13),I13,30),"")</f>
        <v/>
      </c>
      <c r="K13" s="26">
        <f>IF(H13="","",IF(ISNUMBER(H13),H13-TODAY(),"Check date"))</f>
        <v/>
      </c>
      <c r="L13" s="27">
        <f>IF(K13="","",IF(ISNUMBER(K13),IF(K13&lt;0,"Expired",IF(K13&lt;=30,"Due ≤30 days",IF(K13&lt;=90,"Due ≤90 days","OK"))),"Check date"))</f>
        <v/>
      </c>
      <c r="M13" s="21" t="n"/>
      <c r="N13" s="21" t="n"/>
      <c r="O13" s="21" t="n"/>
      <c r="P13" s="21" t="n"/>
    </row>
    <row r="14">
      <c r="A14" s="21" t="n"/>
      <c r="B14" s="21" t="n"/>
      <c r="C14" s="21" t="n"/>
      <c r="D14" s="21" t="n"/>
      <c r="E14" s="22" t="n"/>
      <c r="F14" s="21" t="n"/>
      <c r="G14" s="21" t="n"/>
      <c r="H14" s="23" t="n"/>
      <c r="I14" s="24" t="n"/>
      <c r="J14" s="25">
        <f>IF(ISNUMBER(H14),H14-IF(ISNUMBER(I14),I14,30),"")</f>
        <v/>
      </c>
      <c r="K14" s="26">
        <f>IF(H14="","",IF(ISNUMBER(H14),H14-TODAY(),"Check date"))</f>
        <v/>
      </c>
      <c r="L14" s="27">
        <f>IF(K14="","",IF(ISNUMBER(K14),IF(K14&lt;0,"Expired",IF(K14&lt;=30,"Due ≤30 days",IF(K14&lt;=90,"Due ≤90 days","OK"))),"Check date"))</f>
        <v/>
      </c>
      <c r="M14" s="21" t="n"/>
      <c r="N14" s="21" t="n"/>
      <c r="O14" s="21" t="n"/>
      <c r="P14" s="21" t="n"/>
    </row>
    <row r="15">
      <c r="A15" s="21" t="n"/>
      <c r="B15" s="21" t="n"/>
      <c r="C15" s="21" t="n"/>
      <c r="D15" s="21" t="n"/>
      <c r="E15" s="22" t="n"/>
      <c r="F15" s="21" t="n"/>
      <c r="G15" s="21" t="n"/>
      <c r="H15" s="23" t="n"/>
      <c r="I15" s="24" t="n"/>
      <c r="J15" s="25">
        <f>IF(ISNUMBER(H15),H15-IF(ISNUMBER(I15),I15,30),"")</f>
        <v/>
      </c>
      <c r="K15" s="26">
        <f>IF(H15="","",IF(ISNUMBER(H15),H15-TODAY(),"Check date"))</f>
        <v/>
      </c>
      <c r="L15" s="27">
        <f>IF(K15="","",IF(ISNUMBER(K15),IF(K15&lt;0,"Expired",IF(K15&lt;=30,"Due ≤30 days",IF(K15&lt;=90,"Due ≤90 days","OK"))),"Check date"))</f>
        <v/>
      </c>
      <c r="M15" s="21" t="n"/>
      <c r="N15" s="21" t="n"/>
      <c r="O15" s="21" t="n"/>
      <c r="P15" s="21" t="n"/>
    </row>
    <row r="16">
      <c r="A16" s="21" t="n"/>
      <c r="B16" s="21" t="n"/>
      <c r="C16" s="21" t="n"/>
      <c r="D16" s="21" t="n"/>
      <c r="E16" s="22" t="n"/>
      <c r="F16" s="21" t="n"/>
      <c r="G16" s="21" t="n"/>
      <c r="H16" s="23" t="n"/>
      <c r="I16" s="24" t="n"/>
      <c r="J16" s="25">
        <f>IF(ISNUMBER(H16),H16-IF(ISNUMBER(I16),I16,30),"")</f>
        <v/>
      </c>
      <c r="K16" s="26">
        <f>IF(H16="","",IF(ISNUMBER(H16),H16-TODAY(),"Check date"))</f>
        <v/>
      </c>
      <c r="L16" s="27">
        <f>IF(K16="","",IF(ISNUMBER(K16),IF(K16&lt;0,"Expired",IF(K16&lt;=30,"Due ≤30 days",IF(K16&lt;=90,"Due ≤90 days","OK"))),"Check date"))</f>
        <v/>
      </c>
      <c r="M16" s="21" t="n"/>
      <c r="N16" s="21" t="n"/>
      <c r="O16" s="21" t="n"/>
      <c r="P16" s="21" t="n"/>
    </row>
    <row r="17">
      <c r="A17" s="21" t="n"/>
      <c r="B17" s="21" t="n"/>
      <c r="C17" s="21" t="n"/>
      <c r="D17" s="21" t="n"/>
      <c r="E17" s="22" t="n"/>
      <c r="F17" s="21" t="n"/>
      <c r="G17" s="21" t="n"/>
      <c r="H17" s="23" t="n"/>
      <c r="I17" s="24" t="n"/>
      <c r="J17" s="25">
        <f>IF(ISNUMBER(H17),H17-IF(ISNUMBER(I17),I17,30),"")</f>
        <v/>
      </c>
      <c r="K17" s="26">
        <f>IF(H17="","",IF(ISNUMBER(H17),H17-TODAY(),"Check date"))</f>
        <v/>
      </c>
      <c r="L17" s="27">
        <f>IF(K17="","",IF(ISNUMBER(K17),IF(K17&lt;0,"Expired",IF(K17&lt;=30,"Due ≤30 days",IF(K17&lt;=90,"Due ≤90 days","OK"))),"Check date"))</f>
        <v/>
      </c>
      <c r="M17" s="21" t="n"/>
      <c r="N17" s="21" t="n"/>
      <c r="O17" s="21" t="n"/>
      <c r="P17" s="21" t="n"/>
    </row>
    <row r="18">
      <c r="A18" s="21" t="n"/>
      <c r="B18" s="21" t="n"/>
      <c r="C18" s="21" t="n"/>
      <c r="D18" s="21" t="n"/>
      <c r="E18" s="22" t="n"/>
      <c r="F18" s="21" t="n"/>
      <c r="G18" s="21" t="n"/>
      <c r="H18" s="23" t="n"/>
      <c r="I18" s="24" t="n"/>
      <c r="J18" s="25">
        <f>IF(ISNUMBER(H18),H18-IF(ISNUMBER(I18),I18,30),"")</f>
        <v/>
      </c>
      <c r="K18" s="26">
        <f>IF(H18="","",IF(ISNUMBER(H18),H18-TODAY(),"Check date"))</f>
        <v/>
      </c>
      <c r="L18" s="27">
        <f>IF(K18="","",IF(ISNUMBER(K18),IF(K18&lt;0,"Expired",IF(K18&lt;=30,"Due ≤30 days",IF(K18&lt;=90,"Due ≤90 days","OK"))),"Check date"))</f>
        <v/>
      </c>
      <c r="M18" s="21" t="n"/>
      <c r="N18" s="21" t="n"/>
      <c r="O18" s="21" t="n"/>
      <c r="P18" s="21" t="n"/>
    </row>
    <row r="19">
      <c r="A19" s="21" t="n"/>
      <c r="B19" s="21" t="n"/>
      <c r="C19" s="21" t="n"/>
      <c r="D19" s="21" t="n"/>
      <c r="E19" s="22" t="n"/>
      <c r="F19" s="21" t="n"/>
      <c r="G19" s="21" t="n"/>
      <c r="H19" s="23" t="n"/>
      <c r="I19" s="24" t="n"/>
      <c r="J19" s="25">
        <f>IF(ISNUMBER(H19),H19-IF(ISNUMBER(I19),I19,30),"")</f>
        <v/>
      </c>
      <c r="K19" s="26">
        <f>IF(H19="","",IF(ISNUMBER(H19),H19-TODAY(),"Check date"))</f>
        <v/>
      </c>
      <c r="L19" s="27">
        <f>IF(K19="","",IF(ISNUMBER(K19),IF(K19&lt;0,"Expired",IF(K19&lt;=30,"Due ≤30 days",IF(K19&lt;=90,"Due ≤90 days","OK"))),"Check date"))</f>
        <v/>
      </c>
      <c r="M19" s="21" t="n"/>
      <c r="N19" s="21" t="n"/>
      <c r="O19" s="21" t="n"/>
      <c r="P19" s="21" t="n"/>
    </row>
    <row r="20">
      <c r="A20" s="21" t="n"/>
      <c r="B20" s="21" t="n"/>
      <c r="C20" s="21" t="n"/>
      <c r="D20" s="21" t="n"/>
      <c r="E20" s="22" t="n"/>
      <c r="F20" s="21" t="n"/>
      <c r="G20" s="21" t="n"/>
      <c r="H20" s="23" t="n"/>
      <c r="I20" s="24" t="n"/>
      <c r="J20" s="25">
        <f>IF(ISNUMBER(H20),H20-IF(ISNUMBER(I20),I20,30),"")</f>
        <v/>
      </c>
      <c r="K20" s="26">
        <f>IF(H20="","",IF(ISNUMBER(H20),H20-TODAY(),"Check date"))</f>
        <v/>
      </c>
      <c r="L20" s="27">
        <f>IF(K20="","",IF(ISNUMBER(K20),IF(K20&lt;0,"Expired",IF(K20&lt;=30,"Due ≤30 days",IF(K20&lt;=90,"Due ≤90 days","OK"))),"Check date"))</f>
        <v/>
      </c>
      <c r="M20" s="21" t="n"/>
      <c r="N20" s="21" t="n"/>
      <c r="O20" s="21" t="n"/>
      <c r="P20" s="21" t="n"/>
    </row>
    <row r="21">
      <c r="A21" s="21" t="n"/>
      <c r="B21" s="21" t="n"/>
      <c r="C21" s="21" t="n"/>
      <c r="D21" s="21" t="n"/>
      <c r="E21" s="22" t="n"/>
      <c r="F21" s="21" t="n"/>
      <c r="G21" s="21" t="n"/>
      <c r="H21" s="23" t="n"/>
      <c r="I21" s="24" t="n"/>
      <c r="J21" s="25">
        <f>IF(ISNUMBER(H21),H21-IF(ISNUMBER(I21),I21,30),"")</f>
        <v/>
      </c>
      <c r="K21" s="26">
        <f>IF(H21="","",IF(ISNUMBER(H21),H21-TODAY(),"Check date"))</f>
        <v/>
      </c>
      <c r="L21" s="27">
        <f>IF(K21="","",IF(ISNUMBER(K21),IF(K21&lt;0,"Expired",IF(K21&lt;=30,"Due ≤30 days",IF(K21&lt;=90,"Due ≤90 days","OK"))),"Check date"))</f>
        <v/>
      </c>
      <c r="M21" s="21" t="n"/>
      <c r="N21" s="21" t="n"/>
      <c r="O21" s="21" t="n"/>
      <c r="P21" s="21" t="n"/>
    </row>
    <row r="22">
      <c r="A22" s="21" t="n"/>
      <c r="B22" s="21" t="n"/>
      <c r="C22" s="21" t="n"/>
      <c r="D22" s="21" t="n"/>
      <c r="E22" s="22" t="n"/>
      <c r="F22" s="21" t="n"/>
      <c r="G22" s="21" t="n"/>
      <c r="H22" s="23" t="n"/>
      <c r="I22" s="24" t="n"/>
      <c r="J22" s="25">
        <f>IF(ISNUMBER(H22),H22-IF(ISNUMBER(I22),I22,30),"")</f>
        <v/>
      </c>
      <c r="K22" s="26">
        <f>IF(H22="","",IF(ISNUMBER(H22),H22-TODAY(),"Check date"))</f>
        <v/>
      </c>
      <c r="L22" s="27">
        <f>IF(K22="","",IF(ISNUMBER(K22),IF(K22&lt;0,"Expired",IF(K22&lt;=30,"Due ≤30 days",IF(K22&lt;=90,"Due ≤90 days","OK"))),"Check date"))</f>
        <v/>
      </c>
      <c r="M22" s="21" t="n"/>
      <c r="N22" s="21" t="n"/>
      <c r="O22" s="21" t="n"/>
      <c r="P22" s="21" t="n"/>
    </row>
    <row r="23">
      <c r="A23" s="21" t="n"/>
      <c r="B23" s="21" t="n"/>
      <c r="C23" s="21" t="n"/>
      <c r="D23" s="21" t="n"/>
      <c r="E23" s="22" t="n"/>
      <c r="F23" s="21" t="n"/>
      <c r="G23" s="21" t="n"/>
      <c r="H23" s="23" t="n"/>
      <c r="I23" s="24" t="n"/>
      <c r="J23" s="25">
        <f>IF(ISNUMBER(H23),H23-IF(ISNUMBER(I23),I23,30),"")</f>
        <v/>
      </c>
      <c r="K23" s="26">
        <f>IF(H23="","",IF(ISNUMBER(H23),H23-TODAY(),"Check date"))</f>
        <v/>
      </c>
      <c r="L23" s="27">
        <f>IF(K23="","",IF(ISNUMBER(K23),IF(K23&lt;0,"Expired",IF(K23&lt;=30,"Due ≤30 days",IF(K23&lt;=90,"Due ≤90 days","OK"))),"Check date"))</f>
        <v/>
      </c>
      <c r="M23" s="21" t="n"/>
      <c r="N23" s="21" t="n"/>
      <c r="O23" s="21" t="n"/>
      <c r="P23" s="21" t="n"/>
    </row>
    <row r="24">
      <c r="A24" s="21" t="n"/>
      <c r="B24" s="21" t="n"/>
      <c r="C24" s="21" t="n"/>
      <c r="D24" s="21" t="n"/>
      <c r="E24" s="22" t="n"/>
      <c r="F24" s="21" t="n"/>
      <c r="G24" s="21" t="n"/>
      <c r="H24" s="23" t="n"/>
      <c r="I24" s="24" t="n"/>
      <c r="J24" s="25">
        <f>IF(ISNUMBER(H24),H24-IF(ISNUMBER(I24),I24,30),"")</f>
        <v/>
      </c>
      <c r="K24" s="26">
        <f>IF(H24="","",IF(ISNUMBER(H24),H24-TODAY(),"Check date"))</f>
        <v/>
      </c>
      <c r="L24" s="27">
        <f>IF(K24="","",IF(ISNUMBER(K24),IF(K24&lt;0,"Expired",IF(K24&lt;=30,"Due ≤30 days",IF(K24&lt;=90,"Due ≤90 days","OK"))),"Check date"))</f>
        <v/>
      </c>
      <c r="M24" s="21" t="n"/>
      <c r="N24" s="21" t="n"/>
      <c r="O24" s="21" t="n"/>
      <c r="P24" s="21" t="n"/>
    </row>
    <row r="25">
      <c r="A25" s="21" t="n"/>
      <c r="B25" s="21" t="n"/>
      <c r="C25" s="21" t="n"/>
      <c r="D25" s="21" t="n"/>
      <c r="E25" s="22" t="n"/>
      <c r="F25" s="21" t="n"/>
      <c r="G25" s="21" t="n"/>
      <c r="H25" s="23" t="n"/>
      <c r="I25" s="24" t="n"/>
      <c r="J25" s="25">
        <f>IF(ISNUMBER(H25),H25-IF(ISNUMBER(I25),I25,30),"")</f>
        <v/>
      </c>
      <c r="K25" s="26">
        <f>IF(H25="","",IF(ISNUMBER(H25),H25-TODAY(),"Check date"))</f>
        <v/>
      </c>
      <c r="L25" s="27">
        <f>IF(K25="","",IF(ISNUMBER(K25),IF(K25&lt;0,"Expired",IF(K25&lt;=30,"Due ≤30 days",IF(K25&lt;=90,"Due ≤90 days","OK"))),"Check date"))</f>
        <v/>
      </c>
      <c r="M25" s="21" t="n"/>
      <c r="N25" s="21" t="n"/>
      <c r="O25" s="21" t="n"/>
      <c r="P25" s="21" t="n"/>
    </row>
    <row r="26">
      <c r="A26" s="21" t="n"/>
      <c r="B26" s="21" t="n"/>
      <c r="C26" s="21" t="n"/>
      <c r="D26" s="21" t="n"/>
      <c r="E26" s="22" t="n"/>
      <c r="F26" s="21" t="n"/>
      <c r="G26" s="21" t="n"/>
      <c r="H26" s="23" t="n"/>
      <c r="I26" s="24" t="n"/>
      <c r="J26" s="25">
        <f>IF(ISNUMBER(H26),H26-IF(ISNUMBER(I26),I26,30),"")</f>
        <v/>
      </c>
      <c r="K26" s="26">
        <f>IF(H26="","",IF(ISNUMBER(H26),H26-TODAY(),"Check date"))</f>
        <v/>
      </c>
      <c r="L26" s="27">
        <f>IF(K26="","",IF(ISNUMBER(K26),IF(K26&lt;0,"Expired",IF(K26&lt;=30,"Due ≤30 days",IF(K26&lt;=90,"Due ≤90 days","OK"))),"Check date"))</f>
        <v/>
      </c>
      <c r="M26" s="21" t="n"/>
      <c r="N26" s="21" t="n"/>
      <c r="O26" s="21" t="n"/>
      <c r="P26" s="21" t="n"/>
    </row>
    <row r="27">
      <c r="A27" s="21" t="n"/>
      <c r="B27" s="21" t="n"/>
      <c r="C27" s="21" t="n"/>
      <c r="D27" s="21" t="n"/>
      <c r="E27" s="22" t="n"/>
      <c r="F27" s="21" t="n"/>
      <c r="G27" s="21" t="n"/>
      <c r="H27" s="23" t="n"/>
      <c r="I27" s="24" t="n"/>
      <c r="J27" s="25">
        <f>IF(ISNUMBER(H27),H27-IF(ISNUMBER(I27),I27,30),"")</f>
        <v/>
      </c>
      <c r="K27" s="26">
        <f>IF(H27="","",IF(ISNUMBER(H27),H27-TODAY(),"Check date"))</f>
        <v/>
      </c>
      <c r="L27" s="27">
        <f>IF(K27="","",IF(ISNUMBER(K27),IF(K27&lt;0,"Expired",IF(K27&lt;=30,"Due ≤30 days",IF(K27&lt;=90,"Due ≤90 days","OK"))),"Check date"))</f>
        <v/>
      </c>
      <c r="M27" s="21" t="n"/>
      <c r="N27" s="21" t="n"/>
      <c r="O27" s="21" t="n"/>
      <c r="P27" s="21" t="n"/>
    </row>
    <row r="28">
      <c r="A28" s="21" t="n"/>
      <c r="B28" s="21" t="n"/>
      <c r="C28" s="21" t="n"/>
      <c r="D28" s="21" t="n"/>
      <c r="E28" s="22" t="n"/>
      <c r="F28" s="21" t="n"/>
      <c r="G28" s="21" t="n"/>
      <c r="H28" s="23" t="n"/>
      <c r="I28" s="24" t="n"/>
      <c r="J28" s="25">
        <f>IF(ISNUMBER(H28),H28-IF(ISNUMBER(I28),I28,30),"")</f>
        <v/>
      </c>
      <c r="K28" s="26">
        <f>IF(H28="","",IF(ISNUMBER(H28),H28-TODAY(),"Check date"))</f>
        <v/>
      </c>
      <c r="L28" s="27">
        <f>IF(K28="","",IF(ISNUMBER(K28),IF(K28&lt;0,"Expired",IF(K28&lt;=30,"Due ≤30 days",IF(K28&lt;=90,"Due ≤90 days","OK"))),"Check date"))</f>
        <v/>
      </c>
      <c r="M28" s="21" t="n"/>
      <c r="N28" s="21" t="n"/>
      <c r="O28" s="21" t="n"/>
      <c r="P28" s="21" t="n"/>
    </row>
    <row r="29">
      <c r="A29" s="21" t="n"/>
      <c r="B29" s="21" t="n"/>
      <c r="C29" s="21" t="n"/>
      <c r="D29" s="21" t="n"/>
      <c r="E29" s="22" t="n"/>
      <c r="F29" s="21" t="n"/>
      <c r="G29" s="21" t="n"/>
      <c r="H29" s="23" t="n"/>
      <c r="I29" s="24" t="n"/>
      <c r="J29" s="25">
        <f>IF(ISNUMBER(H29),H29-IF(ISNUMBER(I29),I29,30),"")</f>
        <v/>
      </c>
      <c r="K29" s="26">
        <f>IF(H29="","",IF(ISNUMBER(H29),H29-TODAY(),"Check date"))</f>
        <v/>
      </c>
      <c r="L29" s="27">
        <f>IF(K29="","",IF(ISNUMBER(K29),IF(K29&lt;0,"Expired",IF(K29&lt;=30,"Due ≤30 days",IF(K29&lt;=90,"Due ≤90 days","OK"))),"Check date"))</f>
        <v/>
      </c>
      <c r="M29" s="21" t="n"/>
      <c r="N29" s="21" t="n"/>
      <c r="O29" s="21" t="n"/>
      <c r="P29" s="21" t="n"/>
    </row>
    <row r="30">
      <c r="A30" s="21" t="n"/>
      <c r="B30" s="21" t="n"/>
      <c r="C30" s="21" t="n"/>
      <c r="D30" s="21" t="n"/>
      <c r="E30" s="22" t="n"/>
      <c r="F30" s="21" t="n"/>
      <c r="G30" s="21" t="n"/>
      <c r="H30" s="23" t="n"/>
      <c r="I30" s="24" t="n"/>
      <c r="J30" s="25">
        <f>IF(ISNUMBER(H30),H30-IF(ISNUMBER(I30),I30,30),"")</f>
        <v/>
      </c>
      <c r="K30" s="26">
        <f>IF(H30="","",IF(ISNUMBER(H30),H30-TODAY(),"Check date"))</f>
        <v/>
      </c>
      <c r="L30" s="27">
        <f>IF(K30="","",IF(ISNUMBER(K30),IF(K30&lt;0,"Expired",IF(K30&lt;=30,"Due ≤30 days",IF(K30&lt;=90,"Due ≤90 days","OK"))),"Check date"))</f>
        <v/>
      </c>
      <c r="M30" s="21" t="n"/>
      <c r="N30" s="21" t="n"/>
      <c r="O30" s="21" t="n"/>
      <c r="P30" s="21" t="n"/>
    </row>
    <row r="31">
      <c r="A31" s="21" t="n"/>
      <c r="B31" s="21" t="n"/>
      <c r="C31" s="21" t="n"/>
      <c r="D31" s="21" t="n"/>
      <c r="E31" s="22" t="n"/>
      <c r="F31" s="21" t="n"/>
      <c r="G31" s="21" t="n"/>
      <c r="H31" s="23" t="n"/>
      <c r="I31" s="24" t="n"/>
      <c r="J31" s="25">
        <f>IF(ISNUMBER(H31),H31-IF(ISNUMBER(I31),I31,30),"")</f>
        <v/>
      </c>
      <c r="K31" s="26">
        <f>IF(H31="","",IF(ISNUMBER(H31),H31-TODAY(),"Check date"))</f>
        <v/>
      </c>
      <c r="L31" s="27">
        <f>IF(K31="","",IF(ISNUMBER(K31),IF(K31&lt;0,"Expired",IF(K31&lt;=30,"Due ≤30 days",IF(K31&lt;=90,"Due ≤90 days","OK"))),"Check date"))</f>
        <v/>
      </c>
      <c r="M31" s="21" t="n"/>
      <c r="N31" s="21" t="n"/>
      <c r="O31" s="21" t="n"/>
      <c r="P31" s="21" t="n"/>
    </row>
    <row r="32">
      <c r="A32" s="21" t="n"/>
      <c r="B32" s="21" t="n"/>
      <c r="C32" s="21" t="n"/>
      <c r="D32" s="21" t="n"/>
      <c r="E32" s="22" t="n"/>
      <c r="F32" s="21" t="n"/>
      <c r="G32" s="21" t="n"/>
      <c r="H32" s="23" t="n"/>
      <c r="I32" s="24" t="n"/>
      <c r="J32" s="25">
        <f>IF(ISNUMBER(H32),H32-IF(ISNUMBER(I32),I32,30),"")</f>
        <v/>
      </c>
      <c r="K32" s="26">
        <f>IF(H32="","",IF(ISNUMBER(H32),H32-TODAY(),"Check date"))</f>
        <v/>
      </c>
      <c r="L32" s="27">
        <f>IF(K32="","",IF(ISNUMBER(K32),IF(K32&lt;0,"Expired",IF(K32&lt;=30,"Due ≤30 days",IF(K32&lt;=90,"Due ≤90 days","OK"))),"Check date"))</f>
        <v/>
      </c>
      <c r="M32" s="21" t="n"/>
      <c r="N32" s="21" t="n"/>
      <c r="O32" s="21" t="n"/>
      <c r="P32" s="21" t="n"/>
    </row>
    <row r="33">
      <c r="A33" s="21" t="n"/>
      <c r="B33" s="21" t="n"/>
      <c r="C33" s="21" t="n"/>
      <c r="D33" s="21" t="n"/>
      <c r="E33" s="22" t="n"/>
      <c r="F33" s="21" t="n"/>
      <c r="G33" s="21" t="n"/>
      <c r="H33" s="23" t="n"/>
      <c r="I33" s="24" t="n"/>
      <c r="J33" s="25">
        <f>IF(ISNUMBER(H33),H33-IF(ISNUMBER(I33),I33,30),"")</f>
        <v/>
      </c>
      <c r="K33" s="26">
        <f>IF(H33="","",IF(ISNUMBER(H33),H33-TODAY(),"Check date"))</f>
        <v/>
      </c>
      <c r="L33" s="27">
        <f>IF(K33="","",IF(ISNUMBER(K33),IF(K33&lt;0,"Expired",IF(K33&lt;=30,"Due ≤30 days",IF(K33&lt;=90,"Due ≤90 days","OK"))),"Check date"))</f>
        <v/>
      </c>
      <c r="M33" s="21" t="n"/>
      <c r="N33" s="21" t="n"/>
      <c r="O33" s="21" t="n"/>
      <c r="P33" s="21" t="n"/>
    </row>
    <row r="34">
      <c r="A34" s="21" t="n"/>
      <c r="B34" s="21" t="n"/>
      <c r="C34" s="21" t="n"/>
      <c r="D34" s="21" t="n"/>
      <c r="E34" s="22" t="n"/>
      <c r="F34" s="21" t="n"/>
      <c r="G34" s="21" t="n"/>
      <c r="H34" s="23" t="n"/>
      <c r="I34" s="24" t="n"/>
      <c r="J34" s="25">
        <f>IF(ISNUMBER(H34),H34-IF(ISNUMBER(I34),I34,30),"")</f>
        <v/>
      </c>
      <c r="K34" s="26">
        <f>IF(H34="","",IF(ISNUMBER(H34),H34-TODAY(),"Check date"))</f>
        <v/>
      </c>
      <c r="L34" s="27">
        <f>IF(K34="","",IF(ISNUMBER(K34),IF(K34&lt;0,"Expired",IF(K34&lt;=30,"Due ≤30 days",IF(K34&lt;=90,"Due ≤90 days","OK"))),"Check date"))</f>
        <v/>
      </c>
      <c r="M34" s="21" t="n"/>
      <c r="N34" s="21" t="n"/>
      <c r="O34" s="21" t="n"/>
      <c r="P34" s="21" t="n"/>
    </row>
    <row r="35">
      <c r="A35" s="21" t="n"/>
      <c r="B35" s="21" t="n"/>
      <c r="C35" s="21" t="n"/>
      <c r="D35" s="21" t="n"/>
      <c r="E35" s="22" t="n"/>
      <c r="F35" s="21" t="n"/>
      <c r="G35" s="21" t="n"/>
      <c r="H35" s="23" t="n"/>
      <c r="I35" s="24" t="n"/>
      <c r="J35" s="25">
        <f>IF(ISNUMBER(H35),H35-IF(ISNUMBER(I35),I35,30),"")</f>
        <v/>
      </c>
      <c r="K35" s="26">
        <f>IF(H35="","",IF(ISNUMBER(H35),H35-TODAY(),"Check date"))</f>
        <v/>
      </c>
      <c r="L35" s="27">
        <f>IF(K35="","",IF(ISNUMBER(K35),IF(K35&lt;0,"Expired",IF(K35&lt;=30,"Due ≤30 days",IF(K35&lt;=90,"Due ≤90 days","OK"))),"Check date"))</f>
        <v/>
      </c>
      <c r="M35" s="21" t="n"/>
      <c r="N35" s="21" t="n"/>
      <c r="O35" s="21" t="n"/>
      <c r="P35" s="21" t="n"/>
    </row>
    <row r="36">
      <c r="A36" s="21" t="n"/>
      <c r="B36" s="21" t="n"/>
      <c r="C36" s="21" t="n"/>
      <c r="D36" s="21" t="n"/>
      <c r="E36" s="22" t="n"/>
      <c r="F36" s="21" t="n"/>
      <c r="G36" s="21" t="n"/>
      <c r="H36" s="23" t="n"/>
      <c r="I36" s="24" t="n"/>
      <c r="J36" s="25">
        <f>IF(ISNUMBER(H36),H36-IF(ISNUMBER(I36),I36,30),"")</f>
        <v/>
      </c>
      <c r="K36" s="26">
        <f>IF(H36="","",IF(ISNUMBER(H36),H36-TODAY(),"Check date"))</f>
        <v/>
      </c>
      <c r="L36" s="27">
        <f>IF(K36="","",IF(ISNUMBER(K36),IF(K36&lt;0,"Expired",IF(K36&lt;=30,"Due ≤30 days",IF(K36&lt;=90,"Due ≤90 days","OK"))),"Check date"))</f>
        <v/>
      </c>
      <c r="M36" s="21" t="n"/>
      <c r="N36" s="21" t="n"/>
      <c r="O36" s="21" t="n"/>
      <c r="P36" s="21" t="n"/>
    </row>
    <row r="37">
      <c r="A37" s="21" t="n"/>
      <c r="B37" s="21" t="n"/>
      <c r="C37" s="21" t="n"/>
      <c r="D37" s="21" t="n"/>
      <c r="E37" s="22" t="n"/>
      <c r="F37" s="21" t="n"/>
      <c r="G37" s="21" t="n"/>
      <c r="H37" s="23" t="n"/>
      <c r="I37" s="24" t="n"/>
      <c r="J37" s="25">
        <f>IF(ISNUMBER(H37),H37-IF(ISNUMBER(I37),I37,30),"")</f>
        <v/>
      </c>
      <c r="K37" s="26">
        <f>IF(H37="","",IF(ISNUMBER(H37),H37-TODAY(),"Check date"))</f>
        <v/>
      </c>
      <c r="L37" s="27">
        <f>IF(K37="","",IF(ISNUMBER(K37),IF(K37&lt;0,"Expired",IF(K37&lt;=30,"Due ≤30 days",IF(K37&lt;=90,"Due ≤90 days","OK"))),"Check date"))</f>
        <v/>
      </c>
      <c r="M37" s="21" t="n"/>
      <c r="N37" s="21" t="n"/>
      <c r="O37" s="21" t="n"/>
      <c r="P37" s="21" t="n"/>
    </row>
    <row r="38">
      <c r="A38" s="21" t="n"/>
      <c r="B38" s="21" t="n"/>
      <c r="C38" s="21" t="n"/>
      <c r="D38" s="21" t="n"/>
      <c r="E38" s="22" t="n"/>
      <c r="F38" s="21" t="n"/>
      <c r="G38" s="21" t="n"/>
      <c r="H38" s="23" t="n"/>
      <c r="I38" s="24" t="n"/>
      <c r="J38" s="25">
        <f>IF(ISNUMBER(H38),H38-IF(ISNUMBER(I38),I38,30),"")</f>
        <v/>
      </c>
      <c r="K38" s="26">
        <f>IF(H38="","",IF(ISNUMBER(H38),H38-TODAY(),"Check date"))</f>
        <v/>
      </c>
      <c r="L38" s="27">
        <f>IF(K38="","",IF(ISNUMBER(K38),IF(K38&lt;0,"Expired",IF(K38&lt;=30,"Due ≤30 days",IF(K38&lt;=90,"Due ≤90 days","OK"))),"Check date"))</f>
        <v/>
      </c>
      <c r="M38" s="21" t="n"/>
      <c r="N38" s="21" t="n"/>
      <c r="O38" s="21" t="n"/>
      <c r="P38" s="21" t="n"/>
    </row>
    <row r="39">
      <c r="A39" s="21" t="n"/>
      <c r="B39" s="21" t="n"/>
      <c r="C39" s="21" t="n"/>
      <c r="D39" s="21" t="n"/>
      <c r="E39" s="22" t="n"/>
      <c r="F39" s="21" t="n"/>
      <c r="G39" s="21" t="n"/>
      <c r="H39" s="23" t="n"/>
      <c r="I39" s="24" t="n"/>
      <c r="J39" s="25">
        <f>IF(ISNUMBER(H39),H39-IF(ISNUMBER(I39),I39,30),"")</f>
        <v/>
      </c>
      <c r="K39" s="26">
        <f>IF(H39="","",IF(ISNUMBER(H39),H39-TODAY(),"Check date"))</f>
        <v/>
      </c>
      <c r="L39" s="27">
        <f>IF(K39="","",IF(ISNUMBER(K39),IF(K39&lt;0,"Expired",IF(K39&lt;=30,"Due ≤30 days",IF(K39&lt;=90,"Due ≤90 days","OK"))),"Check date"))</f>
        <v/>
      </c>
      <c r="M39" s="21" t="n"/>
      <c r="N39" s="21" t="n"/>
      <c r="O39" s="21" t="n"/>
      <c r="P39" s="21" t="n"/>
    </row>
    <row r="40">
      <c r="A40" s="21" t="n"/>
      <c r="B40" s="21" t="n"/>
      <c r="C40" s="21" t="n"/>
      <c r="D40" s="21" t="n"/>
      <c r="E40" s="22" t="n"/>
      <c r="F40" s="21" t="n"/>
      <c r="G40" s="21" t="n"/>
      <c r="H40" s="23" t="n"/>
      <c r="I40" s="24" t="n"/>
      <c r="J40" s="25">
        <f>IF(ISNUMBER(H40),H40-IF(ISNUMBER(I40),I40,30),"")</f>
        <v/>
      </c>
      <c r="K40" s="26">
        <f>IF(H40="","",IF(ISNUMBER(H40),H40-TODAY(),"Check date"))</f>
        <v/>
      </c>
      <c r="L40" s="27">
        <f>IF(K40="","",IF(ISNUMBER(K40),IF(K40&lt;0,"Expired",IF(K40&lt;=30,"Due ≤30 days",IF(K40&lt;=90,"Due ≤90 days","OK"))),"Check date"))</f>
        <v/>
      </c>
      <c r="M40" s="21" t="n"/>
      <c r="N40" s="21" t="n"/>
      <c r="O40" s="21" t="n"/>
      <c r="P40" s="21" t="n"/>
    </row>
    <row r="41">
      <c r="A41" s="21" t="n"/>
      <c r="B41" s="21" t="n"/>
      <c r="C41" s="21" t="n"/>
      <c r="D41" s="21" t="n"/>
      <c r="E41" s="22" t="n"/>
      <c r="F41" s="21" t="n"/>
      <c r="G41" s="21" t="n"/>
      <c r="H41" s="23" t="n"/>
      <c r="I41" s="24" t="n"/>
      <c r="J41" s="25">
        <f>IF(ISNUMBER(H41),H41-IF(ISNUMBER(I41),I41,30),"")</f>
        <v/>
      </c>
      <c r="K41" s="26">
        <f>IF(H41="","",IF(ISNUMBER(H41),H41-TODAY(),"Check date"))</f>
        <v/>
      </c>
      <c r="L41" s="27">
        <f>IF(K41="","",IF(ISNUMBER(K41),IF(K41&lt;0,"Expired",IF(K41&lt;=30,"Due ≤30 days",IF(K41&lt;=90,"Due ≤90 days","OK"))),"Check date"))</f>
        <v/>
      </c>
      <c r="M41" s="21" t="n"/>
      <c r="N41" s="21" t="n"/>
      <c r="O41" s="21" t="n"/>
      <c r="P41" s="21" t="n"/>
    </row>
    <row r="42">
      <c r="A42" s="21" t="n"/>
      <c r="B42" s="21" t="n"/>
      <c r="C42" s="21" t="n"/>
      <c r="D42" s="21" t="n"/>
      <c r="E42" s="22" t="n"/>
      <c r="F42" s="21" t="n"/>
      <c r="G42" s="21" t="n"/>
      <c r="H42" s="23" t="n"/>
      <c r="I42" s="24" t="n"/>
      <c r="J42" s="25">
        <f>IF(ISNUMBER(H42),H42-IF(ISNUMBER(I42),I42,30),"")</f>
        <v/>
      </c>
      <c r="K42" s="26">
        <f>IF(H42="","",IF(ISNUMBER(H42),H42-TODAY(),"Check date"))</f>
        <v/>
      </c>
      <c r="L42" s="27">
        <f>IF(K42="","",IF(ISNUMBER(K42),IF(K42&lt;0,"Expired",IF(K42&lt;=30,"Due ≤30 days",IF(K42&lt;=90,"Due ≤90 days","OK"))),"Check date"))</f>
        <v/>
      </c>
      <c r="M42" s="21" t="n"/>
      <c r="N42" s="21" t="n"/>
      <c r="O42" s="21" t="n"/>
      <c r="P42" s="21" t="n"/>
    </row>
    <row r="43">
      <c r="A43" s="21" t="n"/>
      <c r="B43" s="21" t="n"/>
      <c r="C43" s="21" t="n"/>
      <c r="D43" s="21" t="n"/>
      <c r="E43" s="22" t="n"/>
      <c r="F43" s="21" t="n"/>
      <c r="G43" s="21" t="n"/>
      <c r="H43" s="23" t="n"/>
      <c r="I43" s="24" t="n"/>
      <c r="J43" s="25">
        <f>IF(ISNUMBER(H43),H43-IF(ISNUMBER(I43),I43,30),"")</f>
        <v/>
      </c>
      <c r="K43" s="26">
        <f>IF(H43="","",IF(ISNUMBER(H43),H43-TODAY(),"Check date"))</f>
        <v/>
      </c>
      <c r="L43" s="27">
        <f>IF(K43="","",IF(ISNUMBER(K43),IF(K43&lt;0,"Expired",IF(K43&lt;=30,"Due ≤30 days",IF(K43&lt;=90,"Due ≤90 days","OK"))),"Check date"))</f>
        <v/>
      </c>
      <c r="M43" s="21" t="n"/>
      <c r="N43" s="21" t="n"/>
      <c r="O43" s="21" t="n"/>
      <c r="P43" s="21" t="n"/>
    </row>
    <row r="44">
      <c r="A44" s="21" t="n"/>
      <c r="B44" s="21" t="n"/>
      <c r="C44" s="21" t="n"/>
      <c r="D44" s="21" t="n"/>
      <c r="E44" s="22" t="n"/>
      <c r="F44" s="21" t="n"/>
      <c r="G44" s="21" t="n"/>
      <c r="H44" s="23" t="n"/>
      <c r="I44" s="24" t="n"/>
      <c r="J44" s="25">
        <f>IF(ISNUMBER(H44),H44-IF(ISNUMBER(I44),I44,30),"")</f>
        <v/>
      </c>
      <c r="K44" s="26">
        <f>IF(H44="","",IF(ISNUMBER(H44),H44-TODAY(),"Check date"))</f>
        <v/>
      </c>
      <c r="L44" s="27">
        <f>IF(K44="","",IF(ISNUMBER(K44),IF(K44&lt;0,"Expired",IF(K44&lt;=30,"Due ≤30 days",IF(K44&lt;=90,"Due ≤90 days","OK"))),"Check date"))</f>
        <v/>
      </c>
      <c r="M44" s="21" t="n"/>
      <c r="N44" s="21" t="n"/>
      <c r="O44" s="21" t="n"/>
      <c r="P44" s="21" t="n"/>
    </row>
    <row r="45">
      <c r="A45" s="21" t="n"/>
      <c r="B45" s="21" t="n"/>
      <c r="C45" s="21" t="n"/>
      <c r="D45" s="21" t="n"/>
      <c r="E45" s="22" t="n"/>
      <c r="F45" s="21" t="n"/>
      <c r="G45" s="21" t="n"/>
      <c r="H45" s="23" t="n"/>
      <c r="I45" s="24" t="n"/>
      <c r="J45" s="25">
        <f>IF(ISNUMBER(H45),H45-IF(ISNUMBER(I45),I45,30),"")</f>
        <v/>
      </c>
      <c r="K45" s="26">
        <f>IF(H45="","",IF(ISNUMBER(H45),H45-TODAY(),"Check date"))</f>
        <v/>
      </c>
      <c r="L45" s="27">
        <f>IF(K45="","",IF(ISNUMBER(K45),IF(K45&lt;0,"Expired",IF(K45&lt;=30,"Due ≤30 days",IF(K45&lt;=90,"Due ≤90 days","OK"))),"Check date"))</f>
        <v/>
      </c>
      <c r="M45" s="21" t="n"/>
      <c r="N45" s="21" t="n"/>
      <c r="O45" s="21" t="n"/>
      <c r="P45" s="21" t="n"/>
    </row>
    <row r="46">
      <c r="A46" s="21" t="n"/>
      <c r="B46" s="21" t="n"/>
      <c r="C46" s="21" t="n"/>
      <c r="D46" s="21" t="n"/>
      <c r="E46" s="22" t="n"/>
      <c r="F46" s="21" t="n"/>
      <c r="G46" s="21" t="n"/>
      <c r="H46" s="23" t="n"/>
      <c r="I46" s="24" t="n"/>
      <c r="J46" s="25">
        <f>IF(ISNUMBER(H46),H46-IF(ISNUMBER(I46),I46,30),"")</f>
        <v/>
      </c>
      <c r="K46" s="26">
        <f>IF(H46="","",IF(ISNUMBER(H46),H46-TODAY(),"Check date"))</f>
        <v/>
      </c>
      <c r="L46" s="27">
        <f>IF(K46="","",IF(ISNUMBER(K46),IF(K46&lt;0,"Expired",IF(K46&lt;=30,"Due ≤30 days",IF(K46&lt;=90,"Due ≤90 days","OK"))),"Check date"))</f>
        <v/>
      </c>
      <c r="M46" s="21" t="n"/>
      <c r="N46" s="21" t="n"/>
      <c r="O46" s="21" t="n"/>
      <c r="P46" s="21" t="n"/>
    </row>
    <row r="47">
      <c r="A47" s="21" t="n"/>
      <c r="B47" s="21" t="n"/>
      <c r="C47" s="21" t="n"/>
      <c r="D47" s="21" t="n"/>
      <c r="E47" s="22" t="n"/>
      <c r="F47" s="21" t="n"/>
      <c r="G47" s="21" t="n"/>
      <c r="H47" s="23" t="n"/>
      <c r="I47" s="24" t="n"/>
      <c r="J47" s="25">
        <f>IF(ISNUMBER(H47),H47-IF(ISNUMBER(I47),I47,30),"")</f>
        <v/>
      </c>
      <c r="K47" s="26">
        <f>IF(H47="","",IF(ISNUMBER(H47),H47-TODAY(),"Check date"))</f>
        <v/>
      </c>
      <c r="L47" s="27">
        <f>IF(K47="","",IF(ISNUMBER(K47),IF(K47&lt;0,"Expired",IF(K47&lt;=30,"Due ≤30 days",IF(K47&lt;=90,"Due ≤90 days","OK"))),"Check date"))</f>
        <v/>
      </c>
      <c r="M47" s="21" t="n"/>
      <c r="N47" s="21" t="n"/>
      <c r="O47" s="21" t="n"/>
      <c r="P47" s="21" t="n"/>
    </row>
    <row r="48">
      <c r="A48" s="21" t="n"/>
      <c r="B48" s="21" t="n"/>
      <c r="C48" s="21" t="n"/>
      <c r="D48" s="21" t="n"/>
      <c r="E48" s="22" t="n"/>
      <c r="F48" s="21" t="n"/>
      <c r="G48" s="21" t="n"/>
      <c r="H48" s="23" t="n"/>
      <c r="I48" s="24" t="n"/>
      <c r="J48" s="25">
        <f>IF(ISNUMBER(H48),H48-IF(ISNUMBER(I48),I48,30),"")</f>
        <v/>
      </c>
      <c r="K48" s="26">
        <f>IF(H48="","",IF(ISNUMBER(H48),H48-TODAY(),"Check date"))</f>
        <v/>
      </c>
      <c r="L48" s="27">
        <f>IF(K48="","",IF(ISNUMBER(K48),IF(K48&lt;0,"Expired",IF(K48&lt;=30,"Due ≤30 days",IF(K48&lt;=90,"Due ≤90 days","OK"))),"Check date"))</f>
        <v/>
      </c>
      <c r="M48" s="21" t="n"/>
      <c r="N48" s="21" t="n"/>
      <c r="O48" s="21" t="n"/>
      <c r="P48" s="21" t="n"/>
    </row>
    <row r="49">
      <c r="A49" s="21" t="n"/>
      <c r="B49" s="21" t="n"/>
      <c r="C49" s="21" t="n"/>
      <c r="D49" s="21" t="n"/>
      <c r="E49" s="22" t="n"/>
      <c r="F49" s="21" t="n"/>
      <c r="G49" s="21" t="n"/>
      <c r="H49" s="23" t="n"/>
      <c r="I49" s="24" t="n"/>
      <c r="J49" s="25">
        <f>IF(ISNUMBER(H49),H49-IF(ISNUMBER(I49),I49,30),"")</f>
        <v/>
      </c>
      <c r="K49" s="26">
        <f>IF(H49="","",IF(ISNUMBER(H49),H49-TODAY(),"Check date"))</f>
        <v/>
      </c>
      <c r="L49" s="27">
        <f>IF(K49="","",IF(ISNUMBER(K49),IF(K49&lt;0,"Expired",IF(K49&lt;=30,"Due ≤30 days",IF(K49&lt;=90,"Due ≤90 days","OK"))),"Check date"))</f>
        <v/>
      </c>
      <c r="M49" s="21" t="n"/>
      <c r="N49" s="21" t="n"/>
      <c r="O49" s="21" t="n"/>
      <c r="P49" s="21" t="n"/>
    </row>
    <row r="50">
      <c r="A50" s="21" t="n"/>
      <c r="B50" s="21" t="n"/>
      <c r="C50" s="21" t="n"/>
      <c r="D50" s="21" t="n"/>
      <c r="E50" s="22" t="n"/>
      <c r="F50" s="21" t="n"/>
      <c r="G50" s="21" t="n"/>
      <c r="H50" s="23" t="n"/>
      <c r="I50" s="24" t="n"/>
      <c r="J50" s="25">
        <f>IF(ISNUMBER(H50),H50-IF(ISNUMBER(I50),I50,30),"")</f>
        <v/>
      </c>
      <c r="K50" s="26">
        <f>IF(H50="","",IF(ISNUMBER(H50),H50-TODAY(),"Check date"))</f>
        <v/>
      </c>
      <c r="L50" s="27">
        <f>IF(K50="","",IF(ISNUMBER(K50),IF(K50&lt;0,"Expired",IF(K50&lt;=30,"Due ≤30 days",IF(K50&lt;=90,"Due ≤90 days","OK"))),"Check date"))</f>
        <v/>
      </c>
      <c r="M50" s="21" t="n"/>
      <c r="N50" s="21" t="n"/>
      <c r="O50" s="21" t="n"/>
      <c r="P50" s="21" t="n"/>
    </row>
    <row r="51">
      <c r="A51" s="21" t="n"/>
      <c r="B51" s="21" t="n"/>
      <c r="C51" s="21" t="n"/>
      <c r="D51" s="21" t="n"/>
      <c r="E51" s="22" t="n"/>
      <c r="F51" s="21" t="n"/>
      <c r="G51" s="21" t="n"/>
      <c r="H51" s="23" t="n"/>
      <c r="I51" s="24" t="n"/>
      <c r="J51" s="25">
        <f>IF(ISNUMBER(H51),H51-IF(ISNUMBER(I51),I51,30),"")</f>
        <v/>
      </c>
      <c r="K51" s="26">
        <f>IF(H51="","",IF(ISNUMBER(H51),H51-TODAY(),"Check date"))</f>
        <v/>
      </c>
      <c r="L51" s="27">
        <f>IF(K51="","",IF(ISNUMBER(K51),IF(K51&lt;0,"Expired",IF(K51&lt;=30,"Due ≤30 days",IF(K51&lt;=90,"Due ≤90 days","OK"))),"Check date"))</f>
        <v/>
      </c>
      <c r="M51" s="21" t="n"/>
      <c r="N51" s="21" t="n"/>
      <c r="O51" s="21" t="n"/>
      <c r="P51" s="21" t="n"/>
    </row>
    <row r="52">
      <c r="A52" s="21" t="n"/>
      <c r="B52" s="21" t="n"/>
      <c r="C52" s="21" t="n"/>
      <c r="D52" s="21" t="n"/>
      <c r="E52" s="22" t="n"/>
      <c r="F52" s="21" t="n"/>
      <c r="G52" s="21" t="n"/>
      <c r="H52" s="23" t="n"/>
      <c r="I52" s="24" t="n"/>
      <c r="J52" s="25">
        <f>IF(ISNUMBER(H52),H52-IF(ISNUMBER(I52),I52,30),"")</f>
        <v/>
      </c>
      <c r="K52" s="26">
        <f>IF(H52="","",IF(ISNUMBER(H52),H52-TODAY(),"Check date"))</f>
        <v/>
      </c>
      <c r="L52" s="27">
        <f>IF(K52="","",IF(ISNUMBER(K52),IF(K52&lt;0,"Expired",IF(K52&lt;=30,"Due ≤30 days",IF(K52&lt;=90,"Due ≤90 days","OK"))),"Check date"))</f>
        <v/>
      </c>
      <c r="M52" s="21" t="n"/>
      <c r="N52" s="21" t="n"/>
      <c r="O52" s="21" t="n"/>
      <c r="P52" s="21" t="n"/>
    </row>
    <row r="53">
      <c r="A53" s="21" t="n"/>
      <c r="B53" s="21" t="n"/>
      <c r="C53" s="21" t="n"/>
      <c r="D53" s="21" t="n"/>
      <c r="E53" s="22" t="n"/>
      <c r="F53" s="21" t="n"/>
      <c r="G53" s="21" t="n"/>
      <c r="H53" s="23" t="n"/>
      <c r="I53" s="24" t="n"/>
      <c r="J53" s="25">
        <f>IF(ISNUMBER(H53),H53-IF(ISNUMBER(I53),I53,30),"")</f>
        <v/>
      </c>
      <c r="K53" s="26">
        <f>IF(H53="","",IF(ISNUMBER(H53),H53-TODAY(),"Check date"))</f>
        <v/>
      </c>
      <c r="L53" s="27">
        <f>IF(K53="","",IF(ISNUMBER(K53),IF(K53&lt;0,"Expired",IF(K53&lt;=30,"Due ≤30 days",IF(K53&lt;=90,"Due ≤90 days","OK"))),"Check date"))</f>
        <v/>
      </c>
      <c r="M53" s="21" t="n"/>
      <c r="N53" s="21" t="n"/>
      <c r="O53" s="21" t="n"/>
      <c r="P53" s="21" t="n"/>
    </row>
    <row r="54">
      <c r="A54" s="21" t="n"/>
      <c r="B54" s="21" t="n"/>
      <c r="C54" s="21" t="n"/>
      <c r="D54" s="21" t="n"/>
      <c r="E54" s="22" t="n"/>
      <c r="F54" s="21" t="n"/>
      <c r="G54" s="21" t="n"/>
      <c r="H54" s="23" t="n"/>
      <c r="I54" s="24" t="n"/>
      <c r="J54" s="25">
        <f>IF(ISNUMBER(H54),H54-IF(ISNUMBER(I54),I54,30),"")</f>
        <v/>
      </c>
      <c r="K54" s="26">
        <f>IF(H54="","",IF(ISNUMBER(H54),H54-TODAY(),"Check date"))</f>
        <v/>
      </c>
      <c r="L54" s="27">
        <f>IF(K54="","",IF(ISNUMBER(K54),IF(K54&lt;0,"Expired",IF(K54&lt;=30,"Due ≤30 days",IF(K54&lt;=90,"Due ≤90 days","OK"))),"Check date"))</f>
        <v/>
      </c>
      <c r="M54" s="21" t="n"/>
      <c r="N54" s="21" t="n"/>
      <c r="O54" s="21" t="n"/>
      <c r="P54" s="21" t="n"/>
    </row>
    <row r="55">
      <c r="A55" s="21" t="n"/>
      <c r="B55" s="21" t="n"/>
      <c r="C55" s="21" t="n"/>
      <c r="D55" s="21" t="n"/>
      <c r="E55" s="22" t="n"/>
      <c r="F55" s="21" t="n"/>
      <c r="G55" s="21" t="n"/>
      <c r="H55" s="23" t="n"/>
      <c r="I55" s="24" t="n"/>
      <c r="J55" s="25">
        <f>IF(ISNUMBER(H55),H55-IF(ISNUMBER(I55),I55,30),"")</f>
        <v/>
      </c>
      <c r="K55" s="26">
        <f>IF(H55="","",IF(ISNUMBER(H55),H55-TODAY(),"Check date"))</f>
        <v/>
      </c>
      <c r="L55" s="27">
        <f>IF(K55="","",IF(ISNUMBER(K55),IF(K55&lt;0,"Expired",IF(K55&lt;=30,"Due ≤30 days",IF(K55&lt;=90,"Due ≤90 days","OK"))),"Check date"))</f>
        <v/>
      </c>
      <c r="M55" s="21" t="n"/>
      <c r="N55" s="21" t="n"/>
      <c r="O55" s="21" t="n"/>
      <c r="P55" s="21" t="n"/>
    </row>
    <row r="56">
      <c r="A56" s="21" t="n"/>
      <c r="B56" s="21" t="n"/>
      <c r="C56" s="21" t="n"/>
      <c r="D56" s="21" t="n"/>
      <c r="E56" s="22" t="n"/>
      <c r="F56" s="21" t="n"/>
      <c r="G56" s="21" t="n"/>
      <c r="H56" s="23" t="n"/>
      <c r="I56" s="24" t="n"/>
      <c r="J56" s="25">
        <f>IF(ISNUMBER(H56),H56-IF(ISNUMBER(I56),I56,30),"")</f>
        <v/>
      </c>
      <c r="K56" s="26">
        <f>IF(H56="","",IF(ISNUMBER(H56),H56-TODAY(),"Check date"))</f>
        <v/>
      </c>
      <c r="L56" s="27">
        <f>IF(K56="","",IF(ISNUMBER(K56),IF(K56&lt;0,"Expired",IF(K56&lt;=30,"Due ≤30 days",IF(K56&lt;=90,"Due ≤90 days","OK"))),"Check date"))</f>
        <v/>
      </c>
      <c r="M56" s="21" t="n"/>
      <c r="N56" s="21" t="n"/>
      <c r="O56" s="21" t="n"/>
      <c r="P56" s="21" t="n"/>
    </row>
    <row r="57">
      <c r="A57" s="21" t="n"/>
      <c r="B57" s="21" t="n"/>
      <c r="C57" s="21" t="n"/>
      <c r="D57" s="21" t="n"/>
      <c r="E57" s="22" t="n"/>
      <c r="F57" s="21" t="n"/>
      <c r="G57" s="21" t="n"/>
      <c r="H57" s="23" t="n"/>
      <c r="I57" s="24" t="n"/>
      <c r="J57" s="25">
        <f>IF(ISNUMBER(H57),H57-IF(ISNUMBER(I57),I57,30),"")</f>
        <v/>
      </c>
      <c r="K57" s="26">
        <f>IF(H57="","",IF(ISNUMBER(H57),H57-TODAY(),"Check date"))</f>
        <v/>
      </c>
      <c r="L57" s="27">
        <f>IF(K57="","",IF(ISNUMBER(K57),IF(K57&lt;0,"Expired",IF(K57&lt;=30,"Due ≤30 days",IF(K57&lt;=90,"Due ≤90 days","OK"))),"Check date"))</f>
        <v/>
      </c>
      <c r="M57" s="21" t="n"/>
      <c r="N57" s="21" t="n"/>
      <c r="O57" s="21" t="n"/>
      <c r="P57" s="21" t="n"/>
    </row>
    <row r="58">
      <c r="A58" s="21" t="n"/>
      <c r="B58" s="21" t="n"/>
      <c r="C58" s="21" t="n"/>
      <c r="D58" s="21" t="n"/>
      <c r="E58" s="22" t="n"/>
      <c r="F58" s="21" t="n"/>
      <c r="G58" s="21" t="n"/>
      <c r="H58" s="23" t="n"/>
      <c r="I58" s="24" t="n"/>
      <c r="J58" s="25">
        <f>IF(ISNUMBER(H58),H58-IF(ISNUMBER(I58),I58,30),"")</f>
        <v/>
      </c>
      <c r="K58" s="26">
        <f>IF(H58="","",IF(ISNUMBER(H58),H58-TODAY(),"Check date"))</f>
        <v/>
      </c>
      <c r="L58" s="27">
        <f>IF(K58="","",IF(ISNUMBER(K58),IF(K58&lt;0,"Expired",IF(K58&lt;=30,"Due ≤30 days",IF(K58&lt;=90,"Due ≤90 days","OK"))),"Check date"))</f>
        <v/>
      </c>
      <c r="M58" s="21" t="n"/>
      <c r="N58" s="21" t="n"/>
      <c r="O58" s="21" t="n"/>
      <c r="P58" s="21" t="n"/>
    </row>
    <row r="59">
      <c r="A59" s="21" t="n"/>
      <c r="B59" s="21" t="n"/>
      <c r="C59" s="21" t="n"/>
      <c r="D59" s="21" t="n"/>
      <c r="E59" s="22" t="n"/>
      <c r="F59" s="21" t="n"/>
      <c r="G59" s="21" t="n"/>
      <c r="H59" s="23" t="n"/>
      <c r="I59" s="24" t="n"/>
      <c r="J59" s="25">
        <f>IF(ISNUMBER(H59),H59-IF(ISNUMBER(I59),I59,30),"")</f>
        <v/>
      </c>
      <c r="K59" s="26">
        <f>IF(H59="","",IF(ISNUMBER(H59),H59-TODAY(),"Check date"))</f>
        <v/>
      </c>
      <c r="L59" s="27">
        <f>IF(K59="","",IF(ISNUMBER(K59),IF(K59&lt;0,"Expired",IF(K59&lt;=30,"Due ≤30 days",IF(K59&lt;=90,"Due ≤90 days","OK"))),"Check date"))</f>
        <v/>
      </c>
      <c r="M59" s="21" t="n"/>
      <c r="N59" s="21" t="n"/>
      <c r="O59" s="21" t="n"/>
      <c r="P59" s="21" t="n"/>
    </row>
    <row r="60">
      <c r="A60" s="21" t="n"/>
      <c r="B60" s="21" t="n"/>
      <c r="C60" s="21" t="n"/>
      <c r="D60" s="21" t="n"/>
      <c r="E60" s="22" t="n"/>
      <c r="F60" s="21" t="n"/>
      <c r="G60" s="21" t="n"/>
      <c r="H60" s="23" t="n"/>
      <c r="I60" s="24" t="n"/>
      <c r="J60" s="25">
        <f>IF(ISNUMBER(H60),H60-IF(ISNUMBER(I60),I60,30),"")</f>
        <v/>
      </c>
      <c r="K60" s="26">
        <f>IF(H60="","",IF(ISNUMBER(H60),H60-TODAY(),"Check date"))</f>
        <v/>
      </c>
      <c r="L60" s="27">
        <f>IF(K60="","",IF(ISNUMBER(K60),IF(K60&lt;0,"Expired",IF(K60&lt;=30,"Due ≤30 days",IF(K60&lt;=90,"Due ≤90 days","OK"))),"Check date"))</f>
        <v/>
      </c>
      <c r="M60" s="21" t="n"/>
      <c r="N60" s="21" t="n"/>
      <c r="O60" s="21" t="n"/>
      <c r="P60" s="21" t="n"/>
    </row>
    <row r="61">
      <c r="A61" s="21" t="n"/>
      <c r="B61" s="21" t="n"/>
      <c r="C61" s="21" t="n"/>
      <c r="D61" s="21" t="n"/>
      <c r="E61" s="22" t="n"/>
      <c r="F61" s="21" t="n"/>
      <c r="G61" s="21" t="n"/>
      <c r="H61" s="23" t="n"/>
      <c r="I61" s="24" t="n"/>
      <c r="J61" s="25">
        <f>IF(ISNUMBER(H61),H61-IF(ISNUMBER(I61),I61,30),"")</f>
        <v/>
      </c>
      <c r="K61" s="26">
        <f>IF(H61="","",IF(ISNUMBER(H61),H61-TODAY(),"Check date"))</f>
        <v/>
      </c>
      <c r="L61" s="27">
        <f>IF(K61="","",IF(ISNUMBER(K61),IF(K61&lt;0,"Expired",IF(K61&lt;=30,"Due ≤30 days",IF(K61&lt;=90,"Due ≤90 days","OK"))),"Check date"))</f>
        <v/>
      </c>
      <c r="M61" s="21" t="n"/>
      <c r="N61" s="21" t="n"/>
      <c r="O61" s="21" t="n"/>
      <c r="P61" s="21" t="n"/>
    </row>
    <row r="62">
      <c r="A62" s="21" t="n"/>
      <c r="B62" s="21" t="n"/>
      <c r="C62" s="21" t="n"/>
      <c r="D62" s="21" t="n"/>
      <c r="E62" s="22" t="n"/>
      <c r="F62" s="21" t="n"/>
      <c r="G62" s="21" t="n"/>
      <c r="H62" s="23" t="n"/>
      <c r="I62" s="24" t="n"/>
      <c r="J62" s="25">
        <f>IF(ISNUMBER(H62),H62-IF(ISNUMBER(I62),I62,30),"")</f>
        <v/>
      </c>
      <c r="K62" s="26">
        <f>IF(H62="","",IF(ISNUMBER(H62),H62-TODAY(),"Check date"))</f>
        <v/>
      </c>
      <c r="L62" s="27">
        <f>IF(K62="","",IF(ISNUMBER(K62),IF(K62&lt;0,"Expired",IF(K62&lt;=30,"Due ≤30 days",IF(K62&lt;=90,"Due ≤90 days","OK"))),"Check date"))</f>
        <v/>
      </c>
      <c r="M62" s="21" t="n"/>
      <c r="N62" s="21" t="n"/>
      <c r="O62" s="21" t="n"/>
      <c r="P62" s="21" t="n"/>
    </row>
    <row r="63">
      <c r="A63" s="21" t="n"/>
      <c r="B63" s="21" t="n"/>
      <c r="C63" s="21" t="n"/>
      <c r="D63" s="21" t="n"/>
      <c r="E63" s="22" t="n"/>
      <c r="F63" s="21" t="n"/>
      <c r="G63" s="21" t="n"/>
      <c r="H63" s="23" t="n"/>
      <c r="I63" s="24" t="n"/>
      <c r="J63" s="25">
        <f>IF(ISNUMBER(H63),H63-IF(ISNUMBER(I63),I63,30),"")</f>
        <v/>
      </c>
      <c r="K63" s="26">
        <f>IF(H63="","",IF(ISNUMBER(H63),H63-TODAY(),"Check date"))</f>
        <v/>
      </c>
      <c r="L63" s="27">
        <f>IF(K63="","",IF(ISNUMBER(K63),IF(K63&lt;0,"Expired",IF(K63&lt;=30,"Due ≤30 days",IF(K63&lt;=90,"Due ≤90 days","OK"))),"Check date"))</f>
        <v/>
      </c>
      <c r="M63" s="21" t="n"/>
      <c r="N63" s="21" t="n"/>
      <c r="O63" s="21" t="n"/>
      <c r="P63" s="21" t="n"/>
    </row>
    <row r="64">
      <c r="A64" s="21" t="n"/>
      <c r="B64" s="21" t="n"/>
      <c r="C64" s="21" t="n"/>
      <c r="D64" s="21" t="n"/>
      <c r="E64" s="22" t="n"/>
      <c r="F64" s="21" t="n"/>
      <c r="G64" s="21" t="n"/>
      <c r="H64" s="23" t="n"/>
      <c r="I64" s="24" t="n"/>
      <c r="J64" s="25">
        <f>IF(ISNUMBER(H64),H64-IF(ISNUMBER(I64),I64,30),"")</f>
        <v/>
      </c>
      <c r="K64" s="26">
        <f>IF(H64="","",IF(ISNUMBER(H64),H64-TODAY(),"Check date"))</f>
        <v/>
      </c>
      <c r="L64" s="27">
        <f>IF(K64="","",IF(ISNUMBER(K64),IF(K64&lt;0,"Expired",IF(K64&lt;=30,"Due ≤30 days",IF(K64&lt;=90,"Due ≤90 days","OK"))),"Check date"))</f>
        <v/>
      </c>
      <c r="M64" s="21" t="n"/>
      <c r="N64" s="21" t="n"/>
      <c r="O64" s="21" t="n"/>
      <c r="P64" s="21" t="n"/>
    </row>
    <row r="65">
      <c r="A65" s="21" t="n"/>
      <c r="B65" s="21" t="n"/>
      <c r="C65" s="21" t="n"/>
      <c r="D65" s="21" t="n"/>
      <c r="E65" s="22" t="n"/>
      <c r="F65" s="21" t="n"/>
      <c r="G65" s="21" t="n"/>
      <c r="H65" s="23" t="n"/>
      <c r="I65" s="24" t="n"/>
      <c r="J65" s="25">
        <f>IF(ISNUMBER(H65),H65-IF(ISNUMBER(I65),I65,30),"")</f>
        <v/>
      </c>
      <c r="K65" s="26">
        <f>IF(H65="","",IF(ISNUMBER(H65),H65-TODAY(),"Check date"))</f>
        <v/>
      </c>
      <c r="L65" s="27">
        <f>IF(K65="","",IF(ISNUMBER(K65),IF(K65&lt;0,"Expired",IF(K65&lt;=30,"Due ≤30 days",IF(K65&lt;=90,"Due ≤90 days","OK"))),"Check date"))</f>
        <v/>
      </c>
      <c r="M65" s="21" t="n"/>
      <c r="N65" s="21" t="n"/>
      <c r="O65" s="21" t="n"/>
      <c r="P65" s="21" t="n"/>
    </row>
    <row r="66">
      <c r="A66" s="21" t="n"/>
      <c r="B66" s="21" t="n"/>
      <c r="C66" s="21" t="n"/>
      <c r="D66" s="21" t="n"/>
      <c r="E66" s="22" t="n"/>
      <c r="F66" s="21" t="n"/>
      <c r="G66" s="21" t="n"/>
      <c r="H66" s="23" t="n"/>
      <c r="I66" s="24" t="n"/>
      <c r="J66" s="25">
        <f>IF(ISNUMBER(H66),H66-IF(ISNUMBER(I66),I66,30),"")</f>
        <v/>
      </c>
      <c r="K66" s="26">
        <f>IF(H66="","",IF(ISNUMBER(H66),H66-TODAY(),"Check date"))</f>
        <v/>
      </c>
      <c r="L66" s="27">
        <f>IF(K66="","",IF(ISNUMBER(K66),IF(K66&lt;0,"Expired",IF(K66&lt;=30,"Due ≤30 days",IF(K66&lt;=90,"Due ≤90 days","OK"))),"Check date"))</f>
        <v/>
      </c>
      <c r="M66" s="21" t="n"/>
      <c r="N66" s="21" t="n"/>
      <c r="O66" s="21" t="n"/>
      <c r="P66" s="21" t="n"/>
    </row>
    <row r="67">
      <c r="A67" s="21" t="n"/>
      <c r="B67" s="21" t="n"/>
      <c r="C67" s="21" t="n"/>
      <c r="D67" s="21" t="n"/>
      <c r="E67" s="22" t="n"/>
      <c r="F67" s="21" t="n"/>
      <c r="G67" s="21" t="n"/>
      <c r="H67" s="23" t="n"/>
      <c r="I67" s="24" t="n"/>
      <c r="J67" s="25">
        <f>IF(ISNUMBER(H67),H67-IF(ISNUMBER(I67),I67,30),"")</f>
        <v/>
      </c>
      <c r="K67" s="26">
        <f>IF(H67="","",IF(ISNUMBER(H67),H67-TODAY(),"Check date"))</f>
        <v/>
      </c>
      <c r="L67" s="27">
        <f>IF(K67="","",IF(ISNUMBER(K67),IF(K67&lt;0,"Expired",IF(K67&lt;=30,"Due ≤30 days",IF(K67&lt;=90,"Due ≤90 days","OK"))),"Check date"))</f>
        <v/>
      </c>
      <c r="M67" s="21" t="n"/>
      <c r="N67" s="21" t="n"/>
      <c r="O67" s="21" t="n"/>
      <c r="P67" s="21" t="n"/>
    </row>
    <row r="68">
      <c r="A68" s="21" t="n"/>
      <c r="B68" s="21" t="n"/>
      <c r="C68" s="21" t="n"/>
      <c r="D68" s="21" t="n"/>
      <c r="E68" s="22" t="n"/>
      <c r="F68" s="21" t="n"/>
      <c r="G68" s="21" t="n"/>
      <c r="H68" s="23" t="n"/>
      <c r="I68" s="24" t="n"/>
      <c r="J68" s="25">
        <f>IF(ISNUMBER(H68),H68-IF(ISNUMBER(I68),I68,30),"")</f>
        <v/>
      </c>
      <c r="K68" s="26">
        <f>IF(H68="","",IF(ISNUMBER(H68),H68-TODAY(),"Check date"))</f>
        <v/>
      </c>
      <c r="L68" s="27">
        <f>IF(K68="","",IF(ISNUMBER(K68),IF(K68&lt;0,"Expired",IF(K68&lt;=30,"Due ≤30 days",IF(K68&lt;=90,"Due ≤90 days","OK"))),"Check date"))</f>
        <v/>
      </c>
      <c r="M68" s="21" t="n"/>
      <c r="N68" s="21" t="n"/>
      <c r="O68" s="21" t="n"/>
      <c r="P68" s="21" t="n"/>
    </row>
    <row r="69">
      <c r="A69" s="21" t="n"/>
      <c r="B69" s="21" t="n"/>
      <c r="C69" s="21" t="n"/>
      <c r="D69" s="21" t="n"/>
      <c r="E69" s="22" t="n"/>
      <c r="F69" s="21" t="n"/>
      <c r="G69" s="21" t="n"/>
      <c r="H69" s="23" t="n"/>
      <c r="I69" s="24" t="n"/>
      <c r="J69" s="25">
        <f>IF(ISNUMBER(H69),H69-IF(ISNUMBER(I69),I69,30),"")</f>
        <v/>
      </c>
      <c r="K69" s="26">
        <f>IF(H69="","",IF(ISNUMBER(H69),H69-TODAY(),"Check date"))</f>
        <v/>
      </c>
      <c r="L69" s="27">
        <f>IF(K69="","",IF(ISNUMBER(K69),IF(K69&lt;0,"Expired",IF(K69&lt;=30,"Due ≤30 days",IF(K69&lt;=90,"Due ≤90 days","OK"))),"Check date"))</f>
        <v/>
      </c>
      <c r="M69" s="21" t="n"/>
      <c r="N69" s="21" t="n"/>
      <c r="O69" s="21" t="n"/>
      <c r="P69" s="21" t="n"/>
    </row>
    <row r="70">
      <c r="A70" s="21" t="n"/>
      <c r="B70" s="21" t="n"/>
      <c r="C70" s="21" t="n"/>
      <c r="D70" s="21" t="n"/>
      <c r="E70" s="22" t="n"/>
      <c r="F70" s="21" t="n"/>
      <c r="G70" s="21" t="n"/>
      <c r="H70" s="23" t="n"/>
      <c r="I70" s="24" t="n"/>
      <c r="J70" s="25">
        <f>IF(ISNUMBER(H70),H70-IF(ISNUMBER(I70),I70,30),"")</f>
        <v/>
      </c>
      <c r="K70" s="26">
        <f>IF(H70="","",IF(ISNUMBER(H70),H70-TODAY(),"Check date"))</f>
        <v/>
      </c>
      <c r="L70" s="27">
        <f>IF(K70="","",IF(ISNUMBER(K70),IF(K70&lt;0,"Expired",IF(K70&lt;=30,"Due ≤30 days",IF(K70&lt;=90,"Due ≤90 days","OK"))),"Check date"))</f>
        <v/>
      </c>
      <c r="M70" s="21" t="n"/>
      <c r="N70" s="21" t="n"/>
      <c r="O70" s="21" t="n"/>
      <c r="P70" s="21" t="n"/>
    </row>
    <row r="71">
      <c r="A71" s="21" t="n"/>
      <c r="B71" s="21" t="n"/>
      <c r="C71" s="21" t="n"/>
      <c r="D71" s="21" t="n"/>
      <c r="E71" s="22" t="n"/>
      <c r="F71" s="21" t="n"/>
      <c r="G71" s="21" t="n"/>
      <c r="H71" s="23" t="n"/>
      <c r="I71" s="24" t="n"/>
      <c r="J71" s="25">
        <f>IF(ISNUMBER(H71),H71-IF(ISNUMBER(I71),I71,30),"")</f>
        <v/>
      </c>
      <c r="K71" s="26">
        <f>IF(H71="","",IF(ISNUMBER(H71),H71-TODAY(),"Check date"))</f>
        <v/>
      </c>
      <c r="L71" s="27">
        <f>IF(K71="","",IF(ISNUMBER(K71),IF(K71&lt;0,"Expired",IF(K71&lt;=30,"Due ≤30 days",IF(K71&lt;=90,"Due ≤90 days","OK"))),"Check date"))</f>
        <v/>
      </c>
      <c r="M71" s="21" t="n"/>
      <c r="N71" s="21" t="n"/>
      <c r="O71" s="21" t="n"/>
      <c r="P71" s="21" t="n"/>
    </row>
    <row r="72">
      <c r="A72" s="21" t="n"/>
      <c r="B72" s="21" t="n"/>
      <c r="C72" s="21" t="n"/>
      <c r="D72" s="21" t="n"/>
      <c r="E72" s="22" t="n"/>
      <c r="F72" s="21" t="n"/>
      <c r="G72" s="21" t="n"/>
      <c r="H72" s="23" t="n"/>
      <c r="I72" s="24" t="n"/>
      <c r="J72" s="25">
        <f>IF(ISNUMBER(H72),H72-IF(ISNUMBER(I72),I72,30),"")</f>
        <v/>
      </c>
      <c r="K72" s="26">
        <f>IF(H72="","",IF(ISNUMBER(H72),H72-TODAY(),"Check date"))</f>
        <v/>
      </c>
      <c r="L72" s="27">
        <f>IF(K72="","",IF(ISNUMBER(K72),IF(K72&lt;0,"Expired",IF(K72&lt;=30,"Due ≤30 days",IF(K72&lt;=90,"Due ≤90 days","OK"))),"Check date"))</f>
        <v/>
      </c>
      <c r="M72" s="21" t="n"/>
      <c r="N72" s="21" t="n"/>
      <c r="O72" s="21" t="n"/>
      <c r="P72" s="21" t="n"/>
    </row>
    <row r="73">
      <c r="A73" s="21" t="n"/>
      <c r="B73" s="21" t="n"/>
      <c r="C73" s="21" t="n"/>
      <c r="D73" s="21" t="n"/>
      <c r="E73" s="22" t="n"/>
      <c r="F73" s="21" t="n"/>
      <c r="G73" s="21" t="n"/>
      <c r="H73" s="23" t="n"/>
      <c r="I73" s="24" t="n"/>
      <c r="J73" s="25">
        <f>IF(ISNUMBER(H73),H73-IF(ISNUMBER(I73),I73,30),"")</f>
        <v/>
      </c>
      <c r="K73" s="26">
        <f>IF(H73="","",IF(ISNUMBER(H73),H73-TODAY(),"Check date"))</f>
        <v/>
      </c>
      <c r="L73" s="27">
        <f>IF(K73="","",IF(ISNUMBER(K73),IF(K73&lt;0,"Expired",IF(K73&lt;=30,"Due ≤30 days",IF(K73&lt;=90,"Due ≤90 days","OK"))),"Check date"))</f>
        <v/>
      </c>
      <c r="M73" s="21" t="n"/>
      <c r="N73" s="21" t="n"/>
      <c r="O73" s="21" t="n"/>
      <c r="P73" s="21" t="n"/>
    </row>
    <row r="74">
      <c r="A74" s="21" t="n"/>
      <c r="B74" s="21" t="n"/>
      <c r="C74" s="21" t="n"/>
      <c r="D74" s="21" t="n"/>
      <c r="E74" s="22" t="n"/>
      <c r="F74" s="21" t="n"/>
      <c r="G74" s="21" t="n"/>
      <c r="H74" s="23" t="n"/>
      <c r="I74" s="24" t="n"/>
      <c r="J74" s="25">
        <f>IF(ISNUMBER(H74),H74-IF(ISNUMBER(I74),I74,30),"")</f>
        <v/>
      </c>
      <c r="K74" s="26">
        <f>IF(H74="","",IF(ISNUMBER(H74),H74-TODAY(),"Check date"))</f>
        <v/>
      </c>
      <c r="L74" s="27">
        <f>IF(K74="","",IF(ISNUMBER(K74),IF(K74&lt;0,"Expired",IF(K74&lt;=30,"Due ≤30 days",IF(K74&lt;=90,"Due ≤90 days","OK"))),"Check date"))</f>
        <v/>
      </c>
      <c r="M74" s="21" t="n"/>
      <c r="N74" s="21" t="n"/>
      <c r="O74" s="21" t="n"/>
      <c r="P74" s="21" t="n"/>
    </row>
    <row r="75">
      <c r="A75" s="21" t="n"/>
      <c r="B75" s="21" t="n"/>
      <c r="C75" s="21" t="n"/>
      <c r="D75" s="21" t="n"/>
      <c r="E75" s="22" t="n"/>
      <c r="F75" s="21" t="n"/>
      <c r="G75" s="21" t="n"/>
      <c r="H75" s="23" t="n"/>
      <c r="I75" s="24" t="n"/>
      <c r="J75" s="25">
        <f>IF(ISNUMBER(H75),H75-IF(ISNUMBER(I75),I75,30),"")</f>
        <v/>
      </c>
      <c r="K75" s="26">
        <f>IF(H75="","",IF(ISNUMBER(H75),H75-TODAY(),"Check date"))</f>
        <v/>
      </c>
      <c r="L75" s="27">
        <f>IF(K75="","",IF(ISNUMBER(K75),IF(K75&lt;0,"Expired",IF(K75&lt;=30,"Due ≤30 days",IF(K75&lt;=90,"Due ≤90 days","OK"))),"Check date"))</f>
        <v/>
      </c>
      <c r="M75" s="21" t="n"/>
      <c r="N75" s="21" t="n"/>
      <c r="O75" s="21" t="n"/>
      <c r="P75" s="21" t="n"/>
    </row>
    <row r="76">
      <c r="A76" s="21" t="n"/>
      <c r="B76" s="21" t="n"/>
      <c r="C76" s="21" t="n"/>
      <c r="D76" s="21" t="n"/>
      <c r="E76" s="22" t="n"/>
      <c r="F76" s="21" t="n"/>
      <c r="G76" s="21" t="n"/>
      <c r="H76" s="23" t="n"/>
      <c r="I76" s="24" t="n"/>
      <c r="J76" s="25">
        <f>IF(ISNUMBER(H76),H76-IF(ISNUMBER(I76),I76,30),"")</f>
        <v/>
      </c>
      <c r="K76" s="26">
        <f>IF(H76="","",IF(ISNUMBER(H76),H76-TODAY(),"Check date"))</f>
        <v/>
      </c>
      <c r="L76" s="27">
        <f>IF(K76="","",IF(ISNUMBER(K76),IF(K76&lt;0,"Expired",IF(K76&lt;=30,"Due ≤30 days",IF(K76&lt;=90,"Due ≤90 days","OK"))),"Check date"))</f>
        <v/>
      </c>
      <c r="M76" s="21" t="n"/>
      <c r="N76" s="21" t="n"/>
      <c r="O76" s="21" t="n"/>
      <c r="P76" s="21" t="n"/>
    </row>
    <row r="77">
      <c r="A77" s="21" t="n"/>
      <c r="B77" s="21" t="n"/>
      <c r="C77" s="21" t="n"/>
      <c r="D77" s="21" t="n"/>
      <c r="E77" s="22" t="n"/>
      <c r="F77" s="21" t="n"/>
      <c r="G77" s="21" t="n"/>
      <c r="H77" s="23" t="n"/>
      <c r="I77" s="24" t="n"/>
      <c r="J77" s="25">
        <f>IF(ISNUMBER(H77),H77-IF(ISNUMBER(I77),I77,30),"")</f>
        <v/>
      </c>
      <c r="K77" s="26">
        <f>IF(H77="","",IF(ISNUMBER(H77),H77-TODAY(),"Check date"))</f>
        <v/>
      </c>
      <c r="L77" s="27">
        <f>IF(K77="","",IF(ISNUMBER(K77),IF(K77&lt;0,"Expired",IF(K77&lt;=30,"Due ≤30 days",IF(K77&lt;=90,"Due ≤90 days","OK"))),"Check date"))</f>
        <v/>
      </c>
      <c r="M77" s="21" t="n"/>
      <c r="N77" s="21" t="n"/>
      <c r="O77" s="21" t="n"/>
      <c r="P77" s="21" t="n"/>
    </row>
    <row r="78">
      <c r="A78" s="21" t="n"/>
      <c r="B78" s="21" t="n"/>
      <c r="C78" s="21" t="n"/>
      <c r="D78" s="21" t="n"/>
      <c r="E78" s="22" t="n"/>
      <c r="F78" s="21" t="n"/>
      <c r="G78" s="21" t="n"/>
      <c r="H78" s="23" t="n"/>
      <c r="I78" s="24" t="n"/>
      <c r="J78" s="25">
        <f>IF(ISNUMBER(H78),H78-IF(ISNUMBER(I78),I78,30),"")</f>
        <v/>
      </c>
      <c r="K78" s="26">
        <f>IF(H78="","",IF(ISNUMBER(H78),H78-TODAY(),"Check date"))</f>
        <v/>
      </c>
      <c r="L78" s="27">
        <f>IF(K78="","",IF(ISNUMBER(K78),IF(K78&lt;0,"Expired",IF(K78&lt;=30,"Due ≤30 days",IF(K78&lt;=90,"Due ≤90 days","OK"))),"Check date"))</f>
        <v/>
      </c>
      <c r="M78" s="21" t="n"/>
      <c r="N78" s="21" t="n"/>
      <c r="O78" s="21" t="n"/>
      <c r="P78" s="21" t="n"/>
    </row>
    <row r="79">
      <c r="A79" s="21" t="n"/>
      <c r="B79" s="21" t="n"/>
      <c r="C79" s="21" t="n"/>
      <c r="D79" s="21" t="n"/>
      <c r="E79" s="22" t="n"/>
      <c r="F79" s="21" t="n"/>
      <c r="G79" s="21" t="n"/>
      <c r="H79" s="23" t="n"/>
      <c r="I79" s="24" t="n"/>
      <c r="J79" s="25">
        <f>IF(ISNUMBER(H79),H79-IF(ISNUMBER(I79),I79,30),"")</f>
        <v/>
      </c>
      <c r="K79" s="26">
        <f>IF(H79="","",IF(ISNUMBER(H79),H79-TODAY(),"Check date"))</f>
        <v/>
      </c>
      <c r="L79" s="27">
        <f>IF(K79="","",IF(ISNUMBER(K79),IF(K79&lt;0,"Expired",IF(K79&lt;=30,"Due ≤30 days",IF(K79&lt;=90,"Due ≤90 days","OK"))),"Check date"))</f>
        <v/>
      </c>
      <c r="M79" s="21" t="n"/>
      <c r="N79" s="21" t="n"/>
      <c r="O79" s="21" t="n"/>
      <c r="P79" s="21" t="n"/>
    </row>
    <row r="80">
      <c r="A80" s="21" t="n"/>
      <c r="B80" s="21" t="n"/>
      <c r="C80" s="21" t="n"/>
      <c r="D80" s="21" t="n"/>
      <c r="E80" s="22" t="n"/>
      <c r="F80" s="21" t="n"/>
      <c r="G80" s="21" t="n"/>
      <c r="H80" s="23" t="n"/>
      <c r="I80" s="24" t="n"/>
      <c r="J80" s="25">
        <f>IF(ISNUMBER(H80),H80-IF(ISNUMBER(I80),I80,30),"")</f>
        <v/>
      </c>
      <c r="K80" s="26">
        <f>IF(H80="","",IF(ISNUMBER(H80),H80-TODAY(),"Check date"))</f>
        <v/>
      </c>
      <c r="L80" s="27">
        <f>IF(K80="","",IF(ISNUMBER(K80),IF(K80&lt;0,"Expired",IF(K80&lt;=30,"Due ≤30 days",IF(K80&lt;=90,"Due ≤90 days","OK"))),"Check date"))</f>
        <v/>
      </c>
      <c r="M80" s="21" t="n"/>
      <c r="N80" s="21" t="n"/>
      <c r="O80" s="21" t="n"/>
      <c r="P80" s="21" t="n"/>
    </row>
    <row r="81">
      <c r="A81" s="21" t="n"/>
      <c r="B81" s="21" t="n"/>
      <c r="C81" s="21" t="n"/>
      <c r="D81" s="21" t="n"/>
      <c r="E81" s="22" t="n"/>
      <c r="F81" s="21" t="n"/>
      <c r="G81" s="21" t="n"/>
      <c r="H81" s="23" t="n"/>
      <c r="I81" s="24" t="n"/>
      <c r="J81" s="25">
        <f>IF(ISNUMBER(H81),H81-IF(ISNUMBER(I81),I81,30),"")</f>
        <v/>
      </c>
      <c r="K81" s="26">
        <f>IF(H81="","",IF(ISNUMBER(H81),H81-TODAY(),"Check date"))</f>
        <v/>
      </c>
      <c r="L81" s="27">
        <f>IF(K81="","",IF(ISNUMBER(K81),IF(K81&lt;0,"Expired",IF(K81&lt;=30,"Due ≤30 days",IF(K81&lt;=90,"Due ≤90 days","OK"))),"Check date"))</f>
        <v/>
      </c>
      <c r="M81" s="21" t="n"/>
      <c r="N81" s="21" t="n"/>
      <c r="O81" s="21" t="n"/>
      <c r="P81" s="21" t="n"/>
    </row>
    <row r="82">
      <c r="A82" s="21" t="n"/>
      <c r="B82" s="21" t="n"/>
      <c r="C82" s="21" t="n"/>
      <c r="D82" s="21" t="n"/>
      <c r="E82" s="22" t="n"/>
      <c r="F82" s="21" t="n"/>
      <c r="G82" s="21" t="n"/>
      <c r="H82" s="23" t="n"/>
      <c r="I82" s="24" t="n"/>
      <c r="J82" s="25">
        <f>IF(ISNUMBER(H82),H82-IF(ISNUMBER(I82),I82,30),"")</f>
        <v/>
      </c>
      <c r="K82" s="26">
        <f>IF(H82="","",IF(ISNUMBER(H82),H82-TODAY(),"Check date"))</f>
        <v/>
      </c>
      <c r="L82" s="27">
        <f>IF(K82="","",IF(ISNUMBER(K82),IF(K82&lt;0,"Expired",IF(K82&lt;=30,"Due ≤30 days",IF(K82&lt;=90,"Due ≤90 days","OK"))),"Check date"))</f>
        <v/>
      </c>
      <c r="M82" s="21" t="n"/>
      <c r="N82" s="21" t="n"/>
      <c r="O82" s="21" t="n"/>
      <c r="P82" s="21" t="n"/>
    </row>
    <row r="83">
      <c r="A83" s="21" t="n"/>
      <c r="B83" s="21" t="n"/>
      <c r="C83" s="21" t="n"/>
      <c r="D83" s="21" t="n"/>
      <c r="E83" s="22" t="n"/>
      <c r="F83" s="21" t="n"/>
      <c r="G83" s="21" t="n"/>
      <c r="H83" s="23" t="n"/>
      <c r="I83" s="24" t="n"/>
      <c r="J83" s="25">
        <f>IF(ISNUMBER(H83),H83-IF(ISNUMBER(I83),I83,30),"")</f>
        <v/>
      </c>
      <c r="K83" s="26">
        <f>IF(H83="","",IF(ISNUMBER(H83),H83-TODAY(),"Check date"))</f>
        <v/>
      </c>
      <c r="L83" s="27">
        <f>IF(K83="","",IF(ISNUMBER(K83),IF(K83&lt;0,"Expired",IF(K83&lt;=30,"Due ≤30 days",IF(K83&lt;=90,"Due ≤90 days","OK"))),"Check date"))</f>
        <v/>
      </c>
      <c r="M83" s="21" t="n"/>
      <c r="N83" s="21" t="n"/>
      <c r="O83" s="21" t="n"/>
      <c r="P83" s="21" t="n"/>
    </row>
    <row r="84">
      <c r="A84" s="21" t="n"/>
      <c r="B84" s="21" t="n"/>
      <c r="C84" s="21" t="n"/>
      <c r="D84" s="21" t="n"/>
      <c r="E84" s="22" t="n"/>
      <c r="F84" s="21" t="n"/>
      <c r="G84" s="21" t="n"/>
      <c r="H84" s="23" t="n"/>
      <c r="I84" s="24" t="n"/>
      <c r="J84" s="25">
        <f>IF(ISNUMBER(H84),H84-IF(ISNUMBER(I84),I84,30),"")</f>
        <v/>
      </c>
      <c r="K84" s="26">
        <f>IF(H84="","",IF(ISNUMBER(H84),H84-TODAY(),"Check date"))</f>
        <v/>
      </c>
      <c r="L84" s="27">
        <f>IF(K84="","",IF(ISNUMBER(K84),IF(K84&lt;0,"Expired",IF(K84&lt;=30,"Due ≤30 days",IF(K84&lt;=90,"Due ≤90 days","OK"))),"Check date"))</f>
        <v/>
      </c>
      <c r="M84" s="21" t="n"/>
      <c r="N84" s="21" t="n"/>
      <c r="O84" s="21" t="n"/>
      <c r="P84" s="21" t="n"/>
    </row>
    <row r="85">
      <c r="A85" s="21" t="n"/>
      <c r="B85" s="21" t="n"/>
      <c r="C85" s="21" t="n"/>
      <c r="D85" s="21" t="n"/>
      <c r="E85" s="22" t="n"/>
      <c r="F85" s="21" t="n"/>
      <c r="G85" s="21" t="n"/>
      <c r="H85" s="23" t="n"/>
      <c r="I85" s="24" t="n"/>
      <c r="J85" s="25">
        <f>IF(ISNUMBER(H85),H85-IF(ISNUMBER(I85),I85,30),"")</f>
        <v/>
      </c>
      <c r="K85" s="26">
        <f>IF(H85="","",IF(ISNUMBER(H85),H85-TODAY(),"Check date"))</f>
        <v/>
      </c>
      <c r="L85" s="27">
        <f>IF(K85="","",IF(ISNUMBER(K85),IF(K85&lt;0,"Expired",IF(K85&lt;=30,"Due ≤30 days",IF(K85&lt;=90,"Due ≤90 days","OK"))),"Check date"))</f>
        <v/>
      </c>
      <c r="M85" s="21" t="n"/>
      <c r="N85" s="21" t="n"/>
      <c r="O85" s="21" t="n"/>
      <c r="P85" s="21" t="n"/>
    </row>
    <row r="86">
      <c r="A86" s="21" t="n"/>
      <c r="B86" s="21" t="n"/>
      <c r="C86" s="21" t="n"/>
      <c r="D86" s="21" t="n"/>
      <c r="E86" s="22" t="n"/>
      <c r="F86" s="21" t="n"/>
      <c r="G86" s="21" t="n"/>
      <c r="H86" s="23" t="n"/>
      <c r="I86" s="24" t="n"/>
      <c r="J86" s="25">
        <f>IF(ISNUMBER(H86),H86-IF(ISNUMBER(I86),I86,30),"")</f>
        <v/>
      </c>
      <c r="K86" s="26">
        <f>IF(H86="","",IF(ISNUMBER(H86),H86-TODAY(),"Check date"))</f>
        <v/>
      </c>
      <c r="L86" s="27">
        <f>IF(K86="","",IF(ISNUMBER(K86),IF(K86&lt;0,"Expired",IF(K86&lt;=30,"Due ≤30 days",IF(K86&lt;=90,"Due ≤90 days","OK"))),"Check date"))</f>
        <v/>
      </c>
      <c r="M86" s="21" t="n"/>
      <c r="N86" s="21" t="n"/>
      <c r="O86" s="21" t="n"/>
      <c r="P86" s="21" t="n"/>
    </row>
    <row r="87">
      <c r="A87" s="21" t="n"/>
      <c r="B87" s="21" t="n"/>
      <c r="C87" s="21" t="n"/>
      <c r="D87" s="21" t="n"/>
      <c r="E87" s="22" t="n"/>
      <c r="F87" s="21" t="n"/>
      <c r="G87" s="21" t="n"/>
      <c r="H87" s="23" t="n"/>
      <c r="I87" s="24" t="n"/>
      <c r="J87" s="25">
        <f>IF(ISNUMBER(H87),H87-IF(ISNUMBER(I87),I87,30),"")</f>
        <v/>
      </c>
      <c r="K87" s="26">
        <f>IF(H87="","",IF(ISNUMBER(H87),H87-TODAY(),"Check date"))</f>
        <v/>
      </c>
      <c r="L87" s="27">
        <f>IF(K87="","",IF(ISNUMBER(K87),IF(K87&lt;0,"Expired",IF(K87&lt;=30,"Due ≤30 days",IF(K87&lt;=90,"Due ≤90 days","OK"))),"Check date"))</f>
        <v/>
      </c>
      <c r="M87" s="21" t="n"/>
      <c r="N87" s="21" t="n"/>
      <c r="O87" s="21" t="n"/>
      <c r="P87" s="21" t="n"/>
    </row>
    <row r="88">
      <c r="A88" s="21" t="n"/>
      <c r="B88" s="21" t="n"/>
      <c r="C88" s="21" t="n"/>
      <c r="D88" s="21" t="n"/>
      <c r="E88" s="22" t="n"/>
      <c r="F88" s="21" t="n"/>
      <c r="G88" s="21" t="n"/>
      <c r="H88" s="23" t="n"/>
      <c r="I88" s="24" t="n"/>
      <c r="J88" s="25">
        <f>IF(ISNUMBER(H88),H88-IF(ISNUMBER(I88),I88,30),"")</f>
        <v/>
      </c>
      <c r="K88" s="26">
        <f>IF(H88="","",IF(ISNUMBER(H88),H88-TODAY(),"Check date"))</f>
        <v/>
      </c>
      <c r="L88" s="27">
        <f>IF(K88="","",IF(ISNUMBER(K88),IF(K88&lt;0,"Expired",IF(K88&lt;=30,"Due ≤30 days",IF(K88&lt;=90,"Due ≤90 days","OK"))),"Check date"))</f>
        <v/>
      </c>
      <c r="M88" s="21" t="n"/>
      <c r="N88" s="21" t="n"/>
      <c r="O88" s="21" t="n"/>
      <c r="P88" s="21" t="n"/>
    </row>
    <row r="89">
      <c r="A89" s="21" t="n"/>
      <c r="B89" s="21" t="n"/>
      <c r="C89" s="21" t="n"/>
      <c r="D89" s="21" t="n"/>
      <c r="E89" s="22" t="n"/>
      <c r="F89" s="21" t="n"/>
      <c r="G89" s="21" t="n"/>
      <c r="H89" s="23" t="n"/>
      <c r="I89" s="24" t="n"/>
      <c r="J89" s="25">
        <f>IF(ISNUMBER(H89),H89-IF(ISNUMBER(I89),I89,30),"")</f>
        <v/>
      </c>
      <c r="K89" s="26">
        <f>IF(H89="","",IF(ISNUMBER(H89),H89-TODAY(),"Check date"))</f>
        <v/>
      </c>
      <c r="L89" s="27">
        <f>IF(K89="","",IF(ISNUMBER(K89),IF(K89&lt;0,"Expired",IF(K89&lt;=30,"Due ≤30 days",IF(K89&lt;=90,"Due ≤90 days","OK"))),"Check date"))</f>
        <v/>
      </c>
      <c r="M89" s="21" t="n"/>
      <c r="N89" s="21" t="n"/>
      <c r="O89" s="21" t="n"/>
      <c r="P89" s="21" t="n"/>
    </row>
    <row r="90">
      <c r="A90" s="21" t="n"/>
      <c r="B90" s="21" t="n"/>
      <c r="C90" s="21" t="n"/>
      <c r="D90" s="21" t="n"/>
      <c r="E90" s="22" t="n"/>
      <c r="F90" s="21" t="n"/>
      <c r="G90" s="21" t="n"/>
      <c r="H90" s="23" t="n"/>
      <c r="I90" s="24" t="n"/>
      <c r="J90" s="25">
        <f>IF(ISNUMBER(H90),H90-IF(ISNUMBER(I90),I90,30),"")</f>
        <v/>
      </c>
      <c r="K90" s="26">
        <f>IF(H90="","",IF(ISNUMBER(H90),H90-TODAY(),"Check date"))</f>
        <v/>
      </c>
      <c r="L90" s="27">
        <f>IF(K90="","",IF(ISNUMBER(K90),IF(K90&lt;0,"Expired",IF(K90&lt;=30,"Due ≤30 days",IF(K90&lt;=90,"Due ≤90 days","OK"))),"Check date"))</f>
        <v/>
      </c>
      <c r="M90" s="21" t="n"/>
      <c r="N90" s="21" t="n"/>
      <c r="O90" s="21" t="n"/>
      <c r="P90" s="21" t="n"/>
    </row>
    <row r="91">
      <c r="A91" s="21" t="n"/>
      <c r="B91" s="21" t="n"/>
      <c r="C91" s="21" t="n"/>
      <c r="D91" s="21" t="n"/>
      <c r="E91" s="22" t="n"/>
      <c r="F91" s="21" t="n"/>
      <c r="G91" s="21" t="n"/>
      <c r="H91" s="23" t="n"/>
      <c r="I91" s="24" t="n"/>
      <c r="J91" s="25">
        <f>IF(ISNUMBER(H91),H91-IF(ISNUMBER(I91),I91,30),"")</f>
        <v/>
      </c>
      <c r="K91" s="26">
        <f>IF(H91="","",IF(ISNUMBER(H91),H91-TODAY(),"Check date"))</f>
        <v/>
      </c>
      <c r="L91" s="27">
        <f>IF(K91="","",IF(ISNUMBER(K91),IF(K91&lt;0,"Expired",IF(K91&lt;=30,"Due ≤30 days",IF(K91&lt;=90,"Due ≤90 days","OK"))),"Check date"))</f>
        <v/>
      </c>
      <c r="M91" s="21" t="n"/>
      <c r="N91" s="21" t="n"/>
      <c r="O91" s="21" t="n"/>
      <c r="P91" s="21" t="n"/>
    </row>
    <row r="92">
      <c r="A92" s="21" t="n"/>
      <c r="B92" s="21" t="n"/>
      <c r="C92" s="21" t="n"/>
      <c r="D92" s="21" t="n"/>
      <c r="E92" s="22" t="n"/>
      <c r="F92" s="21" t="n"/>
      <c r="G92" s="21" t="n"/>
      <c r="H92" s="23" t="n"/>
      <c r="I92" s="24" t="n"/>
      <c r="J92" s="25">
        <f>IF(ISNUMBER(H92),H92-IF(ISNUMBER(I92),I92,30),"")</f>
        <v/>
      </c>
      <c r="K92" s="26">
        <f>IF(H92="","",IF(ISNUMBER(H92),H92-TODAY(),"Check date"))</f>
        <v/>
      </c>
      <c r="L92" s="27">
        <f>IF(K92="","",IF(ISNUMBER(K92),IF(K92&lt;0,"Expired",IF(K92&lt;=30,"Due ≤30 days",IF(K92&lt;=90,"Due ≤90 days","OK"))),"Check date"))</f>
        <v/>
      </c>
      <c r="M92" s="21" t="n"/>
      <c r="N92" s="21" t="n"/>
      <c r="O92" s="21" t="n"/>
      <c r="P92" s="21" t="n"/>
    </row>
    <row r="93">
      <c r="A93" s="21" t="n"/>
      <c r="B93" s="21" t="n"/>
      <c r="C93" s="21" t="n"/>
      <c r="D93" s="21" t="n"/>
      <c r="E93" s="22" t="n"/>
      <c r="F93" s="21" t="n"/>
      <c r="G93" s="21" t="n"/>
      <c r="H93" s="23" t="n"/>
      <c r="I93" s="24" t="n"/>
      <c r="J93" s="25">
        <f>IF(ISNUMBER(H93),H93-IF(ISNUMBER(I93),I93,30),"")</f>
        <v/>
      </c>
      <c r="K93" s="26">
        <f>IF(H93="","",IF(ISNUMBER(H93),H93-TODAY(),"Check date"))</f>
        <v/>
      </c>
      <c r="L93" s="27">
        <f>IF(K93="","",IF(ISNUMBER(K93),IF(K93&lt;0,"Expired",IF(K93&lt;=30,"Due ≤30 days",IF(K93&lt;=90,"Due ≤90 days","OK"))),"Check date"))</f>
        <v/>
      </c>
      <c r="M93" s="21" t="n"/>
      <c r="N93" s="21" t="n"/>
      <c r="O93" s="21" t="n"/>
      <c r="P93" s="21" t="n"/>
    </row>
    <row r="94">
      <c r="A94" s="21" t="n"/>
      <c r="B94" s="21" t="n"/>
      <c r="C94" s="21" t="n"/>
      <c r="D94" s="21" t="n"/>
      <c r="E94" s="22" t="n"/>
      <c r="F94" s="21" t="n"/>
      <c r="G94" s="21" t="n"/>
      <c r="H94" s="23" t="n"/>
      <c r="I94" s="24" t="n"/>
      <c r="J94" s="25">
        <f>IF(ISNUMBER(H94),H94-IF(ISNUMBER(I94),I94,30),"")</f>
        <v/>
      </c>
      <c r="K94" s="26">
        <f>IF(H94="","",IF(ISNUMBER(H94),H94-TODAY(),"Check date"))</f>
        <v/>
      </c>
      <c r="L94" s="27">
        <f>IF(K94="","",IF(ISNUMBER(K94),IF(K94&lt;0,"Expired",IF(K94&lt;=30,"Due ≤30 days",IF(K94&lt;=90,"Due ≤90 days","OK"))),"Check date"))</f>
        <v/>
      </c>
      <c r="M94" s="21" t="n"/>
      <c r="N94" s="21" t="n"/>
      <c r="O94" s="21" t="n"/>
      <c r="P94" s="21" t="n"/>
    </row>
    <row r="95">
      <c r="A95" s="21" t="n"/>
      <c r="B95" s="21" t="n"/>
      <c r="C95" s="21" t="n"/>
      <c r="D95" s="21" t="n"/>
      <c r="E95" s="22" t="n"/>
      <c r="F95" s="21" t="n"/>
      <c r="G95" s="21" t="n"/>
      <c r="H95" s="23" t="n"/>
      <c r="I95" s="24" t="n"/>
      <c r="J95" s="25">
        <f>IF(ISNUMBER(H95),H95-IF(ISNUMBER(I95),I95,30),"")</f>
        <v/>
      </c>
      <c r="K95" s="26">
        <f>IF(H95="","",IF(ISNUMBER(H95),H95-TODAY(),"Check date"))</f>
        <v/>
      </c>
      <c r="L95" s="27">
        <f>IF(K95="","",IF(ISNUMBER(K95),IF(K95&lt;0,"Expired",IF(K95&lt;=30,"Due ≤30 days",IF(K95&lt;=90,"Due ≤90 days","OK"))),"Check date"))</f>
        <v/>
      </c>
      <c r="M95" s="21" t="n"/>
      <c r="N95" s="21" t="n"/>
      <c r="O95" s="21" t="n"/>
      <c r="P95" s="21" t="n"/>
    </row>
    <row r="96">
      <c r="A96" s="21" t="n"/>
      <c r="B96" s="21" t="n"/>
      <c r="C96" s="21" t="n"/>
      <c r="D96" s="21" t="n"/>
      <c r="E96" s="22" t="n"/>
      <c r="F96" s="21" t="n"/>
      <c r="G96" s="21" t="n"/>
      <c r="H96" s="23" t="n"/>
      <c r="I96" s="24" t="n"/>
      <c r="J96" s="25">
        <f>IF(ISNUMBER(H96),H96-IF(ISNUMBER(I96),I96,30),"")</f>
        <v/>
      </c>
      <c r="K96" s="26">
        <f>IF(H96="","",IF(ISNUMBER(H96),H96-TODAY(),"Check date"))</f>
        <v/>
      </c>
      <c r="L96" s="27">
        <f>IF(K96="","",IF(ISNUMBER(K96),IF(K96&lt;0,"Expired",IF(K96&lt;=30,"Due ≤30 days",IF(K96&lt;=90,"Due ≤90 days","OK"))),"Check date"))</f>
        <v/>
      </c>
      <c r="M96" s="21" t="n"/>
      <c r="N96" s="21" t="n"/>
      <c r="O96" s="21" t="n"/>
      <c r="P96" s="21" t="n"/>
    </row>
    <row r="97">
      <c r="A97" s="21" t="n"/>
      <c r="B97" s="21" t="n"/>
      <c r="C97" s="21" t="n"/>
      <c r="D97" s="21" t="n"/>
      <c r="E97" s="22" t="n"/>
      <c r="F97" s="21" t="n"/>
      <c r="G97" s="21" t="n"/>
      <c r="H97" s="23" t="n"/>
      <c r="I97" s="24" t="n"/>
      <c r="J97" s="25">
        <f>IF(ISNUMBER(H97),H97-IF(ISNUMBER(I97),I97,30),"")</f>
        <v/>
      </c>
      <c r="K97" s="26">
        <f>IF(H97="","",IF(ISNUMBER(H97),H97-TODAY(),"Check date"))</f>
        <v/>
      </c>
      <c r="L97" s="27">
        <f>IF(K97="","",IF(ISNUMBER(K97),IF(K97&lt;0,"Expired",IF(K97&lt;=30,"Due ≤30 days",IF(K97&lt;=90,"Due ≤90 days","OK"))),"Check date"))</f>
        <v/>
      </c>
      <c r="M97" s="21" t="n"/>
      <c r="N97" s="21" t="n"/>
      <c r="O97" s="21" t="n"/>
      <c r="P97" s="21" t="n"/>
    </row>
    <row r="98">
      <c r="A98" s="21" t="n"/>
      <c r="B98" s="21" t="n"/>
      <c r="C98" s="21" t="n"/>
      <c r="D98" s="21" t="n"/>
      <c r="E98" s="22" t="n"/>
      <c r="F98" s="21" t="n"/>
      <c r="G98" s="21" t="n"/>
      <c r="H98" s="23" t="n"/>
      <c r="I98" s="24" t="n"/>
      <c r="J98" s="25">
        <f>IF(ISNUMBER(H98),H98-IF(ISNUMBER(I98),I98,30),"")</f>
        <v/>
      </c>
      <c r="K98" s="26">
        <f>IF(H98="","",IF(ISNUMBER(H98),H98-TODAY(),"Check date"))</f>
        <v/>
      </c>
      <c r="L98" s="27">
        <f>IF(K98="","",IF(ISNUMBER(K98),IF(K98&lt;0,"Expired",IF(K98&lt;=30,"Due ≤30 days",IF(K98&lt;=90,"Due ≤90 days","OK"))),"Check date"))</f>
        <v/>
      </c>
      <c r="M98" s="21" t="n"/>
      <c r="N98" s="21" t="n"/>
      <c r="O98" s="21" t="n"/>
      <c r="P98" s="21" t="n"/>
    </row>
    <row r="99">
      <c r="A99" s="21" t="n"/>
      <c r="B99" s="21" t="n"/>
      <c r="C99" s="21" t="n"/>
      <c r="D99" s="21" t="n"/>
      <c r="E99" s="22" t="n"/>
      <c r="F99" s="21" t="n"/>
      <c r="G99" s="21" t="n"/>
      <c r="H99" s="23" t="n"/>
      <c r="I99" s="24" t="n"/>
      <c r="J99" s="25">
        <f>IF(ISNUMBER(H99),H99-IF(ISNUMBER(I99),I99,30),"")</f>
        <v/>
      </c>
      <c r="K99" s="26">
        <f>IF(H99="","",IF(ISNUMBER(H99),H99-TODAY(),"Check date"))</f>
        <v/>
      </c>
      <c r="L99" s="27">
        <f>IF(K99="","",IF(ISNUMBER(K99),IF(K99&lt;0,"Expired",IF(K99&lt;=30,"Due ≤30 days",IF(K99&lt;=90,"Due ≤90 days","OK"))),"Check date"))</f>
        <v/>
      </c>
      <c r="M99" s="21" t="n"/>
      <c r="N99" s="21" t="n"/>
      <c r="O99" s="21" t="n"/>
      <c r="P99" s="21" t="n"/>
    </row>
    <row r="100">
      <c r="A100" s="21" t="n"/>
      <c r="B100" s="21" t="n"/>
      <c r="C100" s="21" t="n"/>
      <c r="D100" s="21" t="n"/>
      <c r="E100" s="22" t="n"/>
      <c r="F100" s="21" t="n"/>
      <c r="G100" s="21" t="n"/>
      <c r="H100" s="23" t="n"/>
      <c r="I100" s="24" t="n"/>
      <c r="J100" s="25">
        <f>IF(ISNUMBER(H100),H100-IF(ISNUMBER(I100),I100,30),"")</f>
        <v/>
      </c>
      <c r="K100" s="26">
        <f>IF(H100="","",IF(ISNUMBER(H100),H100-TODAY(),"Check date"))</f>
        <v/>
      </c>
      <c r="L100" s="27">
        <f>IF(K100="","",IF(ISNUMBER(K100),IF(K100&lt;0,"Expired",IF(K100&lt;=30,"Due ≤30 days",IF(K100&lt;=90,"Due ≤90 days","OK"))),"Check date"))</f>
        <v/>
      </c>
      <c r="M100" s="21" t="n"/>
      <c r="N100" s="21" t="n"/>
      <c r="O100" s="21" t="n"/>
      <c r="P100" s="21" t="n"/>
    </row>
    <row r="101">
      <c r="A101" s="21" t="n"/>
      <c r="B101" s="21" t="n"/>
      <c r="C101" s="21" t="n"/>
      <c r="D101" s="21" t="n"/>
      <c r="E101" s="22" t="n"/>
      <c r="F101" s="21" t="n"/>
      <c r="G101" s="21" t="n"/>
      <c r="H101" s="23" t="n"/>
      <c r="I101" s="24" t="n"/>
      <c r="J101" s="25">
        <f>IF(ISNUMBER(H101),H101-IF(ISNUMBER(I101),I101,30),"")</f>
        <v/>
      </c>
      <c r="K101" s="26">
        <f>IF(H101="","",IF(ISNUMBER(H101),H101-TODAY(),"Check date"))</f>
        <v/>
      </c>
      <c r="L101" s="27">
        <f>IF(K101="","",IF(ISNUMBER(K101),IF(K101&lt;0,"Expired",IF(K101&lt;=30,"Due ≤30 days",IF(K101&lt;=90,"Due ≤90 days","OK"))),"Check date"))</f>
        <v/>
      </c>
      <c r="M101" s="21" t="n"/>
      <c r="N101" s="21" t="n"/>
      <c r="O101" s="21" t="n"/>
      <c r="P101" s="21" t="n"/>
    </row>
    <row r="102">
      <c r="A102" s="21" t="n"/>
      <c r="B102" s="21" t="n"/>
      <c r="C102" s="21" t="n"/>
      <c r="D102" s="21" t="n"/>
      <c r="E102" s="22" t="n"/>
      <c r="F102" s="21" t="n"/>
      <c r="G102" s="21" t="n"/>
      <c r="H102" s="23" t="n"/>
      <c r="I102" s="24" t="n"/>
      <c r="J102" s="25">
        <f>IF(ISNUMBER(H102),H102-IF(ISNUMBER(I102),I102,30),"")</f>
        <v/>
      </c>
      <c r="K102" s="26">
        <f>IF(H102="","",IF(ISNUMBER(H102),H102-TODAY(),"Check date"))</f>
        <v/>
      </c>
      <c r="L102" s="27">
        <f>IF(K102="","",IF(ISNUMBER(K102),IF(K102&lt;0,"Expired",IF(K102&lt;=30,"Due ≤30 days",IF(K102&lt;=90,"Due ≤90 days","OK"))),"Check date"))</f>
        <v/>
      </c>
      <c r="M102" s="21" t="n"/>
      <c r="N102" s="21" t="n"/>
      <c r="O102" s="21" t="n"/>
      <c r="P102" s="21" t="n"/>
    </row>
    <row r="103">
      <c r="A103" s="21" t="n"/>
      <c r="B103" s="21" t="n"/>
      <c r="C103" s="21" t="n"/>
      <c r="D103" s="21" t="n"/>
      <c r="E103" s="22" t="n"/>
      <c r="F103" s="21" t="n"/>
      <c r="G103" s="21" t="n"/>
      <c r="H103" s="23" t="n"/>
      <c r="I103" s="24" t="n"/>
      <c r="J103" s="25">
        <f>IF(ISNUMBER(H103),H103-IF(ISNUMBER(I103),I103,30),"")</f>
        <v/>
      </c>
      <c r="K103" s="26">
        <f>IF(H103="","",IF(ISNUMBER(H103),H103-TODAY(),"Check date"))</f>
        <v/>
      </c>
      <c r="L103" s="27">
        <f>IF(K103="","",IF(ISNUMBER(K103),IF(K103&lt;0,"Expired",IF(K103&lt;=30,"Due ≤30 days",IF(K103&lt;=90,"Due ≤90 days","OK"))),"Check date"))</f>
        <v/>
      </c>
      <c r="M103" s="21" t="n"/>
      <c r="N103" s="21" t="n"/>
      <c r="O103" s="21" t="n"/>
      <c r="P103" s="21" t="n"/>
    </row>
    <row r="104">
      <c r="A104" s="21" t="n"/>
      <c r="B104" s="21" t="n"/>
      <c r="C104" s="21" t="n"/>
      <c r="D104" s="21" t="n"/>
      <c r="E104" s="22" t="n"/>
      <c r="F104" s="21" t="n"/>
      <c r="G104" s="21" t="n"/>
      <c r="H104" s="23" t="n"/>
      <c r="I104" s="24" t="n"/>
      <c r="J104" s="25">
        <f>IF(ISNUMBER(H104),H104-IF(ISNUMBER(I104),I104,30),"")</f>
        <v/>
      </c>
      <c r="K104" s="26">
        <f>IF(H104="","",IF(ISNUMBER(H104),H104-TODAY(),"Check date"))</f>
        <v/>
      </c>
      <c r="L104" s="27">
        <f>IF(K104="","",IF(ISNUMBER(K104),IF(K104&lt;0,"Expired",IF(K104&lt;=30,"Due ≤30 days",IF(K104&lt;=90,"Due ≤90 days","OK"))),"Check date"))</f>
        <v/>
      </c>
      <c r="M104" s="21" t="n"/>
      <c r="N104" s="21" t="n"/>
      <c r="O104" s="21" t="n"/>
      <c r="P104" s="21" t="n"/>
    </row>
    <row r="105">
      <c r="A105" s="21" t="n"/>
      <c r="B105" s="21" t="n"/>
      <c r="C105" s="21" t="n"/>
      <c r="D105" s="21" t="n"/>
      <c r="E105" s="22" t="n"/>
      <c r="F105" s="21" t="n"/>
      <c r="G105" s="21" t="n"/>
      <c r="H105" s="23" t="n"/>
      <c r="I105" s="24" t="n"/>
      <c r="J105" s="25">
        <f>IF(ISNUMBER(H105),H105-IF(ISNUMBER(I105),I105,30),"")</f>
        <v/>
      </c>
      <c r="K105" s="26">
        <f>IF(H105="","",IF(ISNUMBER(H105),H105-TODAY(),"Check date"))</f>
        <v/>
      </c>
      <c r="L105" s="27">
        <f>IF(K105="","",IF(ISNUMBER(K105),IF(K105&lt;0,"Expired",IF(K105&lt;=30,"Due ≤30 days",IF(K105&lt;=90,"Due ≤90 days","OK"))),"Check date"))</f>
        <v/>
      </c>
      <c r="M105" s="21" t="n"/>
      <c r="N105" s="21" t="n"/>
      <c r="O105" s="21" t="n"/>
      <c r="P105" s="21" t="n"/>
    </row>
    <row r="106">
      <c r="A106" s="21" t="n"/>
      <c r="B106" s="21" t="n"/>
      <c r="C106" s="21" t="n"/>
      <c r="D106" s="21" t="n"/>
      <c r="E106" s="22" t="n"/>
      <c r="F106" s="21" t="n"/>
      <c r="G106" s="21" t="n"/>
      <c r="H106" s="23" t="n"/>
      <c r="I106" s="24" t="n"/>
      <c r="J106" s="25">
        <f>IF(ISNUMBER(H106),H106-IF(ISNUMBER(I106),I106,30),"")</f>
        <v/>
      </c>
      <c r="K106" s="26">
        <f>IF(H106="","",IF(ISNUMBER(H106),H106-TODAY(),"Check date"))</f>
        <v/>
      </c>
      <c r="L106" s="27">
        <f>IF(K106="","",IF(ISNUMBER(K106),IF(K106&lt;0,"Expired",IF(K106&lt;=30,"Due ≤30 days",IF(K106&lt;=90,"Due ≤90 days","OK"))),"Check date"))</f>
        <v/>
      </c>
      <c r="M106" s="21" t="n"/>
      <c r="N106" s="21" t="n"/>
      <c r="O106" s="21" t="n"/>
      <c r="P106" s="21" t="n"/>
    </row>
    <row r="107">
      <c r="A107" s="21" t="n"/>
      <c r="B107" s="21" t="n"/>
      <c r="C107" s="21" t="n"/>
      <c r="D107" s="21" t="n"/>
      <c r="E107" s="22" t="n"/>
      <c r="F107" s="21" t="n"/>
      <c r="G107" s="21" t="n"/>
      <c r="H107" s="23" t="n"/>
      <c r="I107" s="24" t="n"/>
      <c r="J107" s="25">
        <f>IF(ISNUMBER(H107),H107-IF(ISNUMBER(I107),I107,30),"")</f>
        <v/>
      </c>
      <c r="K107" s="26">
        <f>IF(H107="","",IF(ISNUMBER(H107),H107-TODAY(),"Check date"))</f>
        <v/>
      </c>
      <c r="L107" s="27">
        <f>IF(K107="","",IF(ISNUMBER(K107),IF(K107&lt;0,"Expired",IF(K107&lt;=30,"Due ≤30 days",IF(K107&lt;=90,"Due ≤90 days","OK"))),"Check date"))</f>
        <v/>
      </c>
      <c r="M107" s="21" t="n"/>
      <c r="N107" s="21" t="n"/>
      <c r="O107" s="21" t="n"/>
      <c r="P107" s="21" t="n"/>
    </row>
    <row r="108">
      <c r="A108" s="21" t="n"/>
      <c r="B108" s="21" t="n"/>
      <c r="C108" s="21" t="n"/>
      <c r="D108" s="21" t="n"/>
      <c r="E108" s="22" t="n"/>
      <c r="F108" s="21" t="n"/>
      <c r="G108" s="21" t="n"/>
      <c r="H108" s="23" t="n"/>
      <c r="I108" s="24" t="n"/>
      <c r="J108" s="25">
        <f>IF(ISNUMBER(H108),H108-IF(ISNUMBER(I108),I108,30),"")</f>
        <v/>
      </c>
      <c r="K108" s="26">
        <f>IF(H108="","",IF(ISNUMBER(H108),H108-TODAY(),"Check date"))</f>
        <v/>
      </c>
      <c r="L108" s="27">
        <f>IF(K108="","",IF(ISNUMBER(K108),IF(K108&lt;0,"Expired",IF(K108&lt;=30,"Due ≤30 days",IF(K108&lt;=90,"Due ≤90 days","OK"))),"Check date"))</f>
        <v/>
      </c>
      <c r="M108" s="21" t="n"/>
      <c r="N108" s="21" t="n"/>
      <c r="O108" s="21" t="n"/>
      <c r="P108" s="21" t="n"/>
    </row>
    <row r="109">
      <c r="A109" s="21" t="n"/>
      <c r="B109" s="21" t="n"/>
      <c r="C109" s="21" t="n"/>
      <c r="D109" s="21" t="n"/>
      <c r="E109" s="22" t="n"/>
      <c r="F109" s="21" t="n"/>
      <c r="G109" s="21" t="n"/>
      <c r="H109" s="23" t="n"/>
      <c r="I109" s="24" t="n"/>
      <c r="J109" s="25">
        <f>IF(ISNUMBER(H109),H109-IF(ISNUMBER(I109),I109,30),"")</f>
        <v/>
      </c>
      <c r="K109" s="26">
        <f>IF(H109="","",IF(ISNUMBER(H109),H109-TODAY(),"Check date"))</f>
        <v/>
      </c>
      <c r="L109" s="27">
        <f>IF(K109="","",IF(ISNUMBER(K109),IF(K109&lt;0,"Expired",IF(K109&lt;=30,"Due ≤30 days",IF(K109&lt;=90,"Due ≤90 days","OK"))),"Check date"))</f>
        <v/>
      </c>
      <c r="M109" s="21" t="n"/>
      <c r="N109" s="21" t="n"/>
      <c r="O109" s="21" t="n"/>
      <c r="P109" s="21" t="n"/>
    </row>
    <row r="110">
      <c r="A110" s="21" t="n"/>
      <c r="B110" s="21" t="n"/>
      <c r="C110" s="21" t="n"/>
      <c r="D110" s="21" t="n"/>
      <c r="E110" s="22" t="n"/>
      <c r="F110" s="21" t="n"/>
      <c r="G110" s="21" t="n"/>
      <c r="H110" s="23" t="n"/>
      <c r="I110" s="24" t="n"/>
      <c r="J110" s="25">
        <f>IF(ISNUMBER(H110),H110-IF(ISNUMBER(I110),I110,30),"")</f>
        <v/>
      </c>
      <c r="K110" s="26">
        <f>IF(H110="","",IF(ISNUMBER(H110),H110-TODAY(),"Check date"))</f>
        <v/>
      </c>
      <c r="L110" s="27">
        <f>IF(K110="","",IF(ISNUMBER(K110),IF(K110&lt;0,"Expired",IF(K110&lt;=30,"Due ≤30 days",IF(K110&lt;=90,"Due ≤90 days","OK"))),"Check date"))</f>
        <v/>
      </c>
      <c r="M110" s="21" t="n"/>
      <c r="N110" s="21" t="n"/>
      <c r="O110" s="21" t="n"/>
      <c r="P110" s="21" t="n"/>
    </row>
    <row r="111">
      <c r="A111" s="21" t="n"/>
      <c r="B111" s="21" t="n"/>
      <c r="C111" s="21" t="n"/>
      <c r="D111" s="21" t="n"/>
      <c r="E111" s="22" t="n"/>
      <c r="F111" s="21" t="n"/>
      <c r="G111" s="21" t="n"/>
      <c r="H111" s="23" t="n"/>
      <c r="I111" s="24" t="n"/>
      <c r="J111" s="25">
        <f>IF(ISNUMBER(H111),H111-IF(ISNUMBER(I111),I111,30),"")</f>
        <v/>
      </c>
      <c r="K111" s="26">
        <f>IF(H111="","",IF(ISNUMBER(H111),H111-TODAY(),"Check date"))</f>
        <v/>
      </c>
      <c r="L111" s="27">
        <f>IF(K111="","",IF(ISNUMBER(K111),IF(K111&lt;0,"Expired",IF(K111&lt;=30,"Due ≤30 days",IF(K111&lt;=90,"Due ≤90 days","OK"))),"Check date"))</f>
        <v/>
      </c>
      <c r="M111" s="21" t="n"/>
      <c r="N111" s="21" t="n"/>
      <c r="O111" s="21" t="n"/>
      <c r="P111" s="21" t="n"/>
    </row>
    <row r="112">
      <c r="A112" s="21" t="n"/>
      <c r="B112" s="21" t="n"/>
      <c r="C112" s="21" t="n"/>
      <c r="D112" s="21" t="n"/>
      <c r="E112" s="22" t="n"/>
      <c r="F112" s="21" t="n"/>
      <c r="G112" s="21" t="n"/>
      <c r="H112" s="23" t="n"/>
      <c r="I112" s="24" t="n"/>
      <c r="J112" s="25">
        <f>IF(ISNUMBER(H112),H112-IF(ISNUMBER(I112),I112,30),"")</f>
        <v/>
      </c>
      <c r="K112" s="26">
        <f>IF(H112="","",IF(ISNUMBER(H112),H112-TODAY(),"Check date"))</f>
        <v/>
      </c>
      <c r="L112" s="27">
        <f>IF(K112="","",IF(ISNUMBER(K112),IF(K112&lt;0,"Expired",IF(K112&lt;=30,"Due ≤30 days",IF(K112&lt;=90,"Due ≤90 days","OK"))),"Check date"))</f>
        <v/>
      </c>
      <c r="M112" s="21" t="n"/>
      <c r="N112" s="21" t="n"/>
      <c r="O112" s="21" t="n"/>
      <c r="P112" s="21" t="n"/>
    </row>
    <row r="113">
      <c r="A113" s="21" t="n"/>
      <c r="B113" s="21" t="n"/>
      <c r="C113" s="21" t="n"/>
      <c r="D113" s="21" t="n"/>
      <c r="E113" s="22" t="n"/>
      <c r="F113" s="21" t="n"/>
      <c r="G113" s="21" t="n"/>
      <c r="H113" s="23" t="n"/>
      <c r="I113" s="24" t="n"/>
      <c r="J113" s="25">
        <f>IF(ISNUMBER(H113),H113-IF(ISNUMBER(I113),I113,30),"")</f>
        <v/>
      </c>
      <c r="K113" s="26">
        <f>IF(H113="","",IF(ISNUMBER(H113),H113-TODAY(),"Check date"))</f>
        <v/>
      </c>
      <c r="L113" s="27">
        <f>IF(K113="","",IF(ISNUMBER(K113),IF(K113&lt;0,"Expired",IF(K113&lt;=30,"Due ≤30 days",IF(K113&lt;=90,"Due ≤90 days","OK"))),"Check date"))</f>
        <v/>
      </c>
      <c r="M113" s="21" t="n"/>
      <c r="N113" s="21" t="n"/>
      <c r="O113" s="21" t="n"/>
      <c r="P113" s="21" t="n"/>
    </row>
    <row r="114">
      <c r="A114" s="21" t="n"/>
      <c r="B114" s="21" t="n"/>
      <c r="C114" s="21" t="n"/>
      <c r="D114" s="21" t="n"/>
      <c r="E114" s="22" t="n"/>
      <c r="F114" s="21" t="n"/>
      <c r="G114" s="21" t="n"/>
      <c r="H114" s="23" t="n"/>
      <c r="I114" s="24" t="n"/>
      <c r="J114" s="25">
        <f>IF(ISNUMBER(H114),H114-IF(ISNUMBER(I114),I114,30),"")</f>
        <v/>
      </c>
      <c r="K114" s="26">
        <f>IF(H114="","",IF(ISNUMBER(H114),H114-TODAY(),"Check date"))</f>
        <v/>
      </c>
      <c r="L114" s="27">
        <f>IF(K114="","",IF(ISNUMBER(K114),IF(K114&lt;0,"Expired",IF(K114&lt;=30,"Due ≤30 days",IF(K114&lt;=90,"Due ≤90 days","OK"))),"Check date"))</f>
        <v/>
      </c>
      <c r="M114" s="21" t="n"/>
      <c r="N114" s="21" t="n"/>
      <c r="O114" s="21" t="n"/>
      <c r="P114" s="21" t="n"/>
    </row>
    <row r="115">
      <c r="A115" s="21" t="n"/>
      <c r="B115" s="21" t="n"/>
      <c r="C115" s="21" t="n"/>
      <c r="D115" s="21" t="n"/>
      <c r="E115" s="22" t="n"/>
      <c r="F115" s="21" t="n"/>
      <c r="G115" s="21" t="n"/>
      <c r="H115" s="23" t="n"/>
      <c r="I115" s="24" t="n"/>
      <c r="J115" s="25">
        <f>IF(ISNUMBER(H115),H115-IF(ISNUMBER(I115),I115,30),"")</f>
        <v/>
      </c>
      <c r="K115" s="26">
        <f>IF(H115="","",IF(ISNUMBER(H115),H115-TODAY(),"Check date"))</f>
        <v/>
      </c>
      <c r="L115" s="27">
        <f>IF(K115="","",IF(ISNUMBER(K115),IF(K115&lt;0,"Expired",IF(K115&lt;=30,"Due ≤30 days",IF(K115&lt;=90,"Due ≤90 days","OK"))),"Check date"))</f>
        <v/>
      </c>
      <c r="M115" s="21" t="n"/>
      <c r="N115" s="21" t="n"/>
      <c r="O115" s="21" t="n"/>
      <c r="P115" s="21" t="n"/>
    </row>
    <row r="116">
      <c r="A116" s="21" t="n"/>
      <c r="B116" s="21" t="n"/>
      <c r="C116" s="21" t="n"/>
      <c r="D116" s="21" t="n"/>
      <c r="E116" s="22" t="n"/>
      <c r="F116" s="21" t="n"/>
      <c r="G116" s="21" t="n"/>
      <c r="H116" s="23" t="n"/>
      <c r="I116" s="24" t="n"/>
      <c r="J116" s="25">
        <f>IF(ISNUMBER(H116),H116-IF(ISNUMBER(I116),I116,30),"")</f>
        <v/>
      </c>
      <c r="K116" s="26">
        <f>IF(H116="","",IF(ISNUMBER(H116),H116-TODAY(),"Check date"))</f>
        <v/>
      </c>
      <c r="L116" s="27">
        <f>IF(K116="","",IF(ISNUMBER(K116),IF(K116&lt;0,"Expired",IF(K116&lt;=30,"Due ≤30 days",IF(K116&lt;=90,"Due ≤90 days","OK"))),"Check date"))</f>
        <v/>
      </c>
      <c r="M116" s="21" t="n"/>
      <c r="N116" s="21" t="n"/>
      <c r="O116" s="21" t="n"/>
      <c r="P116" s="21" t="n"/>
    </row>
    <row r="117">
      <c r="A117" s="21" t="n"/>
      <c r="B117" s="21" t="n"/>
      <c r="C117" s="21" t="n"/>
      <c r="D117" s="21" t="n"/>
      <c r="E117" s="22" t="n"/>
      <c r="F117" s="21" t="n"/>
      <c r="G117" s="21" t="n"/>
      <c r="H117" s="23" t="n"/>
      <c r="I117" s="24" t="n"/>
      <c r="J117" s="25">
        <f>IF(ISNUMBER(H117),H117-IF(ISNUMBER(I117),I117,30),"")</f>
        <v/>
      </c>
      <c r="K117" s="26">
        <f>IF(H117="","",IF(ISNUMBER(H117),H117-TODAY(),"Check date"))</f>
        <v/>
      </c>
      <c r="L117" s="27">
        <f>IF(K117="","",IF(ISNUMBER(K117),IF(K117&lt;0,"Expired",IF(K117&lt;=30,"Due ≤30 days",IF(K117&lt;=90,"Due ≤90 days","OK"))),"Check date"))</f>
        <v/>
      </c>
      <c r="M117" s="21" t="n"/>
      <c r="N117" s="21" t="n"/>
      <c r="O117" s="21" t="n"/>
      <c r="P117" s="21" t="n"/>
    </row>
    <row r="118">
      <c r="A118" s="21" t="n"/>
      <c r="B118" s="21" t="n"/>
      <c r="C118" s="21" t="n"/>
      <c r="D118" s="21" t="n"/>
      <c r="E118" s="22" t="n"/>
      <c r="F118" s="21" t="n"/>
      <c r="G118" s="21" t="n"/>
      <c r="H118" s="23" t="n"/>
      <c r="I118" s="24" t="n"/>
      <c r="J118" s="25">
        <f>IF(ISNUMBER(H118),H118-IF(ISNUMBER(I118),I118,30),"")</f>
        <v/>
      </c>
      <c r="K118" s="26">
        <f>IF(H118="","",IF(ISNUMBER(H118),H118-TODAY(),"Check date"))</f>
        <v/>
      </c>
      <c r="L118" s="27">
        <f>IF(K118="","",IF(ISNUMBER(K118),IF(K118&lt;0,"Expired",IF(K118&lt;=30,"Due ≤30 days",IF(K118&lt;=90,"Due ≤90 days","OK"))),"Check date"))</f>
        <v/>
      </c>
      <c r="M118" s="21" t="n"/>
      <c r="N118" s="21" t="n"/>
      <c r="O118" s="21" t="n"/>
      <c r="P118" s="21" t="n"/>
    </row>
    <row r="119">
      <c r="A119" s="21" t="n"/>
      <c r="B119" s="21" t="n"/>
      <c r="C119" s="21" t="n"/>
      <c r="D119" s="21" t="n"/>
      <c r="E119" s="22" t="n"/>
      <c r="F119" s="21" t="n"/>
      <c r="G119" s="21" t="n"/>
      <c r="H119" s="23" t="n"/>
      <c r="I119" s="24" t="n"/>
      <c r="J119" s="25">
        <f>IF(ISNUMBER(H119),H119-IF(ISNUMBER(I119),I119,30),"")</f>
        <v/>
      </c>
      <c r="K119" s="26">
        <f>IF(H119="","",IF(ISNUMBER(H119),H119-TODAY(),"Check date"))</f>
        <v/>
      </c>
      <c r="L119" s="27">
        <f>IF(K119="","",IF(ISNUMBER(K119),IF(K119&lt;0,"Expired",IF(K119&lt;=30,"Due ≤30 days",IF(K119&lt;=90,"Due ≤90 days","OK"))),"Check date"))</f>
        <v/>
      </c>
      <c r="M119" s="21" t="n"/>
      <c r="N119" s="21" t="n"/>
      <c r="O119" s="21" t="n"/>
      <c r="P119" s="21" t="n"/>
    </row>
    <row r="120">
      <c r="A120" s="21" t="n"/>
      <c r="B120" s="21" t="n"/>
      <c r="C120" s="21" t="n"/>
      <c r="D120" s="21" t="n"/>
      <c r="E120" s="22" t="n"/>
      <c r="F120" s="21" t="n"/>
      <c r="G120" s="21" t="n"/>
      <c r="H120" s="23" t="n"/>
      <c r="I120" s="24" t="n"/>
      <c r="J120" s="25">
        <f>IF(ISNUMBER(H120),H120-IF(ISNUMBER(I120),I120,30),"")</f>
        <v/>
      </c>
      <c r="K120" s="26">
        <f>IF(H120="","",IF(ISNUMBER(H120),H120-TODAY(),"Check date"))</f>
        <v/>
      </c>
      <c r="L120" s="27">
        <f>IF(K120="","",IF(ISNUMBER(K120),IF(K120&lt;0,"Expired",IF(K120&lt;=30,"Due ≤30 days",IF(K120&lt;=90,"Due ≤90 days","OK"))),"Check date"))</f>
        <v/>
      </c>
      <c r="M120" s="21" t="n"/>
      <c r="N120" s="21" t="n"/>
      <c r="O120" s="21" t="n"/>
      <c r="P120" s="21" t="n"/>
    </row>
    <row r="121">
      <c r="A121" s="21" t="n"/>
      <c r="B121" s="21" t="n"/>
      <c r="C121" s="21" t="n"/>
      <c r="D121" s="21" t="n"/>
      <c r="E121" s="22" t="n"/>
      <c r="F121" s="21" t="n"/>
      <c r="G121" s="21" t="n"/>
      <c r="H121" s="23" t="n"/>
      <c r="I121" s="24" t="n"/>
      <c r="J121" s="25">
        <f>IF(ISNUMBER(H121),H121-IF(ISNUMBER(I121),I121,30),"")</f>
        <v/>
      </c>
      <c r="K121" s="26">
        <f>IF(H121="","",IF(ISNUMBER(H121),H121-TODAY(),"Check date"))</f>
        <v/>
      </c>
      <c r="L121" s="27">
        <f>IF(K121="","",IF(ISNUMBER(K121),IF(K121&lt;0,"Expired",IF(K121&lt;=30,"Due ≤30 days",IF(K121&lt;=90,"Due ≤90 days","OK"))),"Check date"))</f>
        <v/>
      </c>
      <c r="M121" s="21" t="n"/>
      <c r="N121" s="21" t="n"/>
      <c r="O121" s="21" t="n"/>
      <c r="P121" s="21" t="n"/>
    </row>
    <row r="122">
      <c r="A122" s="21" t="n"/>
      <c r="B122" s="21" t="n"/>
      <c r="C122" s="21" t="n"/>
      <c r="D122" s="21" t="n"/>
      <c r="E122" s="22" t="n"/>
      <c r="F122" s="21" t="n"/>
      <c r="G122" s="21" t="n"/>
      <c r="H122" s="23" t="n"/>
      <c r="I122" s="24" t="n"/>
      <c r="J122" s="25">
        <f>IF(ISNUMBER(H122),H122-IF(ISNUMBER(I122),I122,30),"")</f>
        <v/>
      </c>
      <c r="K122" s="26">
        <f>IF(H122="","",IF(ISNUMBER(H122),H122-TODAY(),"Check date"))</f>
        <v/>
      </c>
      <c r="L122" s="27">
        <f>IF(K122="","",IF(ISNUMBER(K122),IF(K122&lt;0,"Expired",IF(K122&lt;=30,"Due ≤30 days",IF(K122&lt;=90,"Due ≤90 days","OK"))),"Check date"))</f>
        <v/>
      </c>
      <c r="M122" s="21" t="n"/>
      <c r="N122" s="21" t="n"/>
      <c r="O122" s="21" t="n"/>
      <c r="P122" s="21" t="n"/>
    </row>
    <row r="123">
      <c r="A123" s="21" t="n"/>
      <c r="B123" s="21" t="n"/>
      <c r="C123" s="21" t="n"/>
      <c r="D123" s="21" t="n"/>
      <c r="E123" s="22" t="n"/>
      <c r="F123" s="21" t="n"/>
      <c r="G123" s="21" t="n"/>
      <c r="H123" s="23" t="n"/>
      <c r="I123" s="24" t="n"/>
      <c r="J123" s="25">
        <f>IF(ISNUMBER(H123),H123-IF(ISNUMBER(I123),I123,30),"")</f>
        <v/>
      </c>
      <c r="K123" s="26">
        <f>IF(H123="","",IF(ISNUMBER(H123),H123-TODAY(),"Check date"))</f>
        <v/>
      </c>
      <c r="L123" s="27">
        <f>IF(K123="","",IF(ISNUMBER(K123),IF(K123&lt;0,"Expired",IF(K123&lt;=30,"Due ≤30 days",IF(K123&lt;=90,"Due ≤90 days","OK"))),"Check date"))</f>
        <v/>
      </c>
      <c r="M123" s="21" t="n"/>
      <c r="N123" s="21" t="n"/>
      <c r="O123" s="21" t="n"/>
      <c r="P123" s="21" t="n"/>
    </row>
    <row r="124">
      <c r="A124" s="21" t="n"/>
      <c r="B124" s="21" t="n"/>
      <c r="C124" s="21" t="n"/>
      <c r="D124" s="21" t="n"/>
      <c r="E124" s="22" t="n"/>
      <c r="F124" s="21" t="n"/>
      <c r="G124" s="21" t="n"/>
      <c r="H124" s="23" t="n"/>
      <c r="I124" s="24" t="n"/>
      <c r="J124" s="25">
        <f>IF(ISNUMBER(H124),H124-IF(ISNUMBER(I124),I124,30),"")</f>
        <v/>
      </c>
      <c r="K124" s="26">
        <f>IF(H124="","",IF(ISNUMBER(H124),H124-TODAY(),"Check date"))</f>
        <v/>
      </c>
      <c r="L124" s="27">
        <f>IF(K124="","",IF(ISNUMBER(K124),IF(K124&lt;0,"Expired",IF(K124&lt;=30,"Due ≤30 days",IF(K124&lt;=90,"Due ≤90 days","OK"))),"Check date"))</f>
        <v/>
      </c>
      <c r="M124" s="21" t="n"/>
      <c r="N124" s="21" t="n"/>
      <c r="O124" s="21" t="n"/>
      <c r="P124" s="21" t="n"/>
    </row>
    <row r="125">
      <c r="A125" s="21" t="n"/>
      <c r="B125" s="21" t="n"/>
      <c r="C125" s="21" t="n"/>
      <c r="D125" s="21" t="n"/>
      <c r="E125" s="22" t="n"/>
      <c r="F125" s="21" t="n"/>
      <c r="G125" s="21" t="n"/>
      <c r="H125" s="23" t="n"/>
      <c r="I125" s="24" t="n"/>
      <c r="J125" s="25">
        <f>IF(ISNUMBER(H125),H125-IF(ISNUMBER(I125),I125,30),"")</f>
        <v/>
      </c>
      <c r="K125" s="26">
        <f>IF(H125="","",IF(ISNUMBER(H125),H125-TODAY(),"Check date"))</f>
        <v/>
      </c>
      <c r="L125" s="27">
        <f>IF(K125="","",IF(ISNUMBER(K125),IF(K125&lt;0,"Expired",IF(K125&lt;=30,"Due ≤30 days",IF(K125&lt;=90,"Due ≤90 days","OK"))),"Check date"))</f>
        <v/>
      </c>
      <c r="M125" s="21" t="n"/>
      <c r="N125" s="21" t="n"/>
      <c r="O125" s="21" t="n"/>
      <c r="P125" s="21" t="n"/>
    </row>
    <row r="126">
      <c r="A126" s="21" t="n"/>
      <c r="B126" s="21" t="n"/>
      <c r="C126" s="21" t="n"/>
      <c r="D126" s="21" t="n"/>
      <c r="E126" s="22" t="n"/>
      <c r="F126" s="21" t="n"/>
      <c r="G126" s="21" t="n"/>
      <c r="H126" s="23" t="n"/>
      <c r="I126" s="24" t="n"/>
      <c r="J126" s="25">
        <f>IF(ISNUMBER(H126),H126-IF(ISNUMBER(I126),I126,30),"")</f>
        <v/>
      </c>
      <c r="K126" s="26">
        <f>IF(H126="","",IF(ISNUMBER(H126),H126-TODAY(),"Check date"))</f>
        <v/>
      </c>
      <c r="L126" s="27">
        <f>IF(K126="","",IF(ISNUMBER(K126),IF(K126&lt;0,"Expired",IF(K126&lt;=30,"Due ≤30 days",IF(K126&lt;=90,"Due ≤90 days","OK"))),"Check date"))</f>
        <v/>
      </c>
      <c r="M126" s="21" t="n"/>
      <c r="N126" s="21" t="n"/>
      <c r="O126" s="21" t="n"/>
      <c r="P126" s="21" t="n"/>
    </row>
    <row r="127">
      <c r="A127" s="21" t="n"/>
      <c r="B127" s="21" t="n"/>
      <c r="C127" s="21" t="n"/>
      <c r="D127" s="21" t="n"/>
      <c r="E127" s="22" t="n"/>
      <c r="F127" s="21" t="n"/>
      <c r="G127" s="21" t="n"/>
      <c r="H127" s="23" t="n"/>
      <c r="I127" s="24" t="n"/>
      <c r="J127" s="25">
        <f>IF(ISNUMBER(H127),H127-IF(ISNUMBER(I127),I127,30),"")</f>
        <v/>
      </c>
      <c r="K127" s="26">
        <f>IF(H127="","",IF(ISNUMBER(H127),H127-TODAY(),"Check date"))</f>
        <v/>
      </c>
      <c r="L127" s="27">
        <f>IF(K127="","",IF(ISNUMBER(K127),IF(K127&lt;0,"Expired",IF(K127&lt;=30,"Due ≤30 days",IF(K127&lt;=90,"Due ≤90 days","OK"))),"Check date"))</f>
        <v/>
      </c>
      <c r="M127" s="21" t="n"/>
      <c r="N127" s="21" t="n"/>
      <c r="O127" s="21" t="n"/>
      <c r="P127" s="21" t="n"/>
    </row>
    <row r="128">
      <c r="A128" s="21" t="n"/>
      <c r="B128" s="21" t="n"/>
      <c r="C128" s="21" t="n"/>
      <c r="D128" s="21" t="n"/>
      <c r="E128" s="22" t="n"/>
      <c r="F128" s="21" t="n"/>
      <c r="G128" s="21" t="n"/>
      <c r="H128" s="23" t="n"/>
      <c r="I128" s="24" t="n"/>
      <c r="J128" s="25">
        <f>IF(ISNUMBER(H128),H128-IF(ISNUMBER(I128),I128,30),"")</f>
        <v/>
      </c>
      <c r="K128" s="26">
        <f>IF(H128="","",IF(ISNUMBER(H128),H128-TODAY(),"Check date"))</f>
        <v/>
      </c>
      <c r="L128" s="27">
        <f>IF(K128="","",IF(ISNUMBER(K128),IF(K128&lt;0,"Expired",IF(K128&lt;=30,"Due ≤30 days",IF(K128&lt;=90,"Due ≤90 days","OK"))),"Check date"))</f>
        <v/>
      </c>
      <c r="M128" s="21" t="n"/>
      <c r="N128" s="21" t="n"/>
      <c r="O128" s="21" t="n"/>
      <c r="P128" s="21" t="n"/>
    </row>
    <row r="129">
      <c r="A129" s="21" t="n"/>
      <c r="B129" s="21" t="n"/>
      <c r="C129" s="21" t="n"/>
      <c r="D129" s="21" t="n"/>
      <c r="E129" s="22" t="n"/>
      <c r="F129" s="21" t="n"/>
      <c r="G129" s="21" t="n"/>
      <c r="H129" s="23" t="n"/>
      <c r="I129" s="24" t="n"/>
      <c r="J129" s="25">
        <f>IF(ISNUMBER(H129),H129-IF(ISNUMBER(I129),I129,30),"")</f>
        <v/>
      </c>
      <c r="K129" s="26">
        <f>IF(H129="","",IF(ISNUMBER(H129),H129-TODAY(),"Check date"))</f>
        <v/>
      </c>
      <c r="L129" s="27">
        <f>IF(K129="","",IF(ISNUMBER(K129),IF(K129&lt;0,"Expired",IF(K129&lt;=30,"Due ≤30 days",IF(K129&lt;=90,"Due ≤90 days","OK"))),"Check date"))</f>
        <v/>
      </c>
      <c r="M129" s="21" t="n"/>
      <c r="N129" s="21" t="n"/>
      <c r="O129" s="21" t="n"/>
      <c r="P129" s="21" t="n"/>
    </row>
    <row r="130">
      <c r="A130" s="21" t="n"/>
      <c r="B130" s="21" t="n"/>
      <c r="C130" s="21" t="n"/>
      <c r="D130" s="21" t="n"/>
      <c r="E130" s="22" t="n"/>
      <c r="F130" s="21" t="n"/>
      <c r="G130" s="21" t="n"/>
      <c r="H130" s="23" t="n"/>
      <c r="I130" s="24" t="n"/>
      <c r="J130" s="25">
        <f>IF(ISNUMBER(H130),H130-IF(ISNUMBER(I130),I130,30),"")</f>
        <v/>
      </c>
      <c r="K130" s="26">
        <f>IF(H130="","",IF(ISNUMBER(H130),H130-TODAY(),"Check date"))</f>
        <v/>
      </c>
      <c r="L130" s="27">
        <f>IF(K130="","",IF(ISNUMBER(K130),IF(K130&lt;0,"Expired",IF(K130&lt;=30,"Due ≤30 days",IF(K130&lt;=90,"Due ≤90 days","OK"))),"Check date"))</f>
        <v/>
      </c>
      <c r="M130" s="21" t="n"/>
      <c r="N130" s="21" t="n"/>
      <c r="O130" s="21" t="n"/>
      <c r="P130" s="21" t="n"/>
    </row>
    <row r="131">
      <c r="A131" s="21" t="n"/>
      <c r="B131" s="21" t="n"/>
      <c r="C131" s="21" t="n"/>
      <c r="D131" s="21" t="n"/>
      <c r="E131" s="22" t="n"/>
      <c r="F131" s="21" t="n"/>
      <c r="G131" s="21" t="n"/>
      <c r="H131" s="23" t="n"/>
      <c r="I131" s="24" t="n"/>
      <c r="J131" s="25">
        <f>IF(ISNUMBER(H131),H131-IF(ISNUMBER(I131),I131,30),"")</f>
        <v/>
      </c>
      <c r="K131" s="26">
        <f>IF(H131="","",IF(ISNUMBER(H131),H131-TODAY(),"Check date"))</f>
        <v/>
      </c>
      <c r="L131" s="27">
        <f>IF(K131="","",IF(ISNUMBER(K131),IF(K131&lt;0,"Expired",IF(K131&lt;=30,"Due ≤30 days",IF(K131&lt;=90,"Due ≤90 days","OK"))),"Check date"))</f>
        <v/>
      </c>
      <c r="M131" s="21" t="n"/>
      <c r="N131" s="21" t="n"/>
      <c r="O131" s="21" t="n"/>
      <c r="P131" s="21" t="n"/>
    </row>
    <row r="132">
      <c r="A132" s="21" t="n"/>
      <c r="B132" s="21" t="n"/>
      <c r="C132" s="21" t="n"/>
      <c r="D132" s="21" t="n"/>
      <c r="E132" s="22" t="n"/>
      <c r="F132" s="21" t="n"/>
      <c r="G132" s="21" t="n"/>
      <c r="H132" s="23" t="n"/>
      <c r="I132" s="24" t="n"/>
      <c r="J132" s="25">
        <f>IF(ISNUMBER(H132),H132-IF(ISNUMBER(I132),I132,30),"")</f>
        <v/>
      </c>
      <c r="K132" s="26">
        <f>IF(H132="","",IF(ISNUMBER(H132),H132-TODAY(),"Check date"))</f>
        <v/>
      </c>
      <c r="L132" s="27">
        <f>IF(K132="","",IF(ISNUMBER(K132),IF(K132&lt;0,"Expired",IF(K132&lt;=30,"Due ≤30 days",IF(K132&lt;=90,"Due ≤90 days","OK"))),"Check date"))</f>
        <v/>
      </c>
      <c r="M132" s="21" t="n"/>
      <c r="N132" s="21" t="n"/>
      <c r="O132" s="21" t="n"/>
      <c r="P132" s="21" t="n"/>
    </row>
    <row r="133">
      <c r="A133" s="21" t="n"/>
      <c r="B133" s="21" t="n"/>
      <c r="C133" s="21" t="n"/>
      <c r="D133" s="21" t="n"/>
      <c r="E133" s="22" t="n"/>
      <c r="F133" s="21" t="n"/>
      <c r="G133" s="21" t="n"/>
      <c r="H133" s="23" t="n"/>
      <c r="I133" s="24" t="n"/>
      <c r="J133" s="25">
        <f>IF(ISNUMBER(H133),H133-IF(ISNUMBER(I133),I133,30),"")</f>
        <v/>
      </c>
      <c r="K133" s="26">
        <f>IF(H133="","",IF(ISNUMBER(H133),H133-TODAY(),"Check date"))</f>
        <v/>
      </c>
      <c r="L133" s="27">
        <f>IF(K133="","",IF(ISNUMBER(K133),IF(K133&lt;0,"Expired",IF(K133&lt;=30,"Due ≤30 days",IF(K133&lt;=90,"Due ≤90 days","OK"))),"Check date"))</f>
        <v/>
      </c>
      <c r="M133" s="21" t="n"/>
      <c r="N133" s="21" t="n"/>
      <c r="O133" s="21" t="n"/>
      <c r="P133" s="21" t="n"/>
    </row>
    <row r="134">
      <c r="A134" s="21" t="n"/>
      <c r="B134" s="21" t="n"/>
      <c r="C134" s="21" t="n"/>
      <c r="D134" s="21" t="n"/>
      <c r="E134" s="22" t="n"/>
      <c r="F134" s="21" t="n"/>
      <c r="G134" s="21" t="n"/>
      <c r="H134" s="23" t="n"/>
      <c r="I134" s="24" t="n"/>
      <c r="J134" s="25">
        <f>IF(ISNUMBER(H134),H134-IF(ISNUMBER(I134),I134,30),"")</f>
        <v/>
      </c>
      <c r="K134" s="26">
        <f>IF(H134="","",IF(ISNUMBER(H134),H134-TODAY(),"Check date"))</f>
        <v/>
      </c>
      <c r="L134" s="27">
        <f>IF(K134="","",IF(ISNUMBER(K134),IF(K134&lt;0,"Expired",IF(K134&lt;=30,"Due ≤30 days",IF(K134&lt;=90,"Due ≤90 days","OK"))),"Check date"))</f>
        <v/>
      </c>
      <c r="M134" s="21" t="n"/>
      <c r="N134" s="21" t="n"/>
      <c r="O134" s="21" t="n"/>
      <c r="P134" s="21" t="n"/>
    </row>
    <row r="135">
      <c r="A135" s="21" t="n"/>
      <c r="B135" s="21" t="n"/>
      <c r="C135" s="21" t="n"/>
      <c r="D135" s="21" t="n"/>
      <c r="E135" s="22" t="n"/>
      <c r="F135" s="21" t="n"/>
      <c r="G135" s="21" t="n"/>
      <c r="H135" s="23" t="n"/>
      <c r="I135" s="24" t="n"/>
      <c r="J135" s="25">
        <f>IF(ISNUMBER(H135),H135-IF(ISNUMBER(I135),I135,30),"")</f>
        <v/>
      </c>
      <c r="K135" s="26">
        <f>IF(H135="","",IF(ISNUMBER(H135),H135-TODAY(),"Check date"))</f>
        <v/>
      </c>
      <c r="L135" s="27">
        <f>IF(K135="","",IF(ISNUMBER(K135),IF(K135&lt;0,"Expired",IF(K135&lt;=30,"Due ≤30 days",IF(K135&lt;=90,"Due ≤90 days","OK"))),"Check date"))</f>
        <v/>
      </c>
      <c r="M135" s="21" t="n"/>
      <c r="N135" s="21" t="n"/>
      <c r="O135" s="21" t="n"/>
      <c r="P135" s="21" t="n"/>
    </row>
    <row r="136">
      <c r="A136" s="21" t="n"/>
      <c r="B136" s="21" t="n"/>
      <c r="C136" s="21" t="n"/>
      <c r="D136" s="21" t="n"/>
      <c r="E136" s="22" t="n"/>
      <c r="F136" s="21" t="n"/>
      <c r="G136" s="21" t="n"/>
      <c r="H136" s="23" t="n"/>
      <c r="I136" s="24" t="n"/>
      <c r="J136" s="25">
        <f>IF(ISNUMBER(H136),H136-IF(ISNUMBER(I136),I136,30),"")</f>
        <v/>
      </c>
      <c r="K136" s="26">
        <f>IF(H136="","",IF(ISNUMBER(H136),H136-TODAY(),"Check date"))</f>
        <v/>
      </c>
      <c r="L136" s="27">
        <f>IF(K136="","",IF(ISNUMBER(K136),IF(K136&lt;0,"Expired",IF(K136&lt;=30,"Due ≤30 days",IF(K136&lt;=90,"Due ≤90 days","OK"))),"Check date"))</f>
        <v/>
      </c>
      <c r="M136" s="21" t="n"/>
      <c r="N136" s="21" t="n"/>
      <c r="O136" s="21" t="n"/>
      <c r="P136" s="21" t="n"/>
    </row>
    <row r="137">
      <c r="A137" s="21" t="n"/>
      <c r="B137" s="21" t="n"/>
      <c r="C137" s="21" t="n"/>
      <c r="D137" s="21" t="n"/>
      <c r="E137" s="22" t="n"/>
      <c r="F137" s="21" t="n"/>
      <c r="G137" s="21" t="n"/>
      <c r="H137" s="23" t="n"/>
      <c r="I137" s="24" t="n"/>
      <c r="J137" s="25">
        <f>IF(ISNUMBER(H137),H137-IF(ISNUMBER(I137),I137,30),"")</f>
        <v/>
      </c>
      <c r="K137" s="26">
        <f>IF(H137="","",IF(ISNUMBER(H137),H137-TODAY(),"Check date"))</f>
        <v/>
      </c>
      <c r="L137" s="27">
        <f>IF(K137="","",IF(ISNUMBER(K137),IF(K137&lt;0,"Expired",IF(K137&lt;=30,"Due ≤30 days",IF(K137&lt;=90,"Due ≤90 days","OK"))),"Check date"))</f>
        <v/>
      </c>
      <c r="M137" s="21" t="n"/>
      <c r="N137" s="21" t="n"/>
      <c r="O137" s="21" t="n"/>
      <c r="P137" s="21" t="n"/>
    </row>
    <row r="138">
      <c r="A138" s="21" t="n"/>
      <c r="B138" s="21" t="n"/>
      <c r="C138" s="21" t="n"/>
      <c r="D138" s="21" t="n"/>
      <c r="E138" s="22" t="n"/>
      <c r="F138" s="21" t="n"/>
      <c r="G138" s="21" t="n"/>
      <c r="H138" s="23" t="n"/>
      <c r="I138" s="24" t="n"/>
      <c r="J138" s="25">
        <f>IF(ISNUMBER(H138),H138-IF(ISNUMBER(I138),I138,30),"")</f>
        <v/>
      </c>
      <c r="K138" s="26">
        <f>IF(H138="","",IF(ISNUMBER(H138),H138-TODAY(),"Check date"))</f>
        <v/>
      </c>
      <c r="L138" s="27">
        <f>IF(K138="","",IF(ISNUMBER(K138),IF(K138&lt;0,"Expired",IF(K138&lt;=30,"Due ≤30 days",IF(K138&lt;=90,"Due ≤90 days","OK"))),"Check date"))</f>
        <v/>
      </c>
      <c r="M138" s="21" t="n"/>
      <c r="N138" s="21" t="n"/>
      <c r="O138" s="21" t="n"/>
      <c r="P138" s="21" t="n"/>
    </row>
    <row r="139">
      <c r="A139" s="21" t="n"/>
      <c r="B139" s="21" t="n"/>
      <c r="C139" s="21" t="n"/>
      <c r="D139" s="21" t="n"/>
      <c r="E139" s="22" t="n"/>
      <c r="F139" s="21" t="n"/>
      <c r="G139" s="21" t="n"/>
      <c r="H139" s="23" t="n"/>
      <c r="I139" s="24" t="n"/>
      <c r="J139" s="25">
        <f>IF(ISNUMBER(H139),H139-IF(ISNUMBER(I139),I139,30),"")</f>
        <v/>
      </c>
      <c r="K139" s="26">
        <f>IF(H139="","",IF(ISNUMBER(H139),H139-TODAY(),"Check date"))</f>
        <v/>
      </c>
      <c r="L139" s="27">
        <f>IF(K139="","",IF(ISNUMBER(K139),IF(K139&lt;0,"Expired",IF(K139&lt;=30,"Due ≤30 days",IF(K139&lt;=90,"Due ≤90 days","OK"))),"Check date"))</f>
        <v/>
      </c>
      <c r="M139" s="21" t="n"/>
      <c r="N139" s="21" t="n"/>
      <c r="O139" s="21" t="n"/>
      <c r="P139" s="21" t="n"/>
    </row>
    <row r="140">
      <c r="A140" s="21" t="n"/>
      <c r="B140" s="21" t="n"/>
      <c r="C140" s="21" t="n"/>
      <c r="D140" s="21" t="n"/>
      <c r="E140" s="22" t="n"/>
      <c r="F140" s="21" t="n"/>
      <c r="G140" s="21" t="n"/>
      <c r="H140" s="23" t="n"/>
      <c r="I140" s="24" t="n"/>
      <c r="J140" s="25">
        <f>IF(ISNUMBER(H140),H140-IF(ISNUMBER(I140),I140,30),"")</f>
        <v/>
      </c>
      <c r="K140" s="26">
        <f>IF(H140="","",IF(ISNUMBER(H140),H140-TODAY(),"Check date"))</f>
        <v/>
      </c>
      <c r="L140" s="27">
        <f>IF(K140="","",IF(ISNUMBER(K140),IF(K140&lt;0,"Expired",IF(K140&lt;=30,"Due ≤30 days",IF(K140&lt;=90,"Due ≤90 days","OK"))),"Check date"))</f>
        <v/>
      </c>
      <c r="M140" s="21" t="n"/>
      <c r="N140" s="21" t="n"/>
      <c r="O140" s="21" t="n"/>
      <c r="P140" s="21" t="n"/>
    </row>
    <row r="141">
      <c r="A141" s="21" t="n"/>
      <c r="B141" s="21" t="n"/>
      <c r="C141" s="21" t="n"/>
      <c r="D141" s="21" t="n"/>
      <c r="E141" s="22" t="n"/>
      <c r="F141" s="21" t="n"/>
      <c r="G141" s="21" t="n"/>
      <c r="H141" s="23" t="n"/>
      <c r="I141" s="24" t="n"/>
      <c r="J141" s="25">
        <f>IF(ISNUMBER(H141),H141-IF(ISNUMBER(I141),I141,30),"")</f>
        <v/>
      </c>
      <c r="K141" s="26">
        <f>IF(H141="","",IF(ISNUMBER(H141),H141-TODAY(),"Check date"))</f>
        <v/>
      </c>
      <c r="L141" s="27">
        <f>IF(K141="","",IF(ISNUMBER(K141),IF(K141&lt;0,"Expired",IF(K141&lt;=30,"Due ≤30 days",IF(K141&lt;=90,"Due ≤90 days","OK"))),"Check date"))</f>
        <v/>
      </c>
      <c r="M141" s="21" t="n"/>
      <c r="N141" s="21" t="n"/>
      <c r="O141" s="21" t="n"/>
      <c r="P141" s="21" t="n"/>
    </row>
    <row r="142">
      <c r="A142" s="21" t="n"/>
      <c r="B142" s="21" t="n"/>
      <c r="C142" s="21" t="n"/>
      <c r="D142" s="21" t="n"/>
      <c r="E142" s="22" t="n"/>
      <c r="F142" s="21" t="n"/>
      <c r="G142" s="21" t="n"/>
      <c r="H142" s="23" t="n"/>
      <c r="I142" s="24" t="n"/>
      <c r="J142" s="25">
        <f>IF(ISNUMBER(H142),H142-IF(ISNUMBER(I142),I142,30),"")</f>
        <v/>
      </c>
      <c r="K142" s="26">
        <f>IF(H142="","",IF(ISNUMBER(H142),H142-TODAY(),"Check date"))</f>
        <v/>
      </c>
      <c r="L142" s="27">
        <f>IF(K142="","",IF(ISNUMBER(K142),IF(K142&lt;0,"Expired",IF(K142&lt;=30,"Due ≤30 days",IF(K142&lt;=90,"Due ≤90 days","OK"))),"Check date"))</f>
        <v/>
      </c>
      <c r="M142" s="21" t="n"/>
      <c r="N142" s="21" t="n"/>
      <c r="O142" s="21" t="n"/>
      <c r="P142" s="21" t="n"/>
    </row>
    <row r="143">
      <c r="A143" s="21" t="n"/>
      <c r="B143" s="21" t="n"/>
      <c r="C143" s="21" t="n"/>
      <c r="D143" s="21" t="n"/>
      <c r="E143" s="22" t="n"/>
      <c r="F143" s="21" t="n"/>
      <c r="G143" s="21" t="n"/>
      <c r="H143" s="23" t="n"/>
      <c r="I143" s="24" t="n"/>
      <c r="J143" s="25">
        <f>IF(ISNUMBER(H143),H143-IF(ISNUMBER(I143),I143,30),"")</f>
        <v/>
      </c>
      <c r="K143" s="26">
        <f>IF(H143="","",IF(ISNUMBER(H143),H143-TODAY(),"Check date"))</f>
        <v/>
      </c>
      <c r="L143" s="27">
        <f>IF(K143="","",IF(ISNUMBER(K143),IF(K143&lt;0,"Expired",IF(K143&lt;=30,"Due ≤30 days",IF(K143&lt;=90,"Due ≤90 days","OK"))),"Check date"))</f>
        <v/>
      </c>
      <c r="M143" s="21" t="n"/>
      <c r="N143" s="21" t="n"/>
      <c r="O143" s="21" t="n"/>
      <c r="P143" s="21" t="n"/>
    </row>
    <row r="144">
      <c r="A144" s="21" t="n"/>
      <c r="B144" s="21" t="n"/>
      <c r="C144" s="21" t="n"/>
      <c r="D144" s="21" t="n"/>
      <c r="E144" s="22" t="n"/>
      <c r="F144" s="21" t="n"/>
      <c r="G144" s="21" t="n"/>
      <c r="H144" s="23" t="n"/>
      <c r="I144" s="24" t="n"/>
      <c r="J144" s="25">
        <f>IF(ISNUMBER(H144),H144-IF(ISNUMBER(I144),I144,30),"")</f>
        <v/>
      </c>
      <c r="K144" s="26">
        <f>IF(H144="","",IF(ISNUMBER(H144),H144-TODAY(),"Check date"))</f>
        <v/>
      </c>
      <c r="L144" s="27">
        <f>IF(K144="","",IF(ISNUMBER(K144),IF(K144&lt;0,"Expired",IF(K144&lt;=30,"Due ≤30 days",IF(K144&lt;=90,"Due ≤90 days","OK"))),"Check date"))</f>
        <v/>
      </c>
      <c r="M144" s="21" t="n"/>
      <c r="N144" s="21" t="n"/>
      <c r="O144" s="21" t="n"/>
      <c r="P144" s="21" t="n"/>
    </row>
    <row r="145">
      <c r="A145" s="21" t="n"/>
      <c r="B145" s="21" t="n"/>
      <c r="C145" s="21" t="n"/>
      <c r="D145" s="21" t="n"/>
      <c r="E145" s="22" t="n"/>
      <c r="F145" s="21" t="n"/>
      <c r="G145" s="21" t="n"/>
      <c r="H145" s="23" t="n"/>
      <c r="I145" s="24" t="n"/>
      <c r="J145" s="25">
        <f>IF(ISNUMBER(H145),H145-IF(ISNUMBER(I145),I145,30),"")</f>
        <v/>
      </c>
      <c r="K145" s="26">
        <f>IF(H145="","",IF(ISNUMBER(H145),H145-TODAY(),"Check date"))</f>
        <v/>
      </c>
      <c r="L145" s="27">
        <f>IF(K145="","",IF(ISNUMBER(K145),IF(K145&lt;0,"Expired",IF(K145&lt;=30,"Due ≤30 days",IF(K145&lt;=90,"Due ≤90 days","OK"))),"Check date"))</f>
        <v/>
      </c>
      <c r="M145" s="21" t="n"/>
      <c r="N145" s="21" t="n"/>
      <c r="O145" s="21" t="n"/>
      <c r="P145" s="21" t="n"/>
    </row>
    <row r="146">
      <c r="A146" s="21" t="n"/>
      <c r="B146" s="21" t="n"/>
      <c r="C146" s="21" t="n"/>
      <c r="D146" s="21" t="n"/>
      <c r="E146" s="22" t="n"/>
      <c r="F146" s="21" t="n"/>
      <c r="G146" s="21" t="n"/>
      <c r="H146" s="23" t="n"/>
      <c r="I146" s="24" t="n"/>
      <c r="J146" s="25">
        <f>IF(ISNUMBER(H146),H146-IF(ISNUMBER(I146),I146,30),"")</f>
        <v/>
      </c>
      <c r="K146" s="26">
        <f>IF(H146="","",IF(ISNUMBER(H146),H146-TODAY(),"Check date"))</f>
        <v/>
      </c>
      <c r="L146" s="27">
        <f>IF(K146="","",IF(ISNUMBER(K146),IF(K146&lt;0,"Expired",IF(K146&lt;=30,"Due ≤30 days",IF(K146&lt;=90,"Due ≤90 days","OK"))),"Check date"))</f>
        <v/>
      </c>
      <c r="M146" s="21" t="n"/>
      <c r="N146" s="21" t="n"/>
      <c r="O146" s="21" t="n"/>
      <c r="P146" s="21" t="n"/>
    </row>
    <row r="147">
      <c r="A147" s="21" t="n"/>
      <c r="B147" s="21" t="n"/>
      <c r="C147" s="21" t="n"/>
      <c r="D147" s="21" t="n"/>
      <c r="E147" s="22" t="n"/>
      <c r="F147" s="21" t="n"/>
      <c r="G147" s="21" t="n"/>
      <c r="H147" s="23" t="n"/>
      <c r="I147" s="24" t="n"/>
      <c r="J147" s="25">
        <f>IF(ISNUMBER(H147),H147-IF(ISNUMBER(I147),I147,30),"")</f>
        <v/>
      </c>
      <c r="K147" s="26">
        <f>IF(H147="","",IF(ISNUMBER(H147),H147-TODAY(),"Check date"))</f>
        <v/>
      </c>
      <c r="L147" s="27">
        <f>IF(K147="","",IF(ISNUMBER(K147),IF(K147&lt;0,"Expired",IF(K147&lt;=30,"Due ≤30 days",IF(K147&lt;=90,"Due ≤90 days","OK"))),"Check date"))</f>
        <v/>
      </c>
      <c r="M147" s="21" t="n"/>
      <c r="N147" s="21" t="n"/>
      <c r="O147" s="21" t="n"/>
      <c r="P147" s="21" t="n"/>
    </row>
    <row r="148">
      <c r="A148" s="21" t="n"/>
      <c r="B148" s="21" t="n"/>
      <c r="C148" s="21" t="n"/>
      <c r="D148" s="21" t="n"/>
      <c r="E148" s="22" t="n"/>
      <c r="F148" s="21" t="n"/>
      <c r="G148" s="21" t="n"/>
      <c r="H148" s="23" t="n"/>
      <c r="I148" s="24" t="n"/>
      <c r="J148" s="25">
        <f>IF(ISNUMBER(H148),H148-IF(ISNUMBER(I148),I148,30),"")</f>
        <v/>
      </c>
      <c r="K148" s="26">
        <f>IF(H148="","",IF(ISNUMBER(H148),H148-TODAY(),"Check date"))</f>
        <v/>
      </c>
      <c r="L148" s="27">
        <f>IF(K148="","",IF(ISNUMBER(K148),IF(K148&lt;0,"Expired",IF(K148&lt;=30,"Due ≤30 days",IF(K148&lt;=90,"Due ≤90 days","OK"))),"Check date"))</f>
        <v/>
      </c>
      <c r="M148" s="21" t="n"/>
      <c r="N148" s="21" t="n"/>
      <c r="O148" s="21" t="n"/>
      <c r="P148" s="21" t="n"/>
    </row>
    <row r="149">
      <c r="A149" s="21" t="n"/>
      <c r="B149" s="21" t="n"/>
      <c r="C149" s="21" t="n"/>
      <c r="D149" s="21" t="n"/>
      <c r="E149" s="22" t="n"/>
      <c r="F149" s="21" t="n"/>
      <c r="G149" s="21" t="n"/>
      <c r="H149" s="23" t="n"/>
      <c r="I149" s="24" t="n"/>
      <c r="J149" s="25">
        <f>IF(ISNUMBER(H149),H149-IF(ISNUMBER(I149),I149,30),"")</f>
        <v/>
      </c>
      <c r="K149" s="26">
        <f>IF(H149="","",IF(ISNUMBER(H149),H149-TODAY(),"Check date"))</f>
        <v/>
      </c>
      <c r="L149" s="27">
        <f>IF(K149="","",IF(ISNUMBER(K149),IF(K149&lt;0,"Expired",IF(K149&lt;=30,"Due ≤30 days",IF(K149&lt;=90,"Due ≤90 days","OK"))),"Check date"))</f>
        <v/>
      </c>
      <c r="M149" s="21" t="n"/>
      <c r="N149" s="21" t="n"/>
      <c r="O149" s="21" t="n"/>
      <c r="P149" s="21" t="n"/>
    </row>
    <row r="150">
      <c r="A150" s="21" t="n"/>
      <c r="B150" s="21" t="n"/>
      <c r="C150" s="21" t="n"/>
      <c r="D150" s="21" t="n"/>
      <c r="E150" s="22" t="n"/>
      <c r="F150" s="21" t="n"/>
      <c r="G150" s="21" t="n"/>
      <c r="H150" s="23" t="n"/>
      <c r="I150" s="24" t="n"/>
      <c r="J150" s="25">
        <f>IF(ISNUMBER(H150),H150-IF(ISNUMBER(I150),I150,30),"")</f>
        <v/>
      </c>
      <c r="K150" s="26">
        <f>IF(H150="","",IF(ISNUMBER(H150),H150-TODAY(),"Check date"))</f>
        <v/>
      </c>
      <c r="L150" s="27">
        <f>IF(K150="","",IF(ISNUMBER(K150),IF(K150&lt;0,"Expired",IF(K150&lt;=30,"Due ≤30 days",IF(K150&lt;=90,"Due ≤90 days","OK"))),"Check date"))</f>
        <v/>
      </c>
      <c r="M150" s="21" t="n"/>
      <c r="N150" s="21" t="n"/>
      <c r="O150" s="21" t="n"/>
      <c r="P150" s="21" t="n"/>
    </row>
    <row r="151">
      <c r="A151" s="21" t="n"/>
      <c r="B151" s="21" t="n"/>
      <c r="C151" s="21" t="n"/>
      <c r="D151" s="21" t="n"/>
      <c r="E151" s="22" t="n"/>
      <c r="F151" s="21" t="n"/>
      <c r="G151" s="21" t="n"/>
      <c r="H151" s="23" t="n"/>
      <c r="I151" s="24" t="n"/>
      <c r="J151" s="25">
        <f>IF(ISNUMBER(H151),H151-IF(ISNUMBER(I151),I151,30),"")</f>
        <v/>
      </c>
      <c r="K151" s="26">
        <f>IF(H151="","",IF(ISNUMBER(H151),H151-TODAY(),"Check date"))</f>
        <v/>
      </c>
      <c r="L151" s="27">
        <f>IF(K151="","",IF(ISNUMBER(K151),IF(K151&lt;0,"Expired",IF(K151&lt;=30,"Due ≤30 days",IF(K151&lt;=90,"Due ≤90 days","OK"))),"Check date"))</f>
        <v/>
      </c>
      <c r="M151" s="21" t="n"/>
      <c r="N151" s="21" t="n"/>
      <c r="O151" s="21" t="n"/>
      <c r="P151" s="21" t="n"/>
    </row>
    <row r="152">
      <c r="A152" s="21" t="n"/>
      <c r="B152" s="21" t="n"/>
      <c r="C152" s="21" t="n"/>
      <c r="D152" s="21" t="n"/>
      <c r="E152" s="22" t="n"/>
      <c r="F152" s="21" t="n"/>
      <c r="G152" s="21" t="n"/>
      <c r="H152" s="23" t="n"/>
      <c r="I152" s="24" t="n"/>
      <c r="J152" s="25">
        <f>IF(ISNUMBER(H152),H152-IF(ISNUMBER(I152),I152,30),"")</f>
        <v/>
      </c>
      <c r="K152" s="26">
        <f>IF(H152="","",IF(ISNUMBER(H152),H152-TODAY(),"Check date"))</f>
        <v/>
      </c>
      <c r="L152" s="27">
        <f>IF(K152="","",IF(ISNUMBER(K152),IF(K152&lt;0,"Expired",IF(K152&lt;=30,"Due ≤30 days",IF(K152&lt;=90,"Due ≤90 days","OK"))),"Check date"))</f>
        <v/>
      </c>
      <c r="M152" s="21" t="n"/>
      <c r="N152" s="21" t="n"/>
      <c r="O152" s="21" t="n"/>
      <c r="P152" s="21" t="n"/>
    </row>
    <row r="153">
      <c r="A153" s="21" t="n"/>
      <c r="B153" s="21" t="n"/>
      <c r="C153" s="21" t="n"/>
      <c r="D153" s="21" t="n"/>
      <c r="E153" s="22" t="n"/>
      <c r="F153" s="21" t="n"/>
      <c r="G153" s="21" t="n"/>
      <c r="H153" s="23" t="n"/>
      <c r="I153" s="24" t="n"/>
      <c r="J153" s="25">
        <f>IF(ISNUMBER(H153),H153-IF(ISNUMBER(I153),I153,30),"")</f>
        <v/>
      </c>
      <c r="K153" s="26">
        <f>IF(H153="","",IF(ISNUMBER(H153),H153-TODAY(),"Check date"))</f>
        <v/>
      </c>
      <c r="L153" s="27">
        <f>IF(K153="","",IF(ISNUMBER(K153),IF(K153&lt;0,"Expired",IF(K153&lt;=30,"Due ≤30 days",IF(K153&lt;=90,"Due ≤90 days","OK"))),"Check date"))</f>
        <v/>
      </c>
      <c r="M153" s="21" t="n"/>
      <c r="N153" s="21" t="n"/>
      <c r="O153" s="21" t="n"/>
      <c r="P153" s="21" t="n"/>
    </row>
    <row r="154">
      <c r="A154" s="21" t="n"/>
      <c r="B154" s="21" t="n"/>
      <c r="C154" s="21" t="n"/>
      <c r="D154" s="21" t="n"/>
      <c r="E154" s="22" t="n"/>
      <c r="F154" s="21" t="n"/>
      <c r="G154" s="21" t="n"/>
      <c r="H154" s="23" t="n"/>
      <c r="I154" s="24" t="n"/>
      <c r="J154" s="25">
        <f>IF(ISNUMBER(H154),H154-IF(ISNUMBER(I154),I154,30),"")</f>
        <v/>
      </c>
      <c r="K154" s="26">
        <f>IF(H154="","",IF(ISNUMBER(H154),H154-TODAY(),"Check date"))</f>
        <v/>
      </c>
      <c r="L154" s="27">
        <f>IF(K154="","",IF(ISNUMBER(K154),IF(K154&lt;0,"Expired",IF(K154&lt;=30,"Due ≤30 days",IF(K154&lt;=90,"Due ≤90 days","OK"))),"Check date"))</f>
        <v/>
      </c>
      <c r="M154" s="21" t="n"/>
      <c r="N154" s="21" t="n"/>
      <c r="O154" s="21" t="n"/>
      <c r="P154" s="21" t="n"/>
    </row>
    <row r="155">
      <c r="A155" s="21" t="n"/>
      <c r="B155" s="21" t="n"/>
      <c r="C155" s="21" t="n"/>
      <c r="D155" s="21" t="n"/>
      <c r="E155" s="22" t="n"/>
      <c r="F155" s="21" t="n"/>
      <c r="G155" s="21" t="n"/>
      <c r="H155" s="23" t="n"/>
      <c r="I155" s="24" t="n"/>
      <c r="J155" s="25">
        <f>IF(ISNUMBER(H155),H155-IF(ISNUMBER(I155),I155,30),"")</f>
        <v/>
      </c>
      <c r="K155" s="26">
        <f>IF(H155="","",IF(ISNUMBER(H155),H155-TODAY(),"Check date"))</f>
        <v/>
      </c>
      <c r="L155" s="27">
        <f>IF(K155="","",IF(ISNUMBER(K155),IF(K155&lt;0,"Expired",IF(K155&lt;=30,"Due ≤30 days",IF(K155&lt;=90,"Due ≤90 days","OK"))),"Check date"))</f>
        <v/>
      </c>
      <c r="M155" s="21" t="n"/>
      <c r="N155" s="21" t="n"/>
      <c r="O155" s="21" t="n"/>
      <c r="P155" s="21" t="n"/>
    </row>
    <row r="156">
      <c r="A156" s="21" t="n"/>
      <c r="B156" s="21" t="n"/>
      <c r="C156" s="21" t="n"/>
      <c r="D156" s="21" t="n"/>
      <c r="E156" s="22" t="n"/>
      <c r="F156" s="21" t="n"/>
      <c r="G156" s="21" t="n"/>
      <c r="H156" s="23" t="n"/>
      <c r="I156" s="24" t="n"/>
      <c r="J156" s="25">
        <f>IF(ISNUMBER(H156),H156-IF(ISNUMBER(I156),I156,30),"")</f>
        <v/>
      </c>
      <c r="K156" s="26">
        <f>IF(H156="","",IF(ISNUMBER(H156),H156-TODAY(),"Check date"))</f>
        <v/>
      </c>
      <c r="L156" s="27">
        <f>IF(K156="","",IF(ISNUMBER(K156),IF(K156&lt;0,"Expired",IF(K156&lt;=30,"Due ≤30 days",IF(K156&lt;=90,"Due ≤90 days","OK"))),"Check date"))</f>
        <v/>
      </c>
      <c r="M156" s="21" t="n"/>
      <c r="N156" s="21" t="n"/>
      <c r="O156" s="21" t="n"/>
      <c r="P156" s="21" t="n"/>
    </row>
    <row r="157">
      <c r="A157" s="21" t="n"/>
      <c r="B157" s="21" t="n"/>
      <c r="C157" s="21" t="n"/>
      <c r="D157" s="21" t="n"/>
      <c r="E157" s="22" t="n"/>
      <c r="F157" s="21" t="n"/>
      <c r="G157" s="21" t="n"/>
      <c r="H157" s="23" t="n"/>
      <c r="I157" s="24" t="n"/>
      <c r="J157" s="25">
        <f>IF(ISNUMBER(H157),H157-IF(ISNUMBER(I157),I157,30),"")</f>
        <v/>
      </c>
      <c r="K157" s="26">
        <f>IF(H157="","",IF(ISNUMBER(H157),H157-TODAY(),"Check date"))</f>
        <v/>
      </c>
      <c r="L157" s="27">
        <f>IF(K157="","",IF(ISNUMBER(K157),IF(K157&lt;0,"Expired",IF(K157&lt;=30,"Due ≤30 days",IF(K157&lt;=90,"Due ≤90 days","OK"))),"Check date"))</f>
        <v/>
      </c>
      <c r="M157" s="21" t="n"/>
      <c r="N157" s="21" t="n"/>
      <c r="O157" s="21" t="n"/>
      <c r="P157" s="21" t="n"/>
    </row>
    <row r="158">
      <c r="A158" s="21" t="n"/>
      <c r="B158" s="21" t="n"/>
      <c r="C158" s="21" t="n"/>
      <c r="D158" s="21" t="n"/>
      <c r="E158" s="22" t="n"/>
      <c r="F158" s="21" t="n"/>
      <c r="G158" s="21" t="n"/>
      <c r="H158" s="23" t="n"/>
      <c r="I158" s="24" t="n"/>
      <c r="J158" s="25">
        <f>IF(ISNUMBER(H158),H158-IF(ISNUMBER(I158),I158,30),"")</f>
        <v/>
      </c>
      <c r="K158" s="26">
        <f>IF(H158="","",IF(ISNUMBER(H158),H158-TODAY(),"Check date"))</f>
        <v/>
      </c>
      <c r="L158" s="27">
        <f>IF(K158="","",IF(ISNUMBER(K158),IF(K158&lt;0,"Expired",IF(K158&lt;=30,"Due ≤30 days",IF(K158&lt;=90,"Due ≤90 days","OK"))),"Check date"))</f>
        <v/>
      </c>
      <c r="M158" s="21" t="n"/>
      <c r="N158" s="21" t="n"/>
      <c r="O158" s="21" t="n"/>
      <c r="P158" s="21" t="n"/>
    </row>
    <row r="159">
      <c r="A159" s="21" t="n"/>
      <c r="B159" s="21" t="n"/>
      <c r="C159" s="21" t="n"/>
      <c r="D159" s="21" t="n"/>
      <c r="E159" s="22" t="n"/>
      <c r="F159" s="21" t="n"/>
      <c r="G159" s="21" t="n"/>
      <c r="H159" s="23" t="n"/>
      <c r="I159" s="24" t="n"/>
      <c r="J159" s="25">
        <f>IF(ISNUMBER(H159),H159-IF(ISNUMBER(I159),I159,30),"")</f>
        <v/>
      </c>
      <c r="K159" s="26">
        <f>IF(H159="","",IF(ISNUMBER(H159),H159-TODAY(),"Check date"))</f>
        <v/>
      </c>
      <c r="L159" s="27">
        <f>IF(K159="","",IF(ISNUMBER(K159),IF(K159&lt;0,"Expired",IF(K159&lt;=30,"Due ≤30 days",IF(K159&lt;=90,"Due ≤90 days","OK"))),"Check date"))</f>
        <v/>
      </c>
      <c r="M159" s="21" t="n"/>
      <c r="N159" s="21" t="n"/>
      <c r="O159" s="21" t="n"/>
      <c r="P159" s="21" t="n"/>
    </row>
    <row r="160">
      <c r="A160" s="21" t="n"/>
      <c r="B160" s="21" t="n"/>
      <c r="C160" s="21" t="n"/>
      <c r="D160" s="21" t="n"/>
      <c r="E160" s="22" t="n"/>
      <c r="F160" s="21" t="n"/>
      <c r="G160" s="21" t="n"/>
      <c r="H160" s="23" t="n"/>
      <c r="I160" s="24" t="n"/>
      <c r="J160" s="25">
        <f>IF(ISNUMBER(H160),H160-IF(ISNUMBER(I160),I160,30),"")</f>
        <v/>
      </c>
      <c r="K160" s="26">
        <f>IF(H160="","",IF(ISNUMBER(H160),H160-TODAY(),"Check date"))</f>
        <v/>
      </c>
      <c r="L160" s="27">
        <f>IF(K160="","",IF(ISNUMBER(K160),IF(K160&lt;0,"Expired",IF(K160&lt;=30,"Due ≤30 days",IF(K160&lt;=90,"Due ≤90 days","OK"))),"Check date"))</f>
        <v/>
      </c>
      <c r="M160" s="21" t="n"/>
      <c r="N160" s="21" t="n"/>
      <c r="O160" s="21" t="n"/>
      <c r="P160" s="21" t="n"/>
    </row>
    <row r="161">
      <c r="A161" s="21" t="n"/>
      <c r="B161" s="21" t="n"/>
      <c r="C161" s="21" t="n"/>
      <c r="D161" s="21" t="n"/>
      <c r="E161" s="22" t="n"/>
      <c r="F161" s="21" t="n"/>
      <c r="G161" s="21" t="n"/>
      <c r="H161" s="23" t="n"/>
      <c r="I161" s="24" t="n"/>
      <c r="J161" s="25">
        <f>IF(ISNUMBER(H161),H161-IF(ISNUMBER(I161),I161,30),"")</f>
        <v/>
      </c>
      <c r="K161" s="26">
        <f>IF(H161="","",IF(ISNUMBER(H161),H161-TODAY(),"Check date"))</f>
        <v/>
      </c>
      <c r="L161" s="27">
        <f>IF(K161="","",IF(ISNUMBER(K161),IF(K161&lt;0,"Expired",IF(K161&lt;=30,"Due ≤30 days",IF(K161&lt;=90,"Due ≤90 days","OK"))),"Check date"))</f>
        <v/>
      </c>
      <c r="M161" s="21" t="n"/>
      <c r="N161" s="21" t="n"/>
      <c r="O161" s="21" t="n"/>
      <c r="P161" s="21" t="n"/>
    </row>
    <row r="162">
      <c r="A162" s="21" t="n"/>
      <c r="B162" s="21" t="n"/>
      <c r="C162" s="21" t="n"/>
      <c r="D162" s="21" t="n"/>
      <c r="E162" s="22" t="n"/>
      <c r="F162" s="21" t="n"/>
      <c r="G162" s="21" t="n"/>
      <c r="H162" s="23" t="n"/>
      <c r="I162" s="24" t="n"/>
      <c r="J162" s="25">
        <f>IF(ISNUMBER(H162),H162-IF(ISNUMBER(I162),I162,30),"")</f>
        <v/>
      </c>
      <c r="K162" s="26">
        <f>IF(H162="","",IF(ISNUMBER(H162),H162-TODAY(),"Check date"))</f>
        <v/>
      </c>
      <c r="L162" s="27">
        <f>IF(K162="","",IF(ISNUMBER(K162),IF(K162&lt;0,"Expired",IF(K162&lt;=30,"Due ≤30 days",IF(K162&lt;=90,"Due ≤90 days","OK"))),"Check date"))</f>
        <v/>
      </c>
      <c r="M162" s="21" t="n"/>
      <c r="N162" s="21" t="n"/>
      <c r="O162" s="21" t="n"/>
      <c r="P162" s="21" t="n"/>
    </row>
    <row r="163">
      <c r="A163" s="21" t="n"/>
      <c r="B163" s="21" t="n"/>
      <c r="C163" s="21" t="n"/>
      <c r="D163" s="21" t="n"/>
      <c r="E163" s="22" t="n"/>
      <c r="F163" s="21" t="n"/>
      <c r="G163" s="21" t="n"/>
      <c r="H163" s="23" t="n"/>
      <c r="I163" s="24" t="n"/>
      <c r="J163" s="25">
        <f>IF(ISNUMBER(H163),H163-IF(ISNUMBER(I163),I163,30),"")</f>
        <v/>
      </c>
      <c r="K163" s="26">
        <f>IF(H163="","",IF(ISNUMBER(H163),H163-TODAY(),"Check date"))</f>
        <v/>
      </c>
      <c r="L163" s="27">
        <f>IF(K163="","",IF(ISNUMBER(K163),IF(K163&lt;0,"Expired",IF(K163&lt;=30,"Due ≤30 days",IF(K163&lt;=90,"Due ≤90 days","OK"))),"Check date"))</f>
        <v/>
      </c>
      <c r="M163" s="21" t="n"/>
      <c r="N163" s="21" t="n"/>
      <c r="O163" s="21" t="n"/>
      <c r="P163" s="21" t="n"/>
    </row>
    <row r="164">
      <c r="A164" s="21" t="n"/>
      <c r="B164" s="21" t="n"/>
      <c r="C164" s="21" t="n"/>
      <c r="D164" s="21" t="n"/>
      <c r="E164" s="22" t="n"/>
      <c r="F164" s="21" t="n"/>
      <c r="G164" s="21" t="n"/>
      <c r="H164" s="23" t="n"/>
      <c r="I164" s="24" t="n"/>
      <c r="J164" s="25">
        <f>IF(ISNUMBER(H164),H164-IF(ISNUMBER(I164),I164,30),"")</f>
        <v/>
      </c>
      <c r="K164" s="26">
        <f>IF(H164="","",IF(ISNUMBER(H164),H164-TODAY(),"Check date"))</f>
        <v/>
      </c>
      <c r="L164" s="27">
        <f>IF(K164="","",IF(ISNUMBER(K164),IF(K164&lt;0,"Expired",IF(K164&lt;=30,"Due ≤30 days",IF(K164&lt;=90,"Due ≤90 days","OK"))),"Check date"))</f>
        <v/>
      </c>
      <c r="M164" s="21" t="n"/>
      <c r="N164" s="21" t="n"/>
      <c r="O164" s="21" t="n"/>
      <c r="P164" s="21" t="n"/>
    </row>
    <row r="165">
      <c r="A165" s="21" t="n"/>
      <c r="B165" s="21" t="n"/>
      <c r="C165" s="21" t="n"/>
      <c r="D165" s="21" t="n"/>
      <c r="E165" s="22" t="n"/>
      <c r="F165" s="21" t="n"/>
      <c r="G165" s="21" t="n"/>
      <c r="H165" s="23" t="n"/>
      <c r="I165" s="24" t="n"/>
      <c r="J165" s="25">
        <f>IF(ISNUMBER(H165),H165-IF(ISNUMBER(I165),I165,30),"")</f>
        <v/>
      </c>
      <c r="K165" s="26">
        <f>IF(H165="","",IF(ISNUMBER(H165),H165-TODAY(),"Check date"))</f>
        <v/>
      </c>
      <c r="L165" s="27">
        <f>IF(K165="","",IF(ISNUMBER(K165),IF(K165&lt;0,"Expired",IF(K165&lt;=30,"Due ≤30 days",IF(K165&lt;=90,"Due ≤90 days","OK"))),"Check date"))</f>
        <v/>
      </c>
      <c r="M165" s="21" t="n"/>
      <c r="N165" s="21" t="n"/>
      <c r="O165" s="21" t="n"/>
      <c r="P165" s="21" t="n"/>
    </row>
    <row r="166">
      <c r="A166" s="21" t="n"/>
      <c r="B166" s="21" t="n"/>
      <c r="C166" s="21" t="n"/>
      <c r="D166" s="21" t="n"/>
      <c r="E166" s="22" t="n"/>
      <c r="F166" s="21" t="n"/>
      <c r="G166" s="21" t="n"/>
      <c r="H166" s="23" t="n"/>
      <c r="I166" s="24" t="n"/>
      <c r="J166" s="25">
        <f>IF(ISNUMBER(H166),H166-IF(ISNUMBER(I166),I166,30),"")</f>
        <v/>
      </c>
      <c r="K166" s="26">
        <f>IF(H166="","",IF(ISNUMBER(H166),H166-TODAY(),"Check date"))</f>
        <v/>
      </c>
      <c r="L166" s="27">
        <f>IF(K166="","",IF(ISNUMBER(K166),IF(K166&lt;0,"Expired",IF(K166&lt;=30,"Due ≤30 days",IF(K166&lt;=90,"Due ≤90 days","OK"))),"Check date"))</f>
        <v/>
      </c>
      <c r="M166" s="21" t="n"/>
      <c r="N166" s="21" t="n"/>
      <c r="O166" s="21" t="n"/>
      <c r="P166" s="21" t="n"/>
    </row>
    <row r="167">
      <c r="A167" s="21" t="n"/>
      <c r="B167" s="21" t="n"/>
      <c r="C167" s="21" t="n"/>
      <c r="D167" s="21" t="n"/>
      <c r="E167" s="22" t="n"/>
      <c r="F167" s="21" t="n"/>
      <c r="G167" s="21" t="n"/>
      <c r="H167" s="23" t="n"/>
      <c r="I167" s="24" t="n"/>
      <c r="J167" s="25">
        <f>IF(ISNUMBER(H167),H167-IF(ISNUMBER(I167),I167,30),"")</f>
        <v/>
      </c>
      <c r="K167" s="26">
        <f>IF(H167="","",IF(ISNUMBER(H167),H167-TODAY(),"Check date"))</f>
        <v/>
      </c>
      <c r="L167" s="27">
        <f>IF(K167="","",IF(ISNUMBER(K167),IF(K167&lt;0,"Expired",IF(K167&lt;=30,"Due ≤30 days",IF(K167&lt;=90,"Due ≤90 days","OK"))),"Check date"))</f>
        <v/>
      </c>
      <c r="M167" s="21" t="n"/>
      <c r="N167" s="21" t="n"/>
      <c r="O167" s="21" t="n"/>
      <c r="P167" s="21" t="n"/>
    </row>
    <row r="168">
      <c r="A168" s="21" t="n"/>
      <c r="B168" s="21" t="n"/>
      <c r="C168" s="21" t="n"/>
      <c r="D168" s="21" t="n"/>
      <c r="E168" s="22" t="n"/>
      <c r="F168" s="21" t="n"/>
      <c r="G168" s="21" t="n"/>
      <c r="H168" s="23" t="n"/>
      <c r="I168" s="24" t="n"/>
      <c r="J168" s="25">
        <f>IF(ISNUMBER(H168),H168-IF(ISNUMBER(I168),I168,30),"")</f>
        <v/>
      </c>
      <c r="K168" s="26">
        <f>IF(H168="","",IF(ISNUMBER(H168),H168-TODAY(),"Check date"))</f>
        <v/>
      </c>
      <c r="L168" s="27">
        <f>IF(K168="","",IF(ISNUMBER(K168),IF(K168&lt;0,"Expired",IF(K168&lt;=30,"Due ≤30 days",IF(K168&lt;=90,"Due ≤90 days","OK"))),"Check date"))</f>
        <v/>
      </c>
      <c r="M168" s="21" t="n"/>
      <c r="N168" s="21" t="n"/>
      <c r="O168" s="21" t="n"/>
      <c r="P168" s="21" t="n"/>
    </row>
    <row r="169">
      <c r="A169" s="21" t="n"/>
      <c r="B169" s="21" t="n"/>
      <c r="C169" s="21" t="n"/>
      <c r="D169" s="21" t="n"/>
      <c r="E169" s="22" t="n"/>
      <c r="F169" s="21" t="n"/>
      <c r="G169" s="21" t="n"/>
      <c r="H169" s="23" t="n"/>
      <c r="I169" s="24" t="n"/>
      <c r="J169" s="25">
        <f>IF(ISNUMBER(H169),H169-IF(ISNUMBER(I169),I169,30),"")</f>
        <v/>
      </c>
      <c r="K169" s="26">
        <f>IF(H169="","",IF(ISNUMBER(H169),H169-TODAY(),"Check date"))</f>
        <v/>
      </c>
      <c r="L169" s="27">
        <f>IF(K169="","",IF(ISNUMBER(K169),IF(K169&lt;0,"Expired",IF(K169&lt;=30,"Due ≤30 days",IF(K169&lt;=90,"Due ≤90 days","OK"))),"Check date"))</f>
        <v/>
      </c>
      <c r="M169" s="21" t="n"/>
      <c r="N169" s="21" t="n"/>
      <c r="O169" s="21" t="n"/>
      <c r="P169" s="21" t="n"/>
    </row>
    <row r="170">
      <c r="A170" s="21" t="n"/>
      <c r="B170" s="21" t="n"/>
      <c r="C170" s="21" t="n"/>
      <c r="D170" s="21" t="n"/>
      <c r="E170" s="22" t="n"/>
      <c r="F170" s="21" t="n"/>
      <c r="G170" s="21" t="n"/>
      <c r="H170" s="23" t="n"/>
      <c r="I170" s="24" t="n"/>
      <c r="J170" s="25">
        <f>IF(ISNUMBER(H170),H170-IF(ISNUMBER(I170),I170,30),"")</f>
        <v/>
      </c>
      <c r="K170" s="26">
        <f>IF(H170="","",IF(ISNUMBER(H170),H170-TODAY(),"Check date"))</f>
        <v/>
      </c>
      <c r="L170" s="27">
        <f>IF(K170="","",IF(ISNUMBER(K170),IF(K170&lt;0,"Expired",IF(K170&lt;=30,"Due ≤30 days",IF(K170&lt;=90,"Due ≤90 days","OK"))),"Check date"))</f>
        <v/>
      </c>
      <c r="M170" s="21" t="n"/>
      <c r="N170" s="21" t="n"/>
      <c r="O170" s="21" t="n"/>
      <c r="P170" s="21" t="n"/>
    </row>
    <row r="171">
      <c r="A171" s="21" t="n"/>
      <c r="B171" s="21" t="n"/>
      <c r="C171" s="21" t="n"/>
      <c r="D171" s="21" t="n"/>
      <c r="E171" s="22" t="n"/>
      <c r="F171" s="21" t="n"/>
      <c r="G171" s="21" t="n"/>
      <c r="H171" s="23" t="n"/>
      <c r="I171" s="24" t="n"/>
      <c r="J171" s="25">
        <f>IF(ISNUMBER(H171),H171-IF(ISNUMBER(I171),I171,30),"")</f>
        <v/>
      </c>
      <c r="K171" s="26">
        <f>IF(H171="","",IF(ISNUMBER(H171),H171-TODAY(),"Check date"))</f>
        <v/>
      </c>
      <c r="L171" s="27">
        <f>IF(K171="","",IF(ISNUMBER(K171),IF(K171&lt;0,"Expired",IF(K171&lt;=30,"Due ≤30 days",IF(K171&lt;=90,"Due ≤90 days","OK"))),"Check date"))</f>
        <v/>
      </c>
      <c r="M171" s="21" t="n"/>
      <c r="N171" s="21" t="n"/>
      <c r="O171" s="21" t="n"/>
      <c r="P171" s="21" t="n"/>
    </row>
    <row r="172">
      <c r="A172" s="21" t="n"/>
      <c r="B172" s="21" t="n"/>
      <c r="C172" s="21" t="n"/>
      <c r="D172" s="21" t="n"/>
      <c r="E172" s="22" t="n"/>
      <c r="F172" s="21" t="n"/>
      <c r="G172" s="21" t="n"/>
      <c r="H172" s="23" t="n"/>
      <c r="I172" s="24" t="n"/>
      <c r="J172" s="25">
        <f>IF(ISNUMBER(H172),H172-IF(ISNUMBER(I172),I172,30),"")</f>
        <v/>
      </c>
      <c r="K172" s="26">
        <f>IF(H172="","",IF(ISNUMBER(H172),H172-TODAY(),"Check date"))</f>
        <v/>
      </c>
      <c r="L172" s="27">
        <f>IF(K172="","",IF(ISNUMBER(K172),IF(K172&lt;0,"Expired",IF(K172&lt;=30,"Due ≤30 days",IF(K172&lt;=90,"Due ≤90 days","OK"))),"Check date"))</f>
        <v/>
      </c>
      <c r="M172" s="21" t="n"/>
      <c r="N172" s="21" t="n"/>
      <c r="O172" s="21" t="n"/>
      <c r="P172" s="21" t="n"/>
    </row>
    <row r="173">
      <c r="A173" s="21" t="n"/>
      <c r="B173" s="21" t="n"/>
      <c r="C173" s="21" t="n"/>
      <c r="D173" s="21" t="n"/>
      <c r="E173" s="22" t="n"/>
      <c r="F173" s="21" t="n"/>
      <c r="G173" s="21" t="n"/>
      <c r="H173" s="23" t="n"/>
      <c r="I173" s="24" t="n"/>
      <c r="J173" s="25">
        <f>IF(ISNUMBER(H173),H173-IF(ISNUMBER(I173),I173,30),"")</f>
        <v/>
      </c>
      <c r="K173" s="26">
        <f>IF(H173="","",IF(ISNUMBER(H173),H173-TODAY(),"Check date"))</f>
        <v/>
      </c>
      <c r="L173" s="27">
        <f>IF(K173="","",IF(ISNUMBER(K173),IF(K173&lt;0,"Expired",IF(K173&lt;=30,"Due ≤30 days",IF(K173&lt;=90,"Due ≤90 days","OK"))),"Check date"))</f>
        <v/>
      </c>
      <c r="M173" s="21" t="n"/>
      <c r="N173" s="21" t="n"/>
      <c r="O173" s="21" t="n"/>
      <c r="P173" s="21" t="n"/>
    </row>
    <row r="174">
      <c r="A174" s="21" t="n"/>
      <c r="B174" s="21" t="n"/>
      <c r="C174" s="21" t="n"/>
      <c r="D174" s="21" t="n"/>
      <c r="E174" s="22" t="n"/>
      <c r="F174" s="21" t="n"/>
      <c r="G174" s="21" t="n"/>
      <c r="H174" s="23" t="n"/>
      <c r="I174" s="24" t="n"/>
      <c r="J174" s="25">
        <f>IF(ISNUMBER(H174),H174-IF(ISNUMBER(I174),I174,30),"")</f>
        <v/>
      </c>
      <c r="K174" s="26">
        <f>IF(H174="","",IF(ISNUMBER(H174),H174-TODAY(),"Check date"))</f>
        <v/>
      </c>
      <c r="L174" s="27">
        <f>IF(K174="","",IF(ISNUMBER(K174),IF(K174&lt;0,"Expired",IF(K174&lt;=30,"Due ≤30 days",IF(K174&lt;=90,"Due ≤90 days","OK"))),"Check date"))</f>
        <v/>
      </c>
      <c r="M174" s="21" t="n"/>
      <c r="N174" s="21" t="n"/>
      <c r="O174" s="21" t="n"/>
      <c r="P174" s="21" t="n"/>
    </row>
    <row r="175">
      <c r="A175" s="21" t="n"/>
      <c r="B175" s="21" t="n"/>
      <c r="C175" s="21" t="n"/>
      <c r="D175" s="21" t="n"/>
      <c r="E175" s="22" t="n"/>
      <c r="F175" s="21" t="n"/>
      <c r="G175" s="21" t="n"/>
      <c r="H175" s="23" t="n"/>
      <c r="I175" s="24" t="n"/>
      <c r="J175" s="25">
        <f>IF(ISNUMBER(H175),H175-IF(ISNUMBER(I175),I175,30),"")</f>
        <v/>
      </c>
      <c r="K175" s="26">
        <f>IF(H175="","",IF(ISNUMBER(H175),H175-TODAY(),"Check date"))</f>
        <v/>
      </c>
      <c r="L175" s="27">
        <f>IF(K175="","",IF(ISNUMBER(K175),IF(K175&lt;0,"Expired",IF(K175&lt;=30,"Due ≤30 days",IF(K175&lt;=90,"Due ≤90 days","OK"))),"Check date"))</f>
        <v/>
      </c>
      <c r="M175" s="21" t="n"/>
      <c r="N175" s="21" t="n"/>
      <c r="O175" s="21" t="n"/>
      <c r="P175" s="21" t="n"/>
    </row>
    <row r="176">
      <c r="A176" s="21" t="n"/>
      <c r="B176" s="21" t="n"/>
      <c r="C176" s="21" t="n"/>
      <c r="D176" s="21" t="n"/>
      <c r="E176" s="22" t="n"/>
      <c r="F176" s="21" t="n"/>
      <c r="G176" s="21" t="n"/>
      <c r="H176" s="23" t="n"/>
      <c r="I176" s="24" t="n"/>
      <c r="J176" s="25">
        <f>IF(ISNUMBER(H176),H176-IF(ISNUMBER(I176),I176,30),"")</f>
        <v/>
      </c>
      <c r="K176" s="26">
        <f>IF(H176="","",IF(ISNUMBER(H176),H176-TODAY(),"Check date"))</f>
        <v/>
      </c>
      <c r="L176" s="27">
        <f>IF(K176="","",IF(ISNUMBER(K176),IF(K176&lt;0,"Expired",IF(K176&lt;=30,"Due ≤30 days",IF(K176&lt;=90,"Due ≤90 days","OK"))),"Check date"))</f>
        <v/>
      </c>
      <c r="M176" s="21" t="n"/>
      <c r="N176" s="21" t="n"/>
      <c r="O176" s="21" t="n"/>
      <c r="P176" s="21" t="n"/>
    </row>
    <row r="177">
      <c r="A177" s="21" t="n"/>
      <c r="B177" s="21" t="n"/>
      <c r="C177" s="21" t="n"/>
      <c r="D177" s="21" t="n"/>
      <c r="E177" s="22" t="n"/>
      <c r="F177" s="21" t="n"/>
      <c r="G177" s="21" t="n"/>
      <c r="H177" s="23" t="n"/>
      <c r="I177" s="24" t="n"/>
      <c r="J177" s="25">
        <f>IF(ISNUMBER(H177),H177-IF(ISNUMBER(I177),I177,30),"")</f>
        <v/>
      </c>
      <c r="K177" s="26">
        <f>IF(H177="","",IF(ISNUMBER(H177),H177-TODAY(),"Check date"))</f>
        <v/>
      </c>
      <c r="L177" s="27">
        <f>IF(K177="","",IF(ISNUMBER(K177),IF(K177&lt;0,"Expired",IF(K177&lt;=30,"Due ≤30 days",IF(K177&lt;=90,"Due ≤90 days","OK"))),"Check date"))</f>
        <v/>
      </c>
      <c r="M177" s="21" t="n"/>
      <c r="N177" s="21" t="n"/>
      <c r="O177" s="21" t="n"/>
      <c r="P177" s="21" t="n"/>
    </row>
    <row r="178">
      <c r="A178" s="21" t="n"/>
      <c r="B178" s="21" t="n"/>
      <c r="C178" s="21" t="n"/>
      <c r="D178" s="21" t="n"/>
      <c r="E178" s="22" t="n"/>
      <c r="F178" s="21" t="n"/>
      <c r="G178" s="21" t="n"/>
      <c r="H178" s="23" t="n"/>
      <c r="I178" s="24" t="n"/>
      <c r="J178" s="25">
        <f>IF(ISNUMBER(H178),H178-IF(ISNUMBER(I178),I178,30),"")</f>
        <v/>
      </c>
      <c r="K178" s="26">
        <f>IF(H178="","",IF(ISNUMBER(H178),H178-TODAY(),"Check date"))</f>
        <v/>
      </c>
      <c r="L178" s="27">
        <f>IF(K178="","",IF(ISNUMBER(K178),IF(K178&lt;0,"Expired",IF(K178&lt;=30,"Due ≤30 days",IF(K178&lt;=90,"Due ≤90 days","OK"))),"Check date"))</f>
        <v/>
      </c>
      <c r="M178" s="21" t="n"/>
      <c r="N178" s="21" t="n"/>
      <c r="O178" s="21" t="n"/>
      <c r="P178" s="21" t="n"/>
    </row>
    <row r="179">
      <c r="A179" s="21" t="n"/>
      <c r="B179" s="21" t="n"/>
      <c r="C179" s="21" t="n"/>
      <c r="D179" s="21" t="n"/>
      <c r="E179" s="22" t="n"/>
      <c r="F179" s="21" t="n"/>
      <c r="G179" s="21" t="n"/>
      <c r="H179" s="23" t="n"/>
      <c r="I179" s="24" t="n"/>
      <c r="J179" s="25">
        <f>IF(ISNUMBER(H179),H179-IF(ISNUMBER(I179),I179,30),"")</f>
        <v/>
      </c>
      <c r="K179" s="26">
        <f>IF(H179="","",IF(ISNUMBER(H179),H179-TODAY(),"Check date"))</f>
        <v/>
      </c>
      <c r="L179" s="27">
        <f>IF(K179="","",IF(ISNUMBER(K179),IF(K179&lt;0,"Expired",IF(K179&lt;=30,"Due ≤30 days",IF(K179&lt;=90,"Due ≤90 days","OK"))),"Check date"))</f>
        <v/>
      </c>
      <c r="M179" s="21" t="n"/>
      <c r="N179" s="21" t="n"/>
      <c r="O179" s="21" t="n"/>
      <c r="P179" s="21" t="n"/>
    </row>
    <row r="180">
      <c r="A180" s="21" t="n"/>
      <c r="B180" s="21" t="n"/>
      <c r="C180" s="21" t="n"/>
      <c r="D180" s="21" t="n"/>
      <c r="E180" s="22" t="n"/>
      <c r="F180" s="21" t="n"/>
      <c r="G180" s="21" t="n"/>
      <c r="H180" s="23" t="n"/>
      <c r="I180" s="24" t="n"/>
      <c r="J180" s="25">
        <f>IF(ISNUMBER(H180),H180-IF(ISNUMBER(I180),I180,30),"")</f>
        <v/>
      </c>
      <c r="K180" s="26">
        <f>IF(H180="","",IF(ISNUMBER(H180),H180-TODAY(),"Check date"))</f>
        <v/>
      </c>
      <c r="L180" s="27">
        <f>IF(K180="","",IF(ISNUMBER(K180),IF(K180&lt;0,"Expired",IF(K180&lt;=30,"Due ≤30 days",IF(K180&lt;=90,"Due ≤90 days","OK"))),"Check date"))</f>
        <v/>
      </c>
      <c r="M180" s="21" t="n"/>
      <c r="N180" s="21" t="n"/>
      <c r="O180" s="21" t="n"/>
      <c r="P180" s="21" t="n"/>
    </row>
    <row r="181">
      <c r="A181" s="21" t="n"/>
      <c r="B181" s="21" t="n"/>
      <c r="C181" s="21" t="n"/>
      <c r="D181" s="21" t="n"/>
      <c r="E181" s="22" t="n"/>
      <c r="F181" s="21" t="n"/>
      <c r="G181" s="21" t="n"/>
      <c r="H181" s="23" t="n"/>
      <c r="I181" s="24" t="n"/>
      <c r="J181" s="25">
        <f>IF(ISNUMBER(H181),H181-IF(ISNUMBER(I181),I181,30),"")</f>
        <v/>
      </c>
      <c r="K181" s="26">
        <f>IF(H181="","",IF(ISNUMBER(H181),H181-TODAY(),"Check date"))</f>
        <v/>
      </c>
      <c r="L181" s="27">
        <f>IF(K181="","",IF(ISNUMBER(K181),IF(K181&lt;0,"Expired",IF(K181&lt;=30,"Due ≤30 days",IF(K181&lt;=90,"Due ≤90 days","OK"))),"Check date"))</f>
        <v/>
      </c>
      <c r="M181" s="21" t="n"/>
      <c r="N181" s="21" t="n"/>
      <c r="O181" s="21" t="n"/>
      <c r="P181" s="21" t="n"/>
    </row>
    <row r="182">
      <c r="A182" s="21" t="n"/>
      <c r="B182" s="21" t="n"/>
      <c r="C182" s="21" t="n"/>
      <c r="D182" s="21" t="n"/>
      <c r="E182" s="22" t="n"/>
      <c r="F182" s="21" t="n"/>
      <c r="G182" s="21" t="n"/>
      <c r="H182" s="23" t="n"/>
      <c r="I182" s="24" t="n"/>
      <c r="J182" s="25">
        <f>IF(ISNUMBER(H182),H182-IF(ISNUMBER(I182),I182,30),"")</f>
        <v/>
      </c>
      <c r="K182" s="26">
        <f>IF(H182="","",IF(ISNUMBER(H182),H182-TODAY(),"Check date"))</f>
        <v/>
      </c>
      <c r="L182" s="27">
        <f>IF(K182="","",IF(ISNUMBER(K182),IF(K182&lt;0,"Expired",IF(K182&lt;=30,"Due ≤30 days",IF(K182&lt;=90,"Due ≤90 days","OK"))),"Check date"))</f>
        <v/>
      </c>
      <c r="M182" s="21" t="n"/>
      <c r="N182" s="21" t="n"/>
      <c r="O182" s="21" t="n"/>
      <c r="P182" s="21" t="n"/>
    </row>
    <row r="183">
      <c r="A183" s="21" t="n"/>
      <c r="B183" s="21" t="n"/>
      <c r="C183" s="21" t="n"/>
      <c r="D183" s="21" t="n"/>
      <c r="E183" s="22" t="n"/>
      <c r="F183" s="21" t="n"/>
      <c r="G183" s="21" t="n"/>
      <c r="H183" s="23" t="n"/>
      <c r="I183" s="24" t="n"/>
      <c r="J183" s="25">
        <f>IF(ISNUMBER(H183),H183-IF(ISNUMBER(I183),I183,30),"")</f>
        <v/>
      </c>
      <c r="K183" s="26">
        <f>IF(H183="","",IF(ISNUMBER(H183),H183-TODAY(),"Check date"))</f>
        <v/>
      </c>
      <c r="L183" s="27">
        <f>IF(K183="","",IF(ISNUMBER(K183),IF(K183&lt;0,"Expired",IF(K183&lt;=30,"Due ≤30 days",IF(K183&lt;=90,"Due ≤90 days","OK"))),"Check date"))</f>
        <v/>
      </c>
      <c r="M183" s="21" t="n"/>
      <c r="N183" s="21" t="n"/>
      <c r="O183" s="21" t="n"/>
      <c r="P183" s="21" t="n"/>
    </row>
    <row r="184">
      <c r="A184" s="21" t="n"/>
      <c r="B184" s="21" t="n"/>
      <c r="C184" s="21" t="n"/>
      <c r="D184" s="21" t="n"/>
      <c r="E184" s="22" t="n"/>
      <c r="F184" s="21" t="n"/>
      <c r="G184" s="21" t="n"/>
      <c r="H184" s="23" t="n"/>
      <c r="I184" s="24" t="n"/>
      <c r="J184" s="25">
        <f>IF(ISNUMBER(H184),H184-IF(ISNUMBER(I184),I184,30),"")</f>
        <v/>
      </c>
      <c r="K184" s="26">
        <f>IF(H184="","",IF(ISNUMBER(H184),H184-TODAY(),"Check date"))</f>
        <v/>
      </c>
      <c r="L184" s="27">
        <f>IF(K184="","",IF(ISNUMBER(K184),IF(K184&lt;0,"Expired",IF(K184&lt;=30,"Due ≤30 days",IF(K184&lt;=90,"Due ≤90 days","OK"))),"Check date"))</f>
        <v/>
      </c>
      <c r="M184" s="21" t="n"/>
      <c r="N184" s="21" t="n"/>
      <c r="O184" s="21" t="n"/>
      <c r="P184" s="21" t="n"/>
    </row>
    <row r="185">
      <c r="A185" s="21" t="n"/>
      <c r="B185" s="21" t="n"/>
      <c r="C185" s="21" t="n"/>
      <c r="D185" s="21" t="n"/>
      <c r="E185" s="22" t="n"/>
      <c r="F185" s="21" t="n"/>
      <c r="G185" s="21" t="n"/>
      <c r="H185" s="23" t="n"/>
      <c r="I185" s="24" t="n"/>
      <c r="J185" s="25">
        <f>IF(ISNUMBER(H185),H185-IF(ISNUMBER(I185),I185,30),"")</f>
        <v/>
      </c>
      <c r="K185" s="26">
        <f>IF(H185="","",IF(ISNUMBER(H185),H185-TODAY(),"Check date"))</f>
        <v/>
      </c>
      <c r="L185" s="27">
        <f>IF(K185="","",IF(ISNUMBER(K185),IF(K185&lt;0,"Expired",IF(K185&lt;=30,"Due ≤30 days",IF(K185&lt;=90,"Due ≤90 days","OK"))),"Check date"))</f>
        <v/>
      </c>
      <c r="M185" s="21" t="n"/>
      <c r="N185" s="21" t="n"/>
      <c r="O185" s="21" t="n"/>
      <c r="P185" s="21" t="n"/>
    </row>
    <row r="186">
      <c r="A186" s="21" t="n"/>
      <c r="B186" s="21" t="n"/>
      <c r="C186" s="21" t="n"/>
      <c r="D186" s="21" t="n"/>
      <c r="E186" s="22" t="n"/>
      <c r="F186" s="21" t="n"/>
      <c r="G186" s="21" t="n"/>
      <c r="H186" s="23" t="n"/>
      <c r="I186" s="24" t="n"/>
      <c r="J186" s="25">
        <f>IF(ISNUMBER(H186),H186-IF(ISNUMBER(I186),I186,30),"")</f>
        <v/>
      </c>
      <c r="K186" s="26">
        <f>IF(H186="","",IF(ISNUMBER(H186),H186-TODAY(),"Check date"))</f>
        <v/>
      </c>
      <c r="L186" s="27">
        <f>IF(K186="","",IF(ISNUMBER(K186),IF(K186&lt;0,"Expired",IF(K186&lt;=30,"Due ≤30 days",IF(K186&lt;=90,"Due ≤90 days","OK"))),"Check date"))</f>
        <v/>
      </c>
      <c r="M186" s="21" t="n"/>
      <c r="N186" s="21" t="n"/>
      <c r="O186" s="21" t="n"/>
      <c r="P186" s="21" t="n"/>
    </row>
    <row r="187">
      <c r="A187" s="21" t="n"/>
      <c r="B187" s="21" t="n"/>
      <c r="C187" s="21" t="n"/>
      <c r="D187" s="21" t="n"/>
      <c r="E187" s="22" t="n"/>
      <c r="F187" s="21" t="n"/>
      <c r="G187" s="21" t="n"/>
      <c r="H187" s="23" t="n"/>
      <c r="I187" s="24" t="n"/>
      <c r="J187" s="25">
        <f>IF(ISNUMBER(H187),H187-IF(ISNUMBER(I187),I187,30),"")</f>
        <v/>
      </c>
      <c r="K187" s="26">
        <f>IF(H187="","",IF(ISNUMBER(H187),H187-TODAY(),"Check date"))</f>
        <v/>
      </c>
      <c r="L187" s="27">
        <f>IF(K187="","",IF(ISNUMBER(K187),IF(K187&lt;0,"Expired",IF(K187&lt;=30,"Due ≤30 days",IF(K187&lt;=90,"Due ≤90 days","OK"))),"Check date"))</f>
        <v/>
      </c>
      <c r="M187" s="21" t="n"/>
      <c r="N187" s="21" t="n"/>
      <c r="O187" s="21" t="n"/>
      <c r="P187" s="21" t="n"/>
    </row>
    <row r="188">
      <c r="A188" s="21" t="n"/>
      <c r="B188" s="21" t="n"/>
      <c r="C188" s="21" t="n"/>
      <c r="D188" s="21" t="n"/>
      <c r="E188" s="22" t="n"/>
      <c r="F188" s="21" t="n"/>
      <c r="G188" s="21" t="n"/>
      <c r="H188" s="23" t="n"/>
      <c r="I188" s="24" t="n"/>
      <c r="J188" s="25">
        <f>IF(ISNUMBER(H188),H188-IF(ISNUMBER(I188),I188,30),"")</f>
        <v/>
      </c>
      <c r="K188" s="26">
        <f>IF(H188="","",IF(ISNUMBER(H188),H188-TODAY(),"Check date"))</f>
        <v/>
      </c>
      <c r="L188" s="27">
        <f>IF(K188="","",IF(ISNUMBER(K188),IF(K188&lt;0,"Expired",IF(K188&lt;=30,"Due ≤30 days",IF(K188&lt;=90,"Due ≤90 days","OK"))),"Check date"))</f>
        <v/>
      </c>
      <c r="M188" s="21" t="n"/>
      <c r="N188" s="21" t="n"/>
      <c r="O188" s="21" t="n"/>
      <c r="P188" s="21" t="n"/>
    </row>
    <row r="189">
      <c r="A189" s="21" t="n"/>
      <c r="B189" s="21" t="n"/>
      <c r="C189" s="21" t="n"/>
      <c r="D189" s="21" t="n"/>
      <c r="E189" s="22" t="n"/>
      <c r="F189" s="21" t="n"/>
      <c r="G189" s="21" t="n"/>
      <c r="H189" s="23" t="n"/>
      <c r="I189" s="24" t="n"/>
      <c r="J189" s="25">
        <f>IF(ISNUMBER(H189),H189-IF(ISNUMBER(I189),I189,30),"")</f>
        <v/>
      </c>
      <c r="K189" s="26">
        <f>IF(H189="","",IF(ISNUMBER(H189),H189-TODAY(),"Check date"))</f>
        <v/>
      </c>
      <c r="L189" s="27">
        <f>IF(K189="","",IF(ISNUMBER(K189),IF(K189&lt;0,"Expired",IF(K189&lt;=30,"Due ≤30 days",IF(K189&lt;=90,"Due ≤90 days","OK"))),"Check date"))</f>
        <v/>
      </c>
      <c r="M189" s="21" t="n"/>
      <c r="N189" s="21" t="n"/>
      <c r="O189" s="21" t="n"/>
      <c r="P189" s="21" t="n"/>
    </row>
    <row r="190">
      <c r="A190" s="21" t="n"/>
      <c r="B190" s="21" t="n"/>
      <c r="C190" s="21" t="n"/>
      <c r="D190" s="21" t="n"/>
      <c r="E190" s="22" t="n"/>
      <c r="F190" s="21" t="n"/>
      <c r="G190" s="21" t="n"/>
      <c r="H190" s="23" t="n"/>
      <c r="I190" s="24" t="n"/>
      <c r="J190" s="25">
        <f>IF(ISNUMBER(H190),H190-IF(ISNUMBER(I190),I190,30),"")</f>
        <v/>
      </c>
      <c r="K190" s="26">
        <f>IF(H190="","",IF(ISNUMBER(H190),H190-TODAY(),"Check date"))</f>
        <v/>
      </c>
      <c r="L190" s="27">
        <f>IF(K190="","",IF(ISNUMBER(K190),IF(K190&lt;0,"Expired",IF(K190&lt;=30,"Due ≤30 days",IF(K190&lt;=90,"Due ≤90 days","OK"))),"Check date"))</f>
        <v/>
      </c>
      <c r="M190" s="21" t="n"/>
      <c r="N190" s="21" t="n"/>
      <c r="O190" s="21" t="n"/>
      <c r="P190" s="21" t="n"/>
    </row>
    <row r="191">
      <c r="A191" s="21" t="n"/>
      <c r="B191" s="21" t="n"/>
      <c r="C191" s="21" t="n"/>
      <c r="D191" s="21" t="n"/>
      <c r="E191" s="22" t="n"/>
      <c r="F191" s="21" t="n"/>
      <c r="G191" s="21" t="n"/>
      <c r="H191" s="23" t="n"/>
      <c r="I191" s="24" t="n"/>
      <c r="J191" s="25">
        <f>IF(ISNUMBER(H191),H191-IF(ISNUMBER(I191),I191,30),"")</f>
        <v/>
      </c>
      <c r="K191" s="26">
        <f>IF(H191="","",IF(ISNUMBER(H191),H191-TODAY(),"Check date"))</f>
        <v/>
      </c>
      <c r="L191" s="27">
        <f>IF(K191="","",IF(ISNUMBER(K191),IF(K191&lt;0,"Expired",IF(K191&lt;=30,"Due ≤30 days",IF(K191&lt;=90,"Due ≤90 days","OK"))),"Check date"))</f>
        <v/>
      </c>
      <c r="M191" s="21" t="n"/>
      <c r="N191" s="21" t="n"/>
      <c r="O191" s="21" t="n"/>
      <c r="P191" s="21" t="n"/>
    </row>
    <row r="192">
      <c r="A192" s="21" t="n"/>
      <c r="B192" s="21" t="n"/>
      <c r="C192" s="21" t="n"/>
      <c r="D192" s="21" t="n"/>
      <c r="E192" s="22" t="n"/>
      <c r="F192" s="21" t="n"/>
      <c r="G192" s="21" t="n"/>
      <c r="H192" s="23" t="n"/>
      <c r="I192" s="24" t="n"/>
      <c r="J192" s="25">
        <f>IF(ISNUMBER(H192),H192-IF(ISNUMBER(I192),I192,30),"")</f>
        <v/>
      </c>
      <c r="K192" s="26">
        <f>IF(H192="","",IF(ISNUMBER(H192),H192-TODAY(),"Check date"))</f>
        <v/>
      </c>
      <c r="L192" s="27">
        <f>IF(K192="","",IF(ISNUMBER(K192),IF(K192&lt;0,"Expired",IF(K192&lt;=30,"Due ≤30 days",IF(K192&lt;=90,"Due ≤90 days","OK"))),"Check date"))</f>
        <v/>
      </c>
      <c r="M192" s="21" t="n"/>
      <c r="N192" s="21" t="n"/>
      <c r="O192" s="21" t="n"/>
      <c r="P192" s="21" t="n"/>
    </row>
    <row r="193">
      <c r="A193" s="21" t="n"/>
      <c r="B193" s="21" t="n"/>
      <c r="C193" s="21" t="n"/>
      <c r="D193" s="21" t="n"/>
      <c r="E193" s="22" t="n"/>
      <c r="F193" s="21" t="n"/>
      <c r="G193" s="21" t="n"/>
      <c r="H193" s="23" t="n"/>
      <c r="I193" s="24" t="n"/>
      <c r="J193" s="25">
        <f>IF(ISNUMBER(H193),H193-IF(ISNUMBER(I193),I193,30),"")</f>
        <v/>
      </c>
      <c r="K193" s="26">
        <f>IF(H193="","",IF(ISNUMBER(H193),H193-TODAY(),"Check date"))</f>
        <v/>
      </c>
      <c r="L193" s="27">
        <f>IF(K193="","",IF(ISNUMBER(K193),IF(K193&lt;0,"Expired",IF(K193&lt;=30,"Due ≤30 days",IF(K193&lt;=90,"Due ≤90 days","OK"))),"Check date"))</f>
        <v/>
      </c>
      <c r="M193" s="21" t="n"/>
      <c r="N193" s="21" t="n"/>
      <c r="O193" s="21" t="n"/>
      <c r="P193" s="21" t="n"/>
    </row>
    <row r="194">
      <c r="A194" s="21" t="n"/>
      <c r="B194" s="21" t="n"/>
      <c r="C194" s="21" t="n"/>
      <c r="D194" s="21" t="n"/>
      <c r="E194" s="22" t="n"/>
      <c r="F194" s="21" t="n"/>
      <c r="G194" s="21" t="n"/>
      <c r="H194" s="23" t="n"/>
      <c r="I194" s="24" t="n"/>
      <c r="J194" s="25">
        <f>IF(ISNUMBER(H194),H194-IF(ISNUMBER(I194),I194,30),"")</f>
        <v/>
      </c>
      <c r="K194" s="26">
        <f>IF(H194="","",IF(ISNUMBER(H194),H194-TODAY(),"Check date"))</f>
        <v/>
      </c>
      <c r="L194" s="27">
        <f>IF(K194="","",IF(ISNUMBER(K194),IF(K194&lt;0,"Expired",IF(K194&lt;=30,"Due ≤30 days",IF(K194&lt;=90,"Due ≤90 days","OK"))),"Check date"))</f>
        <v/>
      </c>
      <c r="M194" s="21" t="n"/>
      <c r="N194" s="21" t="n"/>
      <c r="O194" s="21" t="n"/>
      <c r="P194" s="21" t="n"/>
    </row>
    <row r="195">
      <c r="A195" s="21" t="n"/>
      <c r="B195" s="21" t="n"/>
      <c r="C195" s="21" t="n"/>
      <c r="D195" s="21" t="n"/>
      <c r="E195" s="22" t="n"/>
      <c r="F195" s="21" t="n"/>
      <c r="G195" s="21" t="n"/>
      <c r="H195" s="23" t="n"/>
      <c r="I195" s="24" t="n"/>
      <c r="J195" s="25">
        <f>IF(ISNUMBER(H195),H195-IF(ISNUMBER(I195),I195,30),"")</f>
        <v/>
      </c>
      <c r="K195" s="26">
        <f>IF(H195="","",IF(ISNUMBER(H195),H195-TODAY(),"Check date"))</f>
        <v/>
      </c>
      <c r="L195" s="27">
        <f>IF(K195="","",IF(ISNUMBER(K195),IF(K195&lt;0,"Expired",IF(K195&lt;=30,"Due ≤30 days",IF(K195&lt;=90,"Due ≤90 days","OK"))),"Check date"))</f>
        <v/>
      </c>
      <c r="M195" s="21" t="n"/>
      <c r="N195" s="21" t="n"/>
      <c r="O195" s="21" t="n"/>
      <c r="P195" s="21" t="n"/>
    </row>
    <row r="196">
      <c r="A196" s="21" t="n"/>
      <c r="B196" s="21" t="n"/>
      <c r="C196" s="21" t="n"/>
      <c r="D196" s="21" t="n"/>
      <c r="E196" s="22" t="n"/>
      <c r="F196" s="21" t="n"/>
      <c r="G196" s="21" t="n"/>
      <c r="H196" s="23" t="n"/>
      <c r="I196" s="24" t="n"/>
      <c r="J196" s="25">
        <f>IF(ISNUMBER(H196),H196-IF(ISNUMBER(I196),I196,30),"")</f>
        <v/>
      </c>
      <c r="K196" s="26">
        <f>IF(H196="","",IF(ISNUMBER(H196),H196-TODAY(),"Check date"))</f>
        <v/>
      </c>
      <c r="L196" s="27">
        <f>IF(K196="","",IF(ISNUMBER(K196),IF(K196&lt;0,"Expired",IF(K196&lt;=30,"Due ≤30 days",IF(K196&lt;=90,"Due ≤90 days","OK"))),"Check date"))</f>
        <v/>
      </c>
      <c r="M196" s="21" t="n"/>
      <c r="N196" s="21" t="n"/>
      <c r="O196" s="21" t="n"/>
      <c r="P196" s="21" t="n"/>
    </row>
    <row r="197">
      <c r="A197" s="21" t="n"/>
      <c r="B197" s="21" t="n"/>
      <c r="C197" s="21" t="n"/>
      <c r="D197" s="21" t="n"/>
      <c r="E197" s="22" t="n"/>
      <c r="F197" s="21" t="n"/>
      <c r="G197" s="21" t="n"/>
      <c r="H197" s="23" t="n"/>
      <c r="I197" s="24" t="n"/>
      <c r="J197" s="25">
        <f>IF(ISNUMBER(H197),H197-IF(ISNUMBER(I197),I197,30),"")</f>
        <v/>
      </c>
      <c r="K197" s="26">
        <f>IF(H197="","",IF(ISNUMBER(H197),H197-TODAY(),"Check date"))</f>
        <v/>
      </c>
      <c r="L197" s="27">
        <f>IF(K197="","",IF(ISNUMBER(K197),IF(K197&lt;0,"Expired",IF(K197&lt;=30,"Due ≤30 days",IF(K197&lt;=90,"Due ≤90 days","OK"))),"Check date"))</f>
        <v/>
      </c>
      <c r="M197" s="21" t="n"/>
      <c r="N197" s="21" t="n"/>
      <c r="O197" s="21" t="n"/>
      <c r="P197" s="21" t="n"/>
    </row>
    <row r="198">
      <c r="A198" s="21" t="n"/>
      <c r="B198" s="21" t="n"/>
      <c r="C198" s="21" t="n"/>
      <c r="D198" s="21" t="n"/>
      <c r="E198" s="22" t="n"/>
      <c r="F198" s="21" t="n"/>
      <c r="G198" s="21" t="n"/>
      <c r="H198" s="23" t="n"/>
      <c r="I198" s="24" t="n"/>
      <c r="J198" s="25">
        <f>IF(ISNUMBER(H198),H198-IF(ISNUMBER(I198),I198,30),"")</f>
        <v/>
      </c>
      <c r="K198" s="26">
        <f>IF(H198="","",IF(ISNUMBER(H198),H198-TODAY(),"Check date"))</f>
        <v/>
      </c>
      <c r="L198" s="27">
        <f>IF(K198="","",IF(ISNUMBER(K198),IF(K198&lt;0,"Expired",IF(K198&lt;=30,"Due ≤30 days",IF(K198&lt;=90,"Due ≤90 days","OK"))),"Check date"))</f>
        <v/>
      </c>
      <c r="M198" s="21" t="n"/>
      <c r="N198" s="21" t="n"/>
      <c r="O198" s="21" t="n"/>
      <c r="P198" s="21" t="n"/>
    </row>
    <row r="199">
      <c r="A199" s="21" t="n"/>
      <c r="B199" s="21" t="n"/>
      <c r="C199" s="21" t="n"/>
      <c r="D199" s="21" t="n"/>
      <c r="E199" s="22" t="n"/>
      <c r="F199" s="21" t="n"/>
      <c r="G199" s="21" t="n"/>
      <c r="H199" s="23" t="n"/>
      <c r="I199" s="24" t="n"/>
      <c r="J199" s="25">
        <f>IF(ISNUMBER(H199),H199-IF(ISNUMBER(I199),I199,30),"")</f>
        <v/>
      </c>
      <c r="K199" s="26">
        <f>IF(H199="","",IF(ISNUMBER(H199),H199-TODAY(),"Check date"))</f>
        <v/>
      </c>
      <c r="L199" s="27">
        <f>IF(K199="","",IF(ISNUMBER(K199),IF(K199&lt;0,"Expired",IF(K199&lt;=30,"Due ≤30 days",IF(K199&lt;=90,"Due ≤90 days","OK"))),"Check date"))</f>
        <v/>
      </c>
      <c r="M199" s="21" t="n"/>
      <c r="N199" s="21" t="n"/>
      <c r="O199" s="21" t="n"/>
      <c r="P199" s="21" t="n"/>
    </row>
    <row r="200">
      <c r="A200" s="21" t="n"/>
      <c r="B200" s="21" t="n"/>
      <c r="C200" s="21" t="n"/>
      <c r="D200" s="21" t="n"/>
      <c r="E200" s="22" t="n"/>
      <c r="F200" s="21" t="n"/>
      <c r="G200" s="21" t="n"/>
      <c r="H200" s="23" t="n"/>
      <c r="I200" s="24" t="n"/>
      <c r="J200" s="25">
        <f>IF(ISNUMBER(H200),H200-IF(ISNUMBER(I200),I200,30),"")</f>
        <v/>
      </c>
      <c r="K200" s="26">
        <f>IF(H200="","",IF(ISNUMBER(H200),H200-TODAY(),"Check date"))</f>
        <v/>
      </c>
      <c r="L200" s="27">
        <f>IF(K200="","",IF(ISNUMBER(K200),IF(K200&lt;0,"Expired",IF(K200&lt;=30,"Due ≤30 days",IF(K200&lt;=90,"Due ≤90 days","OK"))),"Check date"))</f>
        <v/>
      </c>
      <c r="M200" s="21" t="n"/>
      <c r="N200" s="21" t="n"/>
      <c r="O200" s="21" t="n"/>
      <c r="P200" s="21" t="n"/>
    </row>
    <row r="201">
      <c r="A201" s="21" t="n"/>
      <c r="B201" s="21" t="n"/>
      <c r="C201" s="21" t="n"/>
      <c r="D201" s="21" t="n"/>
      <c r="E201" s="22" t="n"/>
      <c r="F201" s="21" t="n"/>
      <c r="G201" s="21" t="n"/>
      <c r="H201" s="23" t="n"/>
      <c r="I201" s="24" t="n"/>
      <c r="J201" s="25">
        <f>IF(ISNUMBER(H201),H201-IF(ISNUMBER(I201),I201,30),"")</f>
        <v/>
      </c>
      <c r="K201" s="26">
        <f>IF(H201="","",IF(ISNUMBER(H201),H201-TODAY(),"Check date"))</f>
        <v/>
      </c>
      <c r="L201" s="27">
        <f>IF(K201="","",IF(ISNUMBER(K201),IF(K201&lt;0,"Expired",IF(K201&lt;=30,"Due ≤30 days",IF(K201&lt;=90,"Due ≤90 days","OK"))),"Check date"))</f>
        <v/>
      </c>
      <c r="M201" s="21" t="n"/>
      <c r="N201" s="21" t="n"/>
      <c r="O201" s="21" t="n"/>
      <c r="P201" s="21" t="n"/>
    </row>
    <row r="202">
      <c r="A202" s="21" t="n"/>
      <c r="B202" s="21" t="n"/>
      <c r="C202" s="21" t="n"/>
      <c r="D202" s="21" t="n"/>
      <c r="E202" s="22" t="n"/>
      <c r="F202" s="21" t="n"/>
      <c r="G202" s="21" t="n"/>
      <c r="H202" s="23" t="n"/>
      <c r="I202" s="24" t="n"/>
      <c r="J202" s="25">
        <f>IF(ISNUMBER(H202),H202-IF(ISNUMBER(I202),I202,30),"")</f>
        <v/>
      </c>
      <c r="K202" s="26">
        <f>IF(H202="","",IF(ISNUMBER(H202),H202-TODAY(),"Check date"))</f>
        <v/>
      </c>
      <c r="L202" s="27">
        <f>IF(K202="","",IF(ISNUMBER(K202),IF(K202&lt;0,"Expired",IF(K202&lt;=30,"Due ≤30 days",IF(K202&lt;=90,"Due ≤90 days","OK"))),"Check date"))</f>
        <v/>
      </c>
      <c r="M202" s="21" t="n"/>
      <c r="N202" s="21" t="n"/>
      <c r="O202" s="21" t="n"/>
      <c r="P202" s="21" t="n"/>
    </row>
    <row r="203">
      <c r="A203" s="21" t="n"/>
      <c r="B203" s="21" t="n"/>
      <c r="C203" s="21" t="n"/>
      <c r="D203" s="21" t="n"/>
      <c r="E203" s="22" t="n"/>
      <c r="F203" s="21" t="n"/>
      <c r="G203" s="21" t="n"/>
      <c r="H203" s="23" t="n"/>
      <c r="I203" s="24" t="n"/>
      <c r="J203" s="25">
        <f>IF(ISNUMBER(H203),H203-IF(ISNUMBER(I203),I203,30),"")</f>
        <v/>
      </c>
      <c r="K203" s="26">
        <f>IF(H203="","",IF(ISNUMBER(H203),H203-TODAY(),"Check date"))</f>
        <v/>
      </c>
      <c r="L203" s="27">
        <f>IF(K203="","",IF(ISNUMBER(K203),IF(K203&lt;0,"Expired",IF(K203&lt;=30,"Due ≤30 days",IF(K203&lt;=90,"Due ≤90 days","OK"))),"Check date"))</f>
        <v/>
      </c>
      <c r="M203" s="21" t="n"/>
      <c r="N203" s="21" t="n"/>
      <c r="O203" s="21" t="n"/>
      <c r="P203" s="21" t="n"/>
    </row>
    <row r="204">
      <c r="A204" s="21" t="n"/>
      <c r="B204" s="21" t="n"/>
      <c r="C204" s="21" t="n"/>
      <c r="D204" s="21" t="n"/>
      <c r="E204" s="22" t="n"/>
      <c r="F204" s="21" t="n"/>
      <c r="G204" s="21" t="n"/>
      <c r="H204" s="23" t="n"/>
      <c r="I204" s="24" t="n"/>
      <c r="J204" s="25">
        <f>IF(ISNUMBER(H204),H204-IF(ISNUMBER(I204),I204,30),"")</f>
        <v/>
      </c>
      <c r="K204" s="26">
        <f>IF(H204="","",IF(ISNUMBER(H204),H204-TODAY(),"Check date"))</f>
        <v/>
      </c>
      <c r="L204" s="27">
        <f>IF(K204="","",IF(ISNUMBER(K204),IF(K204&lt;0,"Expired",IF(K204&lt;=30,"Due ≤30 days",IF(K204&lt;=90,"Due ≤90 days","OK"))),"Check date"))</f>
        <v/>
      </c>
      <c r="M204" s="21" t="n"/>
      <c r="N204" s="21" t="n"/>
      <c r="O204" s="21" t="n"/>
      <c r="P204" s="21" t="n"/>
    </row>
    <row r="205">
      <c r="A205" s="21" t="n"/>
      <c r="B205" s="21" t="n"/>
      <c r="C205" s="21" t="n"/>
      <c r="D205" s="21" t="n"/>
      <c r="E205" s="22" t="n"/>
      <c r="F205" s="21" t="n"/>
      <c r="G205" s="21" t="n"/>
      <c r="H205" s="23" t="n"/>
      <c r="I205" s="24" t="n"/>
      <c r="J205" s="25">
        <f>IF(ISNUMBER(H205),H205-IF(ISNUMBER(I205),I205,30),"")</f>
        <v/>
      </c>
      <c r="K205" s="26">
        <f>IF(H205="","",IF(ISNUMBER(H205),H205-TODAY(),"Check date"))</f>
        <v/>
      </c>
      <c r="L205" s="27">
        <f>IF(K205="","",IF(ISNUMBER(K205),IF(K205&lt;0,"Expired",IF(K205&lt;=30,"Due ≤30 days",IF(K205&lt;=90,"Due ≤90 days","OK"))),"Check date"))</f>
        <v/>
      </c>
      <c r="M205" s="21" t="n"/>
      <c r="N205" s="21" t="n"/>
      <c r="O205" s="21" t="n"/>
      <c r="P205" s="21" t="n"/>
    </row>
    <row r="206">
      <c r="A206" s="21" t="n"/>
      <c r="B206" s="21" t="n"/>
      <c r="C206" s="21" t="n"/>
      <c r="D206" s="21" t="n"/>
      <c r="E206" s="22" t="n"/>
      <c r="F206" s="21" t="n"/>
      <c r="G206" s="21" t="n"/>
      <c r="H206" s="23" t="n"/>
      <c r="I206" s="24" t="n"/>
      <c r="J206" s="25">
        <f>IF(ISNUMBER(H206),H206-IF(ISNUMBER(I206),I206,30),"")</f>
        <v/>
      </c>
      <c r="K206" s="26">
        <f>IF(H206="","",IF(ISNUMBER(H206),H206-TODAY(),"Check date"))</f>
        <v/>
      </c>
      <c r="L206" s="27">
        <f>IF(K206="","",IF(ISNUMBER(K206),IF(K206&lt;0,"Expired",IF(K206&lt;=30,"Due ≤30 days",IF(K206&lt;=90,"Due ≤90 days","OK"))),"Check date"))</f>
        <v/>
      </c>
      <c r="M206" s="21" t="n"/>
      <c r="N206" s="21" t="n"/>
      <c r="O206" s="21" t="n"/>
      <c r="P206" s="21" t="n"/>
    </row>
    <row r="207">
      <c r="A207" s="21" t="n"/>
      <c r="B207" s="21" t="n"/>
      <c r="C207" s="21" t="n"/>
      <c r="D207" s="21" t="n"/>
      <c r="E207" s="22" t="n"/>
      <c r="F207" s="21" t="n"/>
      <c r="G207" s="21" t="n"/>
      <c r="H207" s="23" t="n"/>
      <c r="I207" s="24" t="n"/>
      <c r="J207" s="25">
        <f>IF(ISNUMBER(H207),H207-IF(ISNUMBER(I207),I207,30),"")</f>
        <v/>
      </c>
      <c r="K207" s="26">
        <f>IF(H207="","",IF(ISNUMBER(H207),H207-TODAY(),"Check date"))</f>
        <v/>
      </c>
      <c r="L207" s="27">
        <f>IF(K207="","",IF(ISNUMBER(K207),IF(K207&lt;0,"Expired",IF(K207&lt;=30,"Due ≤30 days",IF(K207&lt;=90,"Due ≤90 days","OK"))),"Check date"))</f>
        <v/>
      </c>
      <c r="M207" s="21" t="n"/>
      <c r="N207" s="21" t="n"/>
      <c r="O207" s="21" t="n"/>
      <c r="P207" s="21" t="n"/>
    </row>
    <row r="208">
      <c r="A208" s="21" t="n"/>
      <c r="B208" s="21" t="n"/>
      <c r="C208" s="21" t="n"/>
      <c r="D208" s="21" t="n"/>
      <c r="E208" s="22" t="n"/>
      <c r="F208" s="21" t="n"/>
      <c r="G208" s="21" t="n"/>
      <c r="H208" s="23" t="n"/>
      <c r="I208" s="24" t="n"/>
      <c r="J208" s="25">
        <f>IF(ISNUMBER(H208),H208-IF(ISNUMBER(I208),I208,30),"")</f>
        <v/>
      </c>
      <c r="K208" s="26">
        <f>IF(H208="","",IF(ISNUMBER(H208),H208-TODAY(),"Check date"))</f>
        <v/>
      </c>
      <c r="L208" s="27">
        <f>IF(K208="","",IF(ISNUMBER(K208),IF(K208&lt;0,"Expired",IF(K208&lt;=30,"Due ≤30 days",IF(K208&lt;=90,"Due ≤90 days","OK"))),"Check date"))</f>
        <v/>
      </c>
      <c r="M208" s="21" t="n"/>
      <c r="N208" s="21" t="n"/>
      <c r="O208" s="21" t="n"/>
      <c r="P208" s="21" t="n"/>
    </row>
    <row r="209">
      <c r="A209" s="21" t="n"/>
      <c r="B209" s="21" t="n"/>
      <c r="C209" s="21" t="n"/>
      <c r="D209" s="21" t="n"/>
      <c r="E209" s="22" t="n"/>
      <c r="F209" s="21" t="n"/>
      <c r="G209" s="21" t="n"/>
      <c r="H209" s="23" t="n"/>
      <c r="I209" s="24" t="n"/>
      <c r="J209" s="25">
        <f>IF(ISNUMBER(H209),H209-IF(ISNUMBER(I209),I209,30),"")</f>
        <v/>
      </c>
      <c r="K209" s="26">
        <f>IF(H209="","",IF(ISNUMBER(H209),H209-TODAY(),"Check date"))</f>
        <v/>
      </c>
      <c r="L209" s="27">
        <f>IF(K209="","",IF(ISNUMBER(K209),IF(K209&lt;0,"Expired",IF(K209&lt;=30,"Due ≤30 days",IF(K209&lt;=90,"Due ≤90 days","OK"))),"Check date"))</f>
        <v/>
      </c>
      <c r="M209" s="21" t="n"/>
      <c r="N209" s="21" t="n"/>
      <c r="O209" s="21" t="n"/>
      <c r="P209" s="21" t="n"/>
    </row>
    <row r="210">
      <c r="A210" s="21" t="n"/>
      <c r="B210" s="21" t="n"/>
      <c r="C210" s="21" t="n"/>
      <c r="D210" s="21" t="n"/>
      <c r="E210" s="22" t="n"/>
      <c r="F210" s="21" t="n"/>
      <c r="G210" s="21" t="n"/>
      <c r="H210" s="23" t="n"/>
      <c r="I210" s="24" t="n"/>
      <c r="J210" s="25">
        <f>IF(ISNUMBER(H210),H210-IF(ISNUMBER(I210),I210,30),"")</f>
        <v/>
      </c>
      <c r="K210" s="26">
        <f>IF(H210="","",IF(ISNUMBER(H210),H210-TODAY(),"Check date"))</f>
        <v/>
      </c>
      <c r="L210" s="27">
        <f>IF(K210="","",IF(ISNUMBER(K210),IF(K210&lt;0,"Expired",IF(K210&lt;=30,"Due ≤30 days",IF(K210&lt;=90,"Due ≤90 days","OK"))),"Check date"))</f>
        <v/>
      </c>
      <c r="M210" s="21" t="n"/>
      <c r="N210" s="21" t="n"/>
      <c r="O210" s="21" t="n"/>
      <c r="P210" s="21" t="n"/>
    </row>
    <row r="211">
      <c r="A211" s="21" t="n"/>
      <c r="B211" s="21" t="n"/>
      <c r="C211" s="21" t="n"/>
      <c r="D211" s="21" t="n"/>
      <c r="E211" s="22" t="n"/>
      <c r="F211" s="21" t="n"/>
      <c r="G211" s="21" t="n"/>
      <c r="H211" s="23" t="n"/>
      <c r="I211" s="24" t="n"/>
      <c r="J211" s="25">
        <f>IF(ISNUMBER(H211),H211-IF(ISNUMBER(I211),I211,30),"")</f>
        <v/>
      </c>
      <c r="K211" s="26">
        <f>IF(H211="","",IF(ISNUMBER(H211),H211-TODAY(),"Check date"))</f>
        <v/>
      </c>
      <c r="L211" s="27">
        <f>IF(K211="","",IF(ISNUMBER(K211),IF(K211&lt;0,"Expired",IF(K211&lt;=30,"Due ≤30 days",IF(K211&lt;=90,"Due ≤90 days","OK"))),"Check date"))</f>
        <v/>
      </c>
      <c r="M211" s="21" t="n"/>
      <c r="N211" s="21" t="n"/>
      <c r="O211" s="21" t="n"/>
      <c r="P211" s="21" t="n"/>
    </row>
    <row r="212">
      <c r="A212" s="21" t="n"/>
      <c r="B212" s="21" t="n"/>
      <c r="C212" s="21" t="n"/>
      <c r="D212" s="21" t="n"/>
      <c r="E212" s="22" t="n"/>
      <c r="F212" s="21" t="n"/>
      <c r="G212" s="21" t="n"/>
      <c r="H212" s="23" t="n"/>
      <c r="I212" s="24" t="n"/>
      <c r="J212" s="25">
        <f>IF(ISNUMBER(H212),H212-IF(ISNUMBER(I212),I212,30),"")</f>
        <v/>
      </c>
      <c r="K212" s="26">
        <f>IF(H212="","",IF(ISNUMBER(H212),H212-TODAY(),"Check date"))</f>
        <v/>
      </c>
      <c r="L212" s="27">
        <f>IF(K212="","",IF(ISNUMBER(K212),IF(K212&lt;0,"Expired",IF(K212&lt;=30,"Due ≤30 days",IF(K212&lt;=90,"Due ≤90 days","OK"))),"Check date"))</f>
        <v/>
      </c>
      <c r="M212" s="21" t="n"/>
      <c r="N212" s="21" t="n"/>
      <c r="O212" s="21" t="n"/>
      <c r="P212" s="21" t="n"/>
    </row>
    <row r="213">
      <c r="A213" s="21" t="n"/>
      <c r="B213" s="21" t="n"/>
      <c r="C213" s="21" t="n"/>
      <c r="D213" s="21" t="n"/>
      <c r="E213" s="22" t="n"/>
      <c r="F213" s="21" t="n"/>
      <c r="G213" s="21" t="n"/>
      <c r="H213" s="23" t="n"/>
      <c r="I213" s="24" t="n"/>
      <c r="J213" s="25">
        <f>IF(ISNUMBER(H213),H213-IF(ISNUMBER(I213),I213,30),"")</f>
        <v/>
      </c>
      <c r="K213" s="26">
        <f>IF(H213="","",IF(ISNUMBER(H213),H213-TODAY(),"Check date"))</f>
        <v/>
      </c>
      <c r="L213" s="27">
        <f>IF(K213="","",IF(ISNUMBER(K213),IF(K213&lt;0,"Expired",IF(K213&lt;=30,"Due ≤30 days",IF(K213&lt;=90,"Due ≤90 days","OK"))),"Check date"))</f>
        <v/>
      </c>
      <c r="M213" s="21" t="n"/>
      <c r="N213" s="21" t="n"/>
      <c r="O213" s="21" t="n"/>
      <c r="P213" s="21" t="n"/>
    </row>
    <row r="214">
      <c r="A214" s="21" t="n"/>
      <c r="B214" s="21" t="n"/>
      <c r="C214" s="21" t="n"/>
      <c r="D214" s="21" t="n"/>
      <c r="E214" s="22" t="n"/>
      <c r="F214" s="21" t="n"/>
      <c r="G214" s="21" t="n"/>
      <c r="H214" s="23" t="n"/>
      <c r="I214" s="24" t="n"/>
      <c r="J214" s="25">
        <f>IF(ISNUMBER(H214),H214-IF(ISNUMBER(I214),I214,30),"")</f>
        <v/>
      </c>
      <c r="K214" s="26">
        <f>IF(H214="","",IF(ISNUMBER(H214),H214-TODAY(),"Check date"))</f>
        <v/>
      </c>
      <c r="L214" s="27">
        <f>IF(K214="","",IF(ISNUMBER(K214),IF(K214&lt;0,"Expired",IF(K214&lt;=30,"Due ≤30 days",IF(K214&lt;=90,"Due ≤90 days","OK"))),"Check date"))</f>
        <v/>
      </c>
      <c r="M214" s="21" t="n"/>
      <c r="N214" s="21" t="n"/>
      <c r="O214" s="21" t="n"/>
      <c r="P214" s="21" t="n"/>
    </row>
    <row r="215">
      <c r="A215" s="21" t="n"/>
      <c r="B215" s="21" t="n"/>
      <c r="C215" s="21" t="n"/>
      <c r="D215" s="21" t="n"/>
      <c r="E215" s="22" t="n"/>
      <c r="F215" s="21" t="n"/>
      <c r="G215" s="21" t="n"/>
      <c r="H215" s="23" t="n"/>
      <c r="I215" s="24" t="n"/>
      <c r="J215" s="25">
        <f>IF(ISNUMBER(H215),H215-IF(ISNUMBER(I215),I215,30),"")</f>
        <v/>
      </c>
      <c r="K215" s="26">
        <f>IF(H215="","",IF(ISNUMBER(H215),H215-TODAY(),"Check date"))</f>
        <v/>
      </c>
      <c r="L215" s="27">
        <f>IF(K215="","",IF(ISNUMBER(K215),IF(K215&lt;0,"Expired",IF(K215&lt;=30,"Due ≤30 days",IF(K215&lt;=90,"Due ≤90 days","OK"))),"Check date"))</f>
        <v/>
      </c>
      <c r="M215" s="21" t="n"/>
      <c r="N215" s="21" t="n"/>
      <c r="O215" s="21" t="n"/>
      <c r="P215" s="21" t="n"/>
    </row>
    <row r="216">
      <c r="A216" s="21" t="n"/>
      <c r="B216" s="21" t="n"/>
      <c r="C216" s="21" t="n"/>
      <c r="D216" s="21" t="n"/>
      <c r="E216" s="22" t="n"/>
      <c r="F216" s="21" t="n"/>
      <c r="G216" s="21" t="n"/>
      <c r="H216" s="23" t="n"/>
      <c r="I216" s="24" t="n"/>
      <c r="J216" s="25">
        <f>IF(ISNUMBER(H216),H216-IF(ISNUMBER(I216),I216,30),"")</f>
        <v/>
      </c>
      <c r="K216" s="26">
        <f>IF(H216="","",IF(ISNUMBER(H216),H216-TODAY(),"Check date"))</f>
        <v/>
      </c>
      <c r="L216" s="27">
        <f>IF(K216="","",IF(ISNUMBER(K216),IF(K216&lt;0,"Expired",IF(K216&lt;=30,"Due ≤30 days",IF(K216&lt;=90,"Due ≤90 days","OK"))),"Check date"))</f>
        <v/>
      </c>
      <c r="M216" s="21" t="n"/>
      <c r="N216" s="21" t="n"/>
      <c r="O216" s="21" t="n"/>
      <c r="P216" s="21" t="n"/>
    </row>
    <row r="217">
      <c r="A217" s="21" t="n"/>
      <c r="B217" s="21" t="n"/>
      <c r="C217" s="21" t="n"/>
      <c r="D217" s="21" t="n"/>
      <c r="E217" s="22" t="n"/>
      <c r="F217" s="21" t="n"/>
      <c r="G217" s="21" t="n"/>
      <c r="H217" s="23" t="n"/>
      <c r="I217" s="24" t="n"/>
      <c r="J217" s="25">
        <f>IF(ISNUMBER(H217),H217-IF(ISNUMBER(I217),I217,30),"")</f>
        <v/>
      </c>
      <c r="K217" s="26">
        <f>IF(H217="","",IF(ISNUMBER(H217),H217-TODAY(),"Check date"))</f>
        <v/>
      </c>
      <c r="L217" s="27">
        <f>IF(K217="","",IF(ISNUMBER(K217),IF(K217&lt;0,"Expired",IF(K217&lt;=30,"Due ≤30 days",IF(K217&lt;=90,"Due ≤90 days","OK"))),"Check date"))</f>
        <v/>
      </c>
      <c r="M217" s="21" t="n"/>
      <c r="N217" s="21" t="n"/>
      <c r="O217" s="21" t="n"/>
      <c r="P217" s="21" t="n"/>
    </row>
    <row r="218">
      <c r="A218" s="21" t="n"/>
      <c r="B218" s="21" t="n"/>
      <c r="C218" s="21" t="n"/>
      <c r="D218" s="21" t="n"/>
      <c r="E218" s="22" t="n"/>
      <c r="F218" s="21" t="n"/>
      <c r="G218" s="21" t="n"/>
      <c r="H218" s="23" t="n"/>
      <c r="I218" s="24" t="n"/>
      <c r="J218" s="25">
        <f>IF(ISNUMBER(H218),H218-IF(ISNUMBER(I218),I218,30),"")</f>
        <v/>
      </c>
      <c r="K218" s="26">
        <f>IF(H218="","",IF(ISNUMBER(H218),H218-TODAY(),"Check date"))</f>
        <v/>
      </c>
      <c r="L218" s="27">
        <f>IF(K218="","",IF(ISNUMBER(K218),IF(K218&lt;0,"Expired",IF(K218&lt;=30,"Due ≤30 days",IF(K218&lt;=90,"Due ≤90 days","OK"))),"Check date"))</f>
        <v/>
      </c>
      <c r="M218" s="21" t="n"/>
      <c r="N218" s="21" t="n"/>
      <c r="O218" s="21" t="n"/>
      <c r="P218" s="21" t="n"/>
    </row>
    <row r="219">
      <c r="A219" s="21" t="n"/>
      <c r="B219" s="21" t="n"/>
      <c r="C219" s="21" t="n"/>
      <c r="D219" s="21" t="n"/>
      <c r="E219" s="22" t="n"/>
      <c r="F219" s="21" t="n"/>
      <c r="G219" s="21" t="n"/>
      <c r="H219" s="23" t="n"/>
      <c r="I219" s="24" t="n"/>
      <c r="J219" s="25">
        <f>IF(ISNUMBER(H219),H219-IF(ISNUMBER(I219),I219,30),"")</f>
        <v/>
      </c>
      <c r="K219" s="26">
        <f>IF(H219="","",IF(ISNUMBER(H219),H219-TODAY(),"Check date"))</f>
        <v/>
      </c>
      <c r="L219" s="27">
        <f>IF(K219="","",IF(ISNUMBER(K219),IF(K219&lt;0,"Expired",IF(K219&lt;=30,"Due ≤30 days",IF(K219&lt;=90,"Due ≤90 days","OK"))),"Check date"))</f>
        <v/>
      </c>
      <c r="M219" s="21" t="n"/>
      <c r="N219" s="21" t="n"/>
      <c r="O219" s="21" t="n"/>
      <c r="P219" s="21" t="n"/>
    </row>
    <row r="220">
      <c r="A220" s="21" t="n"/>
      <c r="B220" s="21" t="n"/>
      <c r="C220" s="21" t="n"/>
      <c r="D220" s="21" t="n"/>
      <c r="E220" s="22" t="n"/>
      <c r="F220" s="21" t="n"/>
      <c r="G220" s="21" t="n"/>
      <c r="H220" s="23" t="n"/>
      <c r="I220" s="24" t="n"/>
      <c r="J220" s="25">
        <f>IF(ISNUMBER(H220),H220-IF(ISNUMBER(I220),I220,30),"")</f>
        <v/>
      </c>
      <c r="K220" s="26">
        <f>IF(H220="","",IF(ISNUMBER(H220),H220-TODAY(),"Check date"))</f>
        <v/>
      </c>
      <c r="L220" s="27">
        <f>IF(K220="","",IF(ISNUMBER(K220),IF(K220&lt;0,"Expired",IF(K220&lt;=30,"Due ≤30 days",IF(K220&lt;=90,"Due ≤90 days","OK"))),"Check date"))</f>
        <v/>
      </c>
      <c r="M220" s="21" t="n"/>
      <c r="N220" s="21" t="n"/>
      <c r="O220" s="21" t="n"/>
      <c r="P220" s="21" t="n"/>
    </row>
    <row r="221">
      <c r="A221" s="21" t="n"/>
      <c r="B221" s="21" t="n"/>
      <c r="C221" s="21" t="n"/>
      <c r="D221" s="21" t="n"/>
      <c r="E221" s="22" t="n"/>
      <c r="F221" s="21" t="n"/>
      <c r="G221" s="21" t="n"/>
      <c r="H221" s="23" t="n"/>
      <c r="I221" s="24" t="n"/>
      <c r="J221" s="25">
        <f>IF(ISNUMBER(H221),H221-IF(ISNUMBER(I221),I221,30),"")</f>
        <v/>
      </c>
      <c r="K221" s="26">
        <f>IF(H221="","",IF(ISNUMBER(H221),H221-TODAY(),"Check date"))</f>
        <v/>
      </c>
      <c r="L221" s="27">
        <f>IF(K221="","",IF(ISNUMBER(K221),IF(K221&lt;0,"Expired",IF(K221&lt;=30,"Due ≤30 days",IF(K221&lt;=90,"Due ≤90 days","OK"))),"Check date"))</f>
        <v/>
      </c>
      <c r="M221" s="21" t="n"/>
      <c r="N221" s="21" t="n"/>
      <c r="O221" s="21" t="n"/>
      <c r="P221" s="21" t="n"/>
    </row>
    <row r="222">
      <c r="A222" s="21" t="n"/>
      <c r="B222" s="21" t="n"/>
      <c r="C222" s="21" t="n"/>
      <c r="D222" s="21" t="n"/>
      <c r="E222" s="22" t="n"/>
      <c r="F222" s="21" t="n"/>
      <c r="G222" s="21" t="n"/>
      <c r="H222" s="23" t="n"/>
      <c r="I222" s="24" t="n"/>
      <c r="J222" s="25">
        <f>IF(ISNUMBER(H222),H222-IF(ISNUMBER(I222),I222,30),"")</f>
        <v/>
      </c>
      <c r="K222" s="26">
        <f>IF(H222="","",IF(ISNUMBER(H222),H222-TODAY(),"Check date"))</f>
        <v/>
      </c>
      <c r="L222" s="27">
        <f>IF(K222="","",IF(ISNUMBER(K222),IF(K222&lt;0,"Expired",IF(K222&lt;=30,"Due ≤30 days",IF(K222&lt;=90,"Due ≤90 days","OK"))),"Check date"))</f>
        <v/>
      </c>
      <c r="M222" s="21" t="n"/>
      <c r="N222" s="21" t="n"/>
      <c r="O222" s="21" t="n"/>
      <c r="P222" s="21" t="n"/>
    </row>
    <row r="223">
      <c r="A223" s="21" t="n"/>
      <c r="B223" s="21" t="n"/>
      <c r="C223" s="21" t="n"/>
      <c r="D223" s="21" t="n"/>
      <c r="E223" s="22" t="n"/>
      <c r="F223" s="21" t="n"/>
      <c r="G223" s="21" t="n"/>
      <c r="H223" s="23" t="n"/>
      <c r="I223" s="24" t="n"/>
      <c r="J223" s="25">
        <f>IF(ISNUMBER(H223),H223-IF(ISNUMBER(I223),I223,30),"")</f>
        <v/>
      </c>
      <c r="K223" s="26">
        <f>IF(H223="","",IF(ISNUMBER(H223),H223-TODAY(),"Check date"))</f>
        <v/>
      </c>
      <c r="L223" s="27">
        <f>IF(K223="","",IF(ISNUMBER(K223),IF(K223&lt;0,"Expired",IF(K223&lt;=30,"Due ≤30 days",IF(K223&lt;=90,"Due ≤90 days","OK"))),"Check date"))</f>
        <v/>
      </c>
      <c r="M223" s="21" t="n"/>
      <c r="N223" s="21" t="n"/>
      <c r="O223" s="21" t="n"/>
      <c r="P223" s="21" t="n"/>
    </row>
    <row r="224">
      <c r="A224" s="21" t="n"/>
      <c r="B224" s="21" t="n"/>
      <c r="C224" s="21" t="n"/>
      <c r="D224" s="21" t="n"/>
      <c r="E224" s="22" t="n"/>
      <c r="F224" s="21" t="n"/>
      <c r="G224" s="21" t="n"/>
      <c r="H224" s="23" t="n"/>
      <c r="I224" s="24" t="n"/>
      <c r="J224" s="25">
        <f>IF(ISNUMBER(H224),H224-IF(ISNUMBER(I224),I224,30),"")</f>
        <v/>
      </c>
      <c r="K224" s="26">
        <f>IF(H224="","",IF(ISNUMBER(H224),H224-TODAY(),"Check date"))</f>
        <v/>
      </c>
      <c r="L224" s="27">
        <f>IF(K224="","",IF(ISNUMBER(K224),IF(K224&lt;0,"Expired",IF(K224&lt;=30,"Due ≤30 days",IF(K224&lt;=90,"Due ≤90 days","OK"))),"Check date"))</f>
        <v/>
      </c>
      <c r="M224" s="21" t="n"/>
      <c r="N224" s="21" t="n"/>
      <c r="O224" s="21" t="n"/>
      <c r="P224" s="21" t="n"/>
    </row>
    <row r="225">
      <c r="A225" s="21" t="n"/>
      <c r="B225" s="21" t="n"/>
      <c r="C225" s="21" t="n"/>
      <c r="D225" s="21" t="n"/>
      <c r="E225" s="22" t="n"/>
      <c r="F225" s="21" t="n"/>
      <c r="G225" s="21" t="n"/>
      <c r="H225" s="23" t="n"/>
      <c r="I225" s="24" t="n"/>
      <c r="J225" s="25">
        <f>IF(ISNUMBER(H225),H225-IF(ISNUMBER(I225),I225,30),"")</f>
        <v/>
      </c>
      <c r="K225" s="26">
        <f>IF(H225="","",IF(ISNUMBER(H225),H225-TODAY(),"Check date"))</f>
        <v/>
      </c>
      <c r="L225" s="27">
        <f>IF(K225="","",IF(ISNUMBER(K225),IF(K225&lt;0,"Expired",IF(K225&lt;=30,"Due ≤30 days",IF(K225&lt;=90,"Due ≤90 days","OK"))),"Check date"))</f>
        <v/>
      </c>
      <c r="M225" s="21" t="n"/>
      <c r="N225" s="21" t="n"/>
      <c r="O225" s="21" t="n"/>
      <c r="P225" s="21" t="n"/>
    </row>
    <row r="226">
      <c r="A226" s="21" t="n"/>
      <c r="B226" s="21" t="n"/>
      <c r="C226" s="21" t="n"/>
      <c r="D226" s="21" t="n"/>
      <c r="E226" s="22" t="n"/>
      <c r="F226" s="21" t="n"/>
      <c r="G226" s="21" t="n"/>
      <c r="H226" s="23" t="n"/>
      <c r="I226" s="24" t="n"/>
      <c r="J226" s="25">
        <f>IF(ISNUMBER(H226),H226-IF(ISNUMBER(I226),I226,30),"")</f>
        <v/>
      </c>
      <c r="K226" s="26">
        <f>IF(H226="","",IF(ISNUMBER(H226),H226-TODAY(),"Check date"))</f>
        <v/>
      </c>
      <c r="L226" s="27">
        <f>IF(K226="","",IF(ISNUMBER(K226),IF(K226&lt;0,"Expired",IF(K226&lt;=30,"Due ≤30 days",IF(K226&lt;=90,"Due ≤90 days","OK"))),"Check date"))</f>
        <v/>
      </c>
      <c r="M226" s="21" t="n"/>
      <c r="N226" s="21" t="n"/>
      <c r="O226" s="21" t="n"/>
      <c r="P226" s="21" t="n"/>
    </row>
    <row r="227">
      <c r="A227" s="21" t="n"/>
      <c r="B227" s="21" t="n"/>
      <c r="C227" s="21" t="n"/>
      <c r="D227" s="21" t="n"/>
      <c r="E227" s="22" t="n"/>
      <c r="F227" s="21" t="n"/>
      <c r="G227" s="21" t="n"/>
      <c r="H227" s="23" t="n"/>
      <c r="I227" s="24" t="n"/>
      <c r="J227" s="25">
        <f>IF(ISNUMBER(H227),H227-IF(ISNUMBER(I227),I227,30),"")</f>
        <v/>
      </c>
      <c r="K227" s="26">
        <f>IF(H227="","",IF(ISNUMBER(H227),H227-TODAY(),"Check date"))</f>
        <v/>
      </c>
      <c r="L227" s="27">
        <f>IF(K227="","",IF(ISNUMBER(K227),IF(K227&lt;0,"Expired",IF(K227&lt;=30,"Due ≤30 days",IF(K227&lt;=90,"Due ≤90 days","OK"))),"Check date"))</f>
        <v/>
      </c>
      <c r="M227" s="21" t="n"/>
      <c r="N227" s="21" t="n"/>
      <c r="O227" s="21" t="n"/>
      <c r="P227" s="21" t="n"/>
    </row>
    <row r="228">
      <c r="A228" s="21" t="n"/>
      <c r="B228" s="21" t="n"/>
      <c r="C228" s="21" t="n"/>
      <c r="D228" s="21" t="n"/>
      <c r="E228" s="22" t="n"/>
      <c r="F228" s="21" t="n"/>
      <c r="G228" s="21" t="n"/>
      <c r="H228" s="23" t="n"/>
      <c r="I228" s="24" t="n"/>
      <c r="J228" s="25">
        <f>IF(ISNUMBER(H228),H228-IF(ISNUMBER(I228),I228,30),"")</f>
        <v/>
      </c>
      <c r="K228" s="26">
        <f>IF(H228="","",IF(ISNUMBER(H228),H228-TODAY(),"Check date"))</f>
        <v/>
      </c>
      <c r="L228" s="27">
        <f>IF(K228="","",IF(ISNUMBER(K228),IF(K228&lt;0,"Expired",IF(K228&lt;=30,"Due ≤30 days",IF(K228&lt;=90,"Due ≤90 days","OK"))),"Check date"))</f>
        <v/>
      </c>
      <c r="M228" s="21" t="n"/>
      <c r="N228" s="21" t="n"/>
      <c r="O228" s="21" t="n"/>
      <c r="P228" s="21" t="n"/>
    </row>
    <row r="229">
      <c r="A229" s="21" t="n"/>
      <c r="B229" s="21" t="n"/>
      <c r="C229" s="21" t="n"/>
      <c r="D229" s="21" t="n"/>
      <c r="E229" s="22" t="n"/>
      <c r="F229" s="21" t="n"/>
      <c r="G229" s="21" t="n"/>
      <c r="H229" s="23" t="n"/>
      <c r="I229" s="24" t="n"/>
      <c r="J229" s="25">
        <f>IF(ISNUMBER(H229),H229-IF(ISNUMBER(I229),I229,30),"")</f>
        <v/>
      </c>
      <c r="K229" s="26">
        <f>IF(H229="","",IF(ISNUMBER(H229),H229-TODAY(),"Check date"))</f>
        <v/>
      </c>
      <c r="L229" s="27">
        <f>IF(K229="","",IF(ISNUMBER(K229),IF(K229&lt;0,"Expired",IF(K229&lt;=30,"Due ≤30 days",IF(K229&lt;=90,"Due ≤90 days","OK"))),"Check date"))</f>
        <v/>
      </c>
      <c r="M229" s="21" t="n"/>
      <c r="N229" s="21" t="n"/>
      <c r="O229" s="21" t="n"/>
      <c r="P229" s="21" t="n"/>
    </row>
    <row r="230">
      <c r="A230" s="21" t="n"/>
      <c r="B230" s="21" t="n"/>
      <c r="C230" s="21" t="n"/>
      <c r="D230" s="21" t="n"/>
      <c r="E230" s="22" t="n"/>
      <c r="F230" s="21" t="n"/>
      <c r="G230" s="21" t="n"/>
      <c r="H230" s="23" t="n"/>
      <c r="I230" s="24" t="n"/>
      <c r="J230" s="25">
        <f>IF(ISNUMBER(H230),H230-IF(ISNUMBER(I230),I230,30),"")</f>
        <v/>
      </c>
      <c r="K230" s="26">
        <f>IF(H230="","",IF(ISNUMBER(H230),H230-TODAY(),"Check date"))</f>
        <v/>
      </c>
      <c r="L230" s="27">
        <f>IF(K230="","",IF(ISNUMBER(K230),IF(K230&lt;0,"Expired",IF(K230&lt;=30,"Due ≤30 days",IF(K230&lt;=90,"Due ≤90 days","OK"))),"Check date"))</f>
        <v/>
      </c>
      <c r="M230" s="21" t="n"/>
      <c r="N230" s="21" t="n"/>
      <c r="O230" s="21" t="n"/>
      <c r="P230" s="21" t="n"/>
    </row>
    <row r="231">
      <c r="A231" s="21" t="n"/>
      <c r="B231" s="21" t="n"/>
      <c r="C231" s="21" t="n"/>
      <c r="D231" s="21" t="n"/>
      <c r="E231" s="22" t="n"/>
      <c r="F231" s="21" t="n"/>
      <c r="G231" s="21" t="n"/>
      <c r="H231" s="23" t="n"/>
      <c r="I231" s="24" t="n"/>
      <c r="J231" s="25">
        <f>IF(ISNUMBER(H231),H231-IF(ISNUMBER(I231),I231,30),"")</f>
        <v/>
      </c>
      <c r="K231" s="26">
        <f>IF(H231="","",IF(ISNUMBER(H231),H231-TODAY(),"Check date"))</f>
        <v/>
      </c>
      <c r="L231" s="27">
        <f>IF(K231="","",IF(ISNUMBER(K231),IF(K231&lt;0,"Expired",IF(K231&lt;=30,"Due ≤30 days",IF(K231&lt;=90,"Due ≤90 days","OK"))),"Check date"))</f>
        <v/>
      </c>
      <c r="M231" s="21" t="n"/>
      <c r="N231" s="21" t="n"/>
      <c r="O231" s="21" t="n"/>
      <c r="P231" s="21" t="n"/>
    </row>
    <row r="232">
      <c r="A232" s="21" t="n"/>
      <c r="B232" s="21" t="n"/>
      <c r="C232" s="21" t="n"/>
      <c r="D232" s="21" t="n"/>
      <c r="E232" s="22" t="n"/>
      <c r="F232" s="21" t="n"/>
      <c r="G232" s="21" t="n"/>
      <c r="H232" s="23" t="n"/>
      <c r="I232" s="24" t="n"/>
      <c r="J232" s="25">
        <f>IF(ISNUMBER(H232),H232-IF(ISNUMBER(I232),I232,30),"")</f>
        <v/>
      </c>
      <c r="K232" s="26">
        <f>IF(H232="","",IF(ISNUMBER(H232),H232-TODAY(),"Check date"))</f>
        <v/>
      </c>
      <c r="L232" s="27">
        <f>IF(K232="","",IF(ISNUMBER(K232),IF(K232&lt;0,"Expired",IF(K232&lt;=30,"Due ≤30 days",IF(K232&lt;=90,"Due ≤90 days","OK"))),"Check date"))</f>
        <v/>
      </c>
      <c r="M232" s="21" t="n"/>
      <c r="N232" s="21" t="n"/>
      <c r="O232" s="21" t="n"/>
      <c r="P232" s="21" t="n"/>
    </row>
    <row r="233">
      <c r="A233" s="21" t="n"/>
      <c r="B233" s="21" t="n"/>
      <c r="C233" s="21" t="n"/>
      <c r="D233" s="21" t="n"/>
      <c r="E233" s="22" t="n"/>
      <c r="F233" s="21" t="n"/>
      <c r="G233" s="21" t="n"/>
      <c r="H233" s="23" t="n"/>
      <c r="I233" s="24" t="n"/>
      <c r="J233" s="25">
        <f>IF(ISNUMBER(H233),H233-IF(ISNUMBER(I233),I233,30),"")</f>
        <v/>
      </c>
      <c r="K233" s="26">
        <f>IF(H233="","",IF(ISNUMBER(H233),H233-TODAY(),"Check date"))</f>
        <v/>
      </c>
      <c r="L233" s="27">
        <f>IF(K233="","",IF(ISNUMBER(K233),IF(K233&lt;0,"Expired",IF(K233&lt;=30,"Due ≤30 days",IF(K233&lt;=90,"Due ≤90 days","OK"))),"Check date"))</f>
        <v/>
      </c>
      <c r="M233" s="21" t="n"/>
      <c r="N233" s="21" t="n"/>
      <c r="O233" s="21" t="n"/>
      <c r="P233" s="21" t="n"/>
    </row>
    <row r="234">
      <c r="A234" s="21" t="n"/>
      <c r="B234" s="21" t="n"/>
      <c r="C234" s="21" t="n"/>
      <c r="D234" s="21" t="n"/>
      <c r="E234" s="22" t="n"/>
      <c r="F234" s="21" t="n"/>
      <c r="G234" s="21" t="n"/>
      <c r="H234" s="23" t="n"/>
      <c r="I234" s="24" t="n"/>
      <c r="J234" s="25">
        <f>IF(ISNUMBER(H234),H234-IF(ISNUMBER(I234),I234,30),"")</f>
        <v/>
      </c>
      <c r="K234" s="26">
        <f>IF(H234="","",IF(ISNUMBER(H234),H234-TODAY(),"Check date"))</f>
        <v/>
      </c>
      <c r="L234" s="27">
        <f>IF(K234="","",IF(ISNUMBER(K234),IF(K234&lt;0,"Expired",IF(K234&lt;=30,"Due ≤30 days",IF(K234&lt;=90,"Due ≤90 days","OK"))),"Check date"))</f>
        <v/>
      </c>
      <c r="M234" s="21" t="n"/>
      <c r="N234" s="21" t="n"/>
      <c r="O234" s="21" t="n"/>
      <c r="P234" s="21" t="n"/>
    </row>
    <row r="235">
      <c r="A235" s="21" t="n"/>
      <c r="B235" s="21" t="n"/>
      <c r="C235" s="21" t="n"/>
      <c r="D235" s="21" t="n"/>
      <c r="E235" s="22" t="n"/>
      <c r="F235" s="21" t="n"/>
      <c r="G235" s="21" t="n"/>
      <c r="H235" s="23" t="n"/>
      <c r="I235" s="24" t="n"/>
      <c r="J235" s="25">
        <f>IF(ISNUMBER(H235),H235-IF(ISNUMBER(I235),I235,30),"")</f>
        <v/>
      </c>
      <c r="K235" s="26">
        <f>IF(H235="","",IF(ISNUMBER(H235),H235-TODAY(),"Check date"))</f>
        <v/>
      </c>
      <c r="L235" s="27">
        <f>IF(K235="","",IF(ISNUMBER(K235),IF(K235&lt;0,"Expired",IF(K235&lt;=30,"Due ≤30 days",IF(K235&lt;=90,"Due ≤90 days","OK"))),"Check date"))</f>
        <v/>
      </c>
      <c r="M235" s="21" t="n"/>
      <c r="N235" s="21" t="n"/>
      <c r="O235" s="21" t="n"/>
      <c r="P235" s="21" t="n"/>
    </row>
    <row r="236">
      <c r="A236" s="21" t="n"/>
      <c r="B236" s="21" t="n"/>
      <c r="C236" s="21" t="n"/>
      <c r="D236" s="21" t="n"/>
      <c r="E236" s="22" t="n"/>
      <c r="F236" s="21" t="n"/>
      <c r="G236" s="21" t="n"/>
      <c r="H236" s="23" t="n"/>
      <c r="I236" s="24" t="n"/>
      <c r="J236" s="25">
        <f>IF(ISNUMBER(H236),H236-IF(ISNUMBER(I236),I236,30),"")</f>
        <v/>
      </c>
      <c r="K236" s="26">
        <f>IF(H236="","",IF(ISNUMBER(H236),H236-TODAY(),"Check date"))</f>
        <v/>
      </c>
      <c r="L236" s="27">
        <f>IF(K236="","",IF(ISNUMBER(K236),IF(K236&lt;0,"Expired",IF(K236&lt;=30,"Due ≤30 days",IF(K236&lt;=90,"Due ≤90 days","OK"))),"Check date"))</f>
        <v/>
      </c>
      <c r="M236" s="21" t="n"/>
      <c r="N236" s="21" t="n"/>
      <c r="O236" s="21" t="n"/>
      <c r="P236" s="21" t="n"/>
    </row>
    <row r="237">
      <c r="A237" s="21" t="n"/>
      <c r="B237" s="21" t="n"/>
      <c r="C237" s="21" t="n"/>
      <c r="D237" s="21" t="n"/>
      <c r="E237" s="22" t="n"/>
      <c r="F237" s="21" t="n"/>
      <c r="G237" s="21" t="n"/>
      <c r="H237" s="23" t="n"/>
      <c r="I237" s="24" t="n"/>
      <c r="J237" s="25">
        <f>IF(ISNUMBER(H237),H237-IF(ISNUMBER(I237),I237,30),"")</f>
        <v/>
      </c>
      <c r="K237" s="26">
        <f>IF(H237="","",IF(ISNUMBER(H237),H237-TODAY(),"Check date"))</f>
        <v/>
      </c>
      <c r="L237" s="27">
        <f>IF(K237="","",IF(ISNUMBER(K237),IF(K237&lt;0,"Expired",IF(K237&lt;=30,"Due ≤30 days",IF(K237&lt;=90,"Due ≤90 days","OK"))),"Check date"))</f>
        <v/>
      </c>
      <c r="M237" s="21" t="n"/>
      <c r="N237" s="21" t="n"/>
      <c r="O237" s="21" t="n"/>
      <c r="P237" s="21" t="n"/>
    </row>
    <row r="238">
      <c r="A238" s="21" t="n"/>
      <c r="B238" s="21" t="n"/>
      <c r="C238" s="21" t="n"/>
      <c r="D238" s="21" t="n"/>
      <c r="E238" s="22" t="n"/>
      <c r="F238" s="21" t="n"/>
      <c r="G238" s="21" t="n"/>
      <c r="H238" s="23" t="n"/>
      <c r="I238" s="24" t="n"/>
      <c r="J238" s="25">
        <f>IF(ISNUMBER(H238),H238-IF(ISNUMBER(I238),I238,30),"")</f>
        <v/>
      </c>
      <c r="K238" s="26">
        <f>IF(H238="","",IF(ISNUMBER(H238),H238-TODAY(),"Check date"))</f>
        <v/>
      </c>
      <c r="L238" s="27">
        <f>IF(K238="","",IF(ISNUMBER(K238),IF(K238&lt;0,"Expired",IF(K238&lt;=30,"Due ≤30 days",IF(K238&lt;=90,"Due ≤90 days","OK"))),"Check date"))</f>
        <v/>
      </c>
      <c r="M238" s="21" t="n"/>
      <c r="N238" s="21" t="n"/>
      <c r="O238" s="21" t="n"/>
      <c r="P238" s="21" t="n"/>
    </row>
    <row r="239">
      <c r="A239" s="21" t="n"/>
      <c r="B239" s="21" t="n"/>
      <c r="C239" s="21" t="n"/>
      <c r="D239" s="21" t="n"/>
      <c r="E239" s="22" t="n"/>
      <c r="F239" s="21" t="n"/>
      <c r="G239" s="21" t="n"/>
      <c r="H239" s="23" t="n"/>
      <c r="I239" s="24" t="n"/>
      <c r="J239" s="25">
        <f>IF(ISNUMBER(H239),H239-IF(ISNUMBER(I239),I239,30),"")</f>
        <v/>
      </c>
      <c r="K239" s="26">
        <f>IF(H239="","",IF(ISNUMBER(H239),H239-TODAY(),"Check date"))</f>
        <v/>
      </c>
      <c r="L239" s="27">
        <f>IF(K239="","",IF(ISNUMBER(K239),IF(K239&lt;0,"Expired",IF(K239&lt;=30,"Due ≤30 days",IF(K239&lt;=90,"Due ≤90 days","OK"))),"Check date"))</f>
        <v/>
      </c>
      <c r="M239" s="21" t="n"/>
      <c r="N239" s="21" t="n"/>
      <c r="O239" s="21" t="n"/>
      <c r="P239" s="21" t="n"/>
    </row>
    <row r="240">
      <c r="A240" s="21" t="n"/>
      <c r="B240" s="21" t="n"/>
      <c r="C240" s="21" t="n"/>
      <c r="D240" s="21" t="n"/>
      <c r="E240" s="22" t="n"/>
      <c r="F240" s="21" t="n"/>
      <c r="G240" s="21" t="n"/>
      <c r="H240" s="23" t="n"/>
      <c r="I240" s="24" t="n"/>
      <c r="J240" s="25">
        <f>IF(ISNUMBER(H240),H240-IF(ISNUMBER(I240),I240,30),"")</f>
        <v/>
      </c>
      <c r="K240" s="26">
        <f>IF(H240="","",IF(ISNUMBER(H240),H240-TODAY(),"Check date"))</f>
        <v/>
      </c>
      <c r="L240" s="27">
        <f>IF(K240="","",IF(ISNUMBER(K240),IF(K240&lt;0,"Expired",IF(K240&lt;=30,"Due ≤30 days",IF(K240&lt;=90,"Due ≤90 days","OK"))),"Check date"))</f>
        <v/>
      </c>
      <c r="M240" s="21" t="n"/>
      <c r="N240" s="21" t="n"/>
      <c r="O240" s="21" t="n"/>
      <c r="P240" s="21" t="n"/>
    </row>
    <row r="241">
      <c r="A241" s="21" t="n"/>
      <c r="B241" s="21" t="n"/>
      <c r="C241" s="21" t="n"/>
      <c r="D241" s="21" t="n"/>
      <c r="E241" s="22" t="n"/>
      <c r="F241" s="21" t="n"/>
      <c r="G241" s="21" t="n"/>
      <c r="H241" s="23" t="n"/>
      <c r="I241" s="24" t="n"/>
      <c r="J241" s="25">
        <f>IF(ISNUMBER(H241),H241-IF(ISNUMBER(I241),I241,30),"")</f>
        <v/>
      </c>
      <c r="K241" s="26">
        <f>IF(H241="","",IF(ISNUMBER(H241),H241-TODAY(),"Check date"))</f>
        <v/>
      </c>
      <c r="L241" s="27">
        <f>IF(K241="","",IF(ISNUMBER(K241),IF(K241&lt;0,"Expired",IF(K241&lt;=30,"Due ≤30 days",IF(K241&lt;=90,"Due ≤90 days","OK"))),"Check date"))</f>
        <v/>
      </c>
      <c r="M241" s="21" t="n"/>
      <c r="N241" s="21" t="n"/>
      <c r="O241" s="21" t="n"/>
      <c r="P241" s="21" t="n"/>
    </row>
    <row r="242">
      <c r="A242" s="21" t="n"/>
      <c r="B242" s="21" t="n"/>
      <c r="C242" s="21" t="n"/>
      <c r="D242" s="21" t="n"/>
      <c r="E242" s="22" t="n"/>
      <c r="F242" s="21" t="n"/>
      <c r="G242" s="21" t="n"/>
      <c r="H242" s="23" t="n"/>
      <c r="I242" s="24" t="n"/>
      <c r="J242" s="25">
        <f>IF(ISNUMBER(H242),H242-IF(ISNUMBER(I242),I242,30),"")</f>
        <v/>
      </c>
      <c r="K242" s="26">
        <f>IF(H242="","",IF(ISNUMBER(H242),H242-TODAY(),"Check date"))</f>
        <v/>
      </c>
      <c r="L242" s="27">
        <f>IF(K242="","",IF(ISNUMBER(K242),IF(K242&lt;0,"Expired",IF(K242&lt;=30,"Due ≤30 days",IF(K242&lt;=90,"Due ≤90 days","OK"))),"Check date"))</f>
        <v/>
      </c>
      <c r="M242" s="21" t="n"/>
      <c r="N242" s="21" t="n"/>
      <c r="O242" s="21" t="n"/>
      <c r="P242" s="21" t="n"/>
    </row>
    <row r="243">
      <c r="A243" s="21" t="n"/>
      <c r="B243" s="21" t="n"/>
      <c r="C243" s="21" t="n"/>
      <c r="D243" s="21" t="n"/>
      <c r="E243" s="22" t="n"/>
      <c r="F243" s="21" t="n"/>
      <c r="G243" s="21" t="n"/>
      <c r="H243" s="23" t="n"/>
      <c r="I243" s="24" t="n"/>
      <c r="J243" s="25">
        <f>IF(ISNUMBER(H243),H243-IF(ISNUMBER(I243),I243,30),"")</f>
        <v/>
      </c>
      <c r="K243" s="26">
        <f>IF(H243="","",IF(ISNUMBER(H243),H243-TODAY(),"Check date"))</f>
        <v/>
      </c>
      <c r="L243" s="27">
        <f>IF(K243="","",IF(ISNUMBER(K243),IF(K243&lt;0,"Expired",IF(K243&lt;=30,"Due ≤30 days",IF(K243&lt;=90,"Due ≤90 days","OK"))),"Check date"))</f>
        <v/>
      </c>
      <c r="M243" s="21" t="n"/>
      <c r="N243" s="21" t="n"/>
      <c r="O243" s="21" t="n"/>
      <c r="P243" s="21" t="n"/>
    </row>
    <row r="244">
      <c r="A244" s="21" t="n"/>
      <c r="B244" s="21" t="n"/>
      <c r="C244" s="21" t="n"/>
      <c r="D244" s="21" t="n"/>
      <c r="E244" s="22" t="n"/>
      <c r="F244" s="21" t="n"/>
      <c r="G244" s="21" t="n"/>
      <c r="H244" s="23" t="n"/>
      <c r="I244" s="24" t="n"/>
      <c r="J244" s="25">
        <f>IF(ISNUMBER(H244),H244-IF(ISNUMBER(I244),I244,30),"")</f>
        <v/>
      </c>
      <c r="K244" s="26">
        <f>IF(H244="","",IF(ISNUMBER(H244),H244-TODAY(),"Check date"))</f>
        <v/>
      </c>
      <c r="L244" s="27">
        <f>IF(K244="","",IF(ISNUMBER(K244),IF(K244&lt;0,"Expired",IF(K244&lt;=30,"Due ≤30 days",IF(K244&lt;=90,"Due ≤90 days","OK"))),"Check date"))</f>
        <v/>
      </c>
      <c r="M244" s="21" t="n"/>
      <c r="N244" s="21" t="n"/>
      <c r="O244" s="21" t="n"/>
      <c r="P244" s="21" t="n"/>
    </row>
    <row r="245">
      <c r="A245" s="21" t="n"/>
      <c r="B245" s="21" t="n"/>
      <c r="C245" s="21" t="n"/>
      <c r="D245" s="21" t="n"/>
      <c r="E245" s="22" t="n"/>
      <c r="F245" s="21" t="n"/>
      <c r="G245" s="21" t="n"/>
      <c r="H245" s="23" t="n"/>
      <c r="I245" s="24" t="n"/>
      <c r="J245" s="25">
        <f>IF(ISNUMBER(H245),H245-IF(ISNUMBER(I245),I245,30),"")</f>
        <v/>
      </c>
      <c r="K245" s="26">
        <f>IF(H245="","",IF(ISNUMBER(H245),H245-TODAY(),"Check date"))</f>
        <v/>
      </c>
      <c r="L245" s="27">
        <f>IF(K245="","",IF(ISNUMBER(K245),IF(K245&lt;0,"Expired",IF(K245&lt;=30,"Due ≤30 days",IF(K245&lt;=90,"Due ≤90 days","OK"))),"Check date"))</f>
        <v/>
      </c>
      <c r="M245" s="21" t="n"/>
      <c r="N245" s="21" t="n"/>
      <c r="O245" s="21" t="n"/>
      <c r="P245" s="21" t="n"/>
    </row>
    <row r="246">
      <c r="A246" s="21" t="n"/>
      <c r="B246" s="21" t="n"/>
      <c r="C246" s="21" t="n"/>
      <c r="D246" s="21" t="n"/>
      <c r="E246" s="22" t="n"/>
      <c r="F246" s="21" t="n"/>
      <c r="G246" s="21" t="n"/>
      <c r="H246" s="23" t="n"/>
      <c r="I246" s="24" t="n"/>
      <c r="J246" s="25">
        <f>IF(ISNUMBER(H246),H246-IF(ISNUMBER(I246),I246,30),"")</f>
        <v/>
      </c>
      <c r="K246" s="26">
        <f>IF(H246="","",IF(ISNUMBER(H246),H246-TODAY(),"Check date"))</f>
        <v/>
      </c>
      <c r="L246" s="27">
        <f>IF(K246="","",IF(ISNUMBER(K246),IF(K246&lt;0,"Expired",IF(K246&lt;=30,"Due ≤30 days",IF(K246&lt;=90,"Due ≤90 days","OK"))),"Check date"))</f>
        <v/>
      </c>
      <c r="M246" s="21" t="n"/>
      <c r="N246" s="21" t="n"/>
      <c r="O246" s="21" t="n"/>
      <c r="P246" s="21" t="n"/>
    </row>
    <row r="247">
      <c r="A247" s="21" t="n"/>
      <c r="B247" s="21" t="n"/>
      <c r="C247" s="21" t="n"/>
      <c r="D247" s="21" t="n"/>
      <c r="E247" s="22" t="n"/>
      <c r="F247" s="21" t="n"/>
      <c r="G247" s="21" t="n"/>
      <c r="H247" s="23" t="n"/>
      <c r="I247" s="24" t="n"/>
      <c r="J247" s="25">
        <f>IF(ISNUMBER(H247),H247-IF(ISNUMBER(I247),I247,30),"")</f>
        <v/>
      </c>
      <c r="K247" s="26">
        <f>IF(H247="","",IF(ISNUMBER(H247),H247-TODAY(),"Check date"))</f>
        <v/>
      </c>
      <c r="L247" s="27">
        <f>IF(K247="","",IF(ISNUMBER(K247),IF(K247&lt;0,"Expired",IF(K247&lt;=30,"Due ≤30 days",IF(K247&lt;=90,"Due ≤90 days","OK"))),"Check date"))</f>
        <v/>
      </c>
      <c r="M247" s="21" t="n"/>
      <c r="N247" s="21" t="n"/>
      <c r="O247" s="21" t="n"/>
      <c r="P247" s="21" t="n"/>
    </row>
    <row r="248">
      <c r="A248" s="21" t="n"/>
      <c r="B248" s="21" t="n"/>
      <c r="C248" s="21" t="n"/>
      <c r="D248" s="21" t="n"/>
      <c r="E248" s="22" t="n"/>
      <c r="F248" s="21" t="n"/>
      <c r="G248" s="21" t="n"/>
      <c r="H248" s="23" t="n"/>
      <c r="I248" s="24" t="n"/>
      <c r="J248" s="25">
        <f>IF(ISNUMBER(H248),H248-IF(ISNUMBER(I248),I248,30),"")</f>
        <v/>
      </c>
      <c r="K248" s="26">
        <f>IF(H248="","",IF(ISNUMBER(H248),H248-TODAY(),"Check date"))</f>
        <v/>
      </c>
      <c r="L248" s="27">
        <f>IF(K248="","",IF(ISNUMBER(K248),IF(K248&lt;0,"Expired",IF(K248&lt;=30,"Due ≤30 days",IF(K248&lt;=90,"Due ≤90 days","OK"))),"Check date"))</f>
        <v/>
      </c>
      <c r="M248" s="21" t="n"/>
      <c r="N248" s="21" t="n"/>
      <c r="O248" s="21" t="n"/>
      <c r="P248" s="21" t="n"/>
    </row>
    <row r="249">
      <c r="A249" s="21" t="n"/>
      <c r="B249" s="21" t="n"/>
      <c r="C249" s="21" t="n"/>
      <c r="D249" s="21" t="n"/>
      <c r="E249" s="22" t="n"/>
      <c r="F249" s="21" t="n"/>
      <c r="G249" s="21" t="n"/>
      <c r="H249" s="23" t="n"/>
      <c r="I249" s="24" t="n"/>
      <c r="J249" s="25">
        <f>IF(ISNUMBER(H249),H249-IF(ISNUMBER(I249),I249,30),"")</f>
        <v/>
      </c>
      <c r="K249" s="26">
        <f>IF(H249="","",IF(ISNUMBER(H249),H249-TODAY(),"Check date"))</f>
        <v/>
      </c>
      <c r="L249" s="27">
        <f>IF(K249="","",IF(ISNUMBER(K249),IF(K249&lt;0,"Expired",IF(K249&lt;=30,"Due ≤30 days",IF(K249&lt;=90,"Due ≤90 days","OK"))),"Check date"))</f>
        <v/>
      </c>
      <c r="M249" s="21" t="n"/>
      <c r="N249" s="21" t="n"/>
      <c r="O249" s="21" t="n"/>
      <c r="P249" s="21" t="n"/>
    </row>
    <row r="250">
      <c r="A250" s="21" t="n"/>
      <c r="B250" s="21" t="n"/>
      <c r="C250" s="21" t="n"/>
      <c r="D250" s="21" t="n"/>
      <c r="E250" s="22" t="n"/>
      <c r="F250" s="21" t="n"/>
      <c r="G250" s="21" t="n"/>
      <c r="H250" s="23" t="n"/>
      <c r="I250" s="24" t="n"/>
      <c r="J250" s="25">
        <f>IF(ISNUMBER(H250),H250-IF(ISNUMBER(I250),I250,30),"")</f>
        <v/>
      </c>
      <c r="K250" s="26">
        <f>IF(H250="","",IF(ISNUMBER(H250),H250-TODAY(),"Check date"))</f>
        <v/>
      </c>
      <c r="L250" s="27">
        <f>IF(K250="","",IF(ISNUMBER(K250),IF(K250&lt;0,"Expired",IF(K250&lt;=30,"Due ≤30 days",IF(K250&lt;=90,"Due ≤90 days","OK"))),"Check date"))</f>
        <v/>
      </c>
      <c r="M250" s="21" t="n"/>
      <c r="N250" s="21" t="n"/>
      <c r="O250" s="21" t="n"/>
      <c r="P250" s="21" t="n"/>
    </row>
    <row r="251">
      <c r="A251" s="21" t="n"/>
      <c r="B251" s="21" t="n"/>
      <c r="C251" s="21" t="n"/>
      <c r="D251" s="21" t="n"/>
      <c r="E251" s="22" t="n"/>
      <c r="F251" s="21" t="n"/>
      <c r="G251" s="21" t="n"/>
      <c r="H251" s="23" t="n"/>
      <c r="I251" s="24" t="n"/>
      <c r="J251" s="25">
        <f>IF(ISNUMBER(H251),H251-IF(ISNUMBER(I251),I251,30),"")</f>
        <v/>
      </c>
      <c r="K251" s="26">
        <f>IF(H251="","",IF(ISNUMBER(H251),H251-TODAY(),"Check date"))</f>
        <v/>
      </c>
      <c r="L251" s="27">
        <f>IF(K251="","",IF(ISNUMBER(K251),IF(K251&lt;0,"Expired",IF(K251&lt;=30,"Due ≤30 days",IF(K251&lt;=90,"Due ≤90 days","OK"))),"Check date"))</f>
        <v/>
      </c>
      <c r="M251" s="21" t="n"/>
      <c r="N251" s="21" t="n"/>
      <c r="O251" s="21" t="n"/>
      <c r="P251" s="21" t="n"/>
    </row>
    <row r="252">
      <c r="A252" s="21" t="n"/>
      <c r="B252" s="21" t="n"/>
      <c r="C252" s="21" t="n"/>
      <c r="D252" s="21" t="n"/>
      <c r="E252" s="22" t="n"/>
      <c r="F252" s="21" t="n"/>
      <c r="G252" s="21" t="n"/>
      <c r="H252" s="23" t="n"/>
      <c r="I252" s="24" t="n"/>
      <c r="J252" s="25">
        <f>IF(ISNUMBER(H252),H252-IF(ISNUMBER(I252),I252,30),"")</f>
        <v/>
      </c>
      <c r="K252" s="26">
        <f>IF(H252="","",IF(ISNUMBER(H252),H252-TODAY(),"Check date"))</f>
        <v/>
      </c>
      <c r="L252" s="27">
        <f>IF(K252="","",IF(ISNUMBER(K252),IF(K252&lt;0,"Expired",IF(K252&lt;=30,"Due ≤30 days",IF(K252&lt;=90,"Due ≤90 days","OK"))),"Check date"))</f>
        <v/>
      </c>
      <c r="M252" s="21" t="n"/>
      <c r="N252" s="21" t="n"/>
      <c r="O252" s="21" t="n"/>
      <c r="P252" s="21" t="n"/>
    </row>
    <row r="253">
      <c r="A253" s="21" t="n"/>
      <c r="B253" s="21" t="n"/>
      <c r="C253" s="21" t="n"/>
      <c r="D253" s="21" t="n"/>
      <c r="E253" s="22" t="n"/>
      <c r="F253" s="21" t="n"/>
      <c r="G253" s="21" t="n"/>
      <c r="H253" s="23" t="n"/>
      <c r="I253" s="24" t="n"/>
      <c r="J253" s="25">
        <f>IF(ISNUMBER(H253),H253-IF(ISNUMBER(I253),I253,30),"")</f>
        <v/>
      </c>
      <c r="K253" s="26">
        <f>IF(H253="","",IF(ISNUMBER(H253),H253-TODAY(),"Check date"))</f>
        <v/>
      </c>
      <c r="L253" s="27">
        <f>IF(K253="","",IF(ISNUMBER(K253),IF(K253&lt;0,"Expired",IF(K253&lt;=30,"Due ≤30 days",IF(K253&lt;=90,"Due ≤90 days","OK"))),"Check date"))</f>
        <v/>
      </c>
      <c r="M253" s="21" t="n"/>
      <c r="N253" s="21" t="n"/>
      <c r="O253" s="21" t="n"/>
      <c r="P253" s="21" t="n"/>
    </row>
    <row r="254">
      <c r="A254" s="21" t="n"/>
      <c r="B254" s="21" t="n"/>
      <c r="C254" s="21" t="n"/>
      <c r="D254" s="21" t="n"/>
      <c r="E254" s="22" t="n"/>
      <c r="F254" s="21" t="n"/>
      <c r="G254" s="21" t="n"/>
      <c r="H254" s="23" t="n"/>
      <c r="I254" s="24" t="n"/>
      <c r="J254" s="25">
        <f>IF(ISNUMBER(H254),H254-IF(ISNUMBER(I254),I254,30),"")</f>
        <v/>
      </c>
      <c r="K254" s="26">
        <f>IF(H254="","",IF(ISNUMBER(H254),H254-TODAY(),"Check date"))</f>
        <v/>
      </c>
      <c r="L254" s="27">
        <f>IF(K254="","",IF(ISNUMBER(K254),IF(K254&lt;0,"Expired",IF(K254&lt;=30,"Due ≤30 days",IF(K254&lt;=90,"Due ≤90 days","OK"))),"Check date"))</f>
        <v/>
      </c>
      <c r="M254" s="21" t="n"/>
      <c r="N254" s="21" t="n"/>
      <c r="O254" s="21" t="n"/>
      <c r="P254" s="21" t="n"/>
    </row>
    <row r="255">
      <c r="A255" s="21" t="n"/>
      <c r="B255" s="21" t="n"/>
      <c r="C255" s="21" t="n"/>
      <c r="D255" s="21" t="n"/>
      <c r="E255" s="22" t="n"/>
      <c r="F255" s="21" t="n"/>
      <c r="G255" s="21" t="n"/>
      <c r="H255" s="23" t="n"/>
      <c r="I255" s="24" t="n"/>
      <c r="J255" s="25">
        <f>IF(ISNUMBER(H255),H255-IF(ISNUMBER(I255),I255,30),"")</f>
        <v/>
      </c>
      <c r="K255" s="26">
        <f>IF(H255="","",IF(ISNUMBER(H255),H255-TODAY(),"Check date"))</f>
        <v/>
      </c>
      <c r="L255" s="27">
        <f>IF(K255="","",IF(ISNUMBER(K255),IF(K255&lt;0,"Expired",IF(K255&lt;=30,"Due ≤30 days",IF(K255&lt;=90,"Due ≤90 days","OK"))),"Check date"))</f>
        <v/>
      </c>
      <c r="M255" s="21" t="n"/>
      <c r="N255" s="21" t="n"/>
      <c r="O255" s="21" t="n"/>
      <c r="P255" s="21" t="n"/>
    </row>
    <row r="256">
      <c r="A256" s="21" t="n"/>
      <c r="B256" s="21" t="n"/>
      <c r="C256" s="21" t="n"/>
      <c r="D256" s="21" t="n"/>
      <c r="E256" s="22" t="n"/>
      <c r="F256" s="21" t="n"/>
      <c r="G256" s="21" t="n"/>
      <c r="H256" s="23" t="n"/>
      <c r="I256" s="24" t="n"/>
      <c r="J256" s="25">
        <f>IF(ISNUMBER(H256),H256-IF(ISNUMBER(I256),I256,30),"")</f>
        <v/>
      </c>
      <c r="K256" s="26">
        <f>IF(H256="","",IF(ISNUMBER(H256),H256-TODAY(),"Check date"))</f>
        <v/>
      </c>
      <c r="L256" s="27">
        <f>IF(K256="","",IF(ISNUMBER(K256),IF(K256&lt;0,"Expired",IF(K256&lt;=30,"Due ≤30 days",IF(K256&lt;=90,"Due ≤90 days","OK"))),"Check date"))</f>
        <v/>
      </c>
      <c r="M256" s="21" t="n"/>
      <c r="N256" s="21" t="n"/>
      <c r="O256" s="21" t="n"/>
      <c r="P256" s="21" t="n"/>
    </row>
    <row r="257">
      <c r="A257" s="21" t="n"/>
      <c r="B257" s="21" t="n"/>
      <c r="C257" s="21" t="n"/>
      <c r="D257" s="21" t="n"/>
      <c r="E257" s="22" t="n"/>
      <c r="F257" s="21" t="n"/>
      <c r="G257" s="21" t="n"/>
      <c r="H257" s="23" t="n"/>
      <c r="I257" s="24" t="n"/>
      <c r="J257" s="25">
        <f>IF(ISNUMBER(H257),H257-IF(ISNUMBER(I257),I257,30),"")</f>
        <v/>
      </c>
      <c r="K257" s="26">
        <f>IF(H257="","",IF(ISNUMBER(H257),H257-TODAY(),"Check date"))</f>
        <v/>
      </c>
      <c r="L257" s="27">
        <f>IF(K257="","",IF(ISNUMBER(K257),IF(K257&lt;0,"Expired",IF(K257&lt;=30,"Due ≤30 days",IF(K257&lt;=90,"Due ≤90 days","OK"))),"Check date"))</f>
        <v/>
      </c>
      <c r="M257" s="21" t="n"/>
      <c r="N257" s="21" t="n"/>
      <c r="O257" s="21" t="n"/>
      <c r="P257" s="21" t="n"/>
    </row>
    <row r="258">
      <c r="A258" s="21" t="n"/>
      <c r="B258" s="21" t="n"/>
      <c r="C258" s="21" t="n"/>
      <c r="D258" s="21" t="n"/>
      <c r="E258" s="22" t="n"/>
      <c r="F258" s="21" t="n"/>
      <c r="G258" s="21" t="n"/>
      <c r="H258" s="23" t="n"/>
      <c r="I258" s="24" t="n"/>
      <c r="J258" s="25">
        <f>IF(ISNUMBER(H258),H258-IF(ISNUMBER(I258),I258,30),"")</f>
        <v/>
      </c>
      <c r="K258" s="26">
        <f>IF(H258="","",IF(ISNUMBER(H258),H258-TODAY(),"Check date"))</f>
        <v/>
      </c>
      <c r="L258" s="27">
        <f>IF(K258="","",IF(ISNUMBER(K258),IF(K258&lt;0,"Expired",IF(K258&lt;=30,"Due ≤30 days",IF(K258&lt;=90,"Due ≤90 days","OK"))),"Check date"))</f>
        <v/>
      </c>
      <c r="M258" s="21" t="n"/>
      <c r="N258" s="21" t="n"/>
      <c r="O258" s="21" t="n"/>
      <c r="P258" s="21" t="n"/>
    </row>
    <row r="259">
      <c r="A259" s="21" t="n"/>
      <c r="B259" s="21" t="n"/>
      <c r="C259" s="21" t="n"/>
      <c r="D259" s="21" t="n"/>
      <c r="E259" s="22" t="n"/>
      <c r="F259" s="21" t="n"/>
      <c r="G259" s="21" t="n"/>
      <c r="H259" s="23" t="n"/>
      <c r="I259" s="24" t="n"/>
      <c r="J259" s="25">
        <f>IF(ISNUMBER(H259),H259-IF(ISNUMBER(I259),I259,30),"")</f>
        <v/>
      </c>
      <c r="K259" s="26">
        <f>IF(H259="","",IF(ISNUMBER(H259),H259-TODAY(),"Check date"))</f>
        <v/>
      </c>
      <c r="L259" s="27">
        <f>IF(K259="","",IF(ISNUMBER(K259),IF(K259&lt;0,"Expired",IF(K259&lt;=30,"Due ≤30 days",IF(K259&lt;=90,"Due ≤90 days","OK"))),"Check date"))</f>
        <v/>
      </c>
      <c r="M259" s="21" t="n"/>
      <c r="N259" s="21" t="n"/>
      <c r="O259" s="21" t="n"/>
      <c r="P259" s="21" t="n"/>
    </row>
    <row r="260">
      <c r="A260" s="21" t="n"/>
      <c r="B260" s="21" t="n"/>
      <c r="C260" s="21" t="n"/>
      <c r="D260" s="21" t="n"/>
      <c r="E260" s="22" t="n"/>
      <c r="F260" s="21" t="n"/>
      <c r="G260" s="21" t="n"/>
      <c r="H260" s="23" t="n"/>
      <c r="I260" s="24" t="n"/>
      <c r="J260" s="25">
        <f>IF(ISNUMBER(H260),H260-IF(ISNUMBER(I260),I260,30),"")</f>
        <v/>
      </c>
      <c r="K260" s="26">
        <f>IF(H260="","",IF(ISNUMBER(H260),H260-TODAY(),"Check date"))</f>
        <v/>
      </c>
      <c r="L260" s="27">
        <f>IF(K260="","",IF(ISNUMBER(K260),IF(K260&lt;0,"Expired",IF(K260&lt;=30,"Due ≤30 days",IF(K260&lt;=90,"Due ≤90 days","OK"))),"Check date"))</f>
        <v/>
      </c>
      <c r="M260" s="21" t="n"/>
      <c r="N260" s="21" t="n"/>
      <c r="O260" s="21" t="n"/>
      <c r="P260" s="21" t="n"/>
    </row>
    <row r="261">
      <c r="A261" s="21" t="n"/>
      <c r="B261" s="21" t="n"/>
      <c r="C261" s="21" t="n"/>
      <c r="D261" s="21" t="n"/>
      <c r="E261" s="22" t="n"/>
      <c r="F261" s="21" t="n"/>
      <c r="G261" s="21" t="n"/>
      <c r="H261" s="23" t="n"/>
      <c r="I261" s="24" t="n"/>
      <c r="J261" s="25">
        <f>IF(ISNUMBER(H261),H261-IF(ISNUMBER(I261),I261,30),"")</f>
        <v/>
      </c>
      <c r="K261" s="26">
        <f>IF(H261="","",IF(ISNUMBER(H261),H261-TODAY(),"Check date"))</f>
        <v/>
      </c>
      <c r="L261" s="27">
        <f>IF(K261="","",IF(ISNUMBER(K261),IF(K261&lt;0,"Expired",IF(K261&lt;=30,"Due ≤30 days",IF(K261&lt;=90,"Due ≤90 days","OK"))),"Check date"))</f>
        <v/>
      </c>
      <c r="M261" s="21" t="n"/>
      <c r="N261" s="21" t="n"/>
      <c r="O261" s="21" t="n"/>
      <c r="P261" s="21" t="n"/>
    </row>
    <row r="262">
      <c r="A262" s="21" t="n"/>
      <c r="B262" s="21" t="n"/>
      <c r="C262" s="21" t="n"/>
      <c r="D262" s="21" t="n"/>
      <c r="E262" s="22" t="n"/>
      <c r="F262" s="21" t="n"/>
      <c r="G262" s="21" t="n"/>
      <c r="H262" s="23" t="n"/>
      <c r="I262" s="24" t="n"/>
      <c r="J262" s="25">
        <f>IF(ISNUMBER(H262),H262-IF(ISNUMBER(I262),I262,30),"")</f>
        <v/>
      </c>
      <c r="K262" s="26">
        <f>IF(H262="","",IF(ISNUMBER(H262),H262-TODAY(),"Check date"))</f>
        <v/>
      </c>
      <c r="L262" s="27">
        <f>IF(K262="","",IF(ISNUMBER(K262),IF(K262&lt;0,"Expired",IF(K262&lt;=30,"Due ≤30 days",IF(K262&lt;=90,"Due ≤90 days","OK"))),"Check date"))</f>
        <v/>
      </c>
      <c r="M262" s="21" t="n"/>
      <c r="N262" s="21" t="n"/>
      <c r="O262" s="21" t="n"/>
      <c r="P262" s="21" t="n"/>
    </row>
    <row r="263">
      <c r="A263" s="21" t="n"/>
      <c r="B263" s="21" t="n"/>
      <c r="C263" s="21" t="n"/>
      <c r="D263" s="21" t="n"/>
      <c r="E263" s="22" t="n"/>
      <c r="F263" s="21" t="n"/>
      <c r="G263" s="21" t="n"/>
      <c r="H263" s="23" t="n"/>
      <c r="I263" s="24" t="n"/>
      <c r="J263" s="25">
        <f>IF(ISNUMBER(H263),H263-IF(ISNUMBER(I263),I263,30),"")</f>
        <v/>
      </c>
      <c r="K263" s="26">
        <f>IF(H263="","",IF(ISNUMBER(H263),H263-TODAY(),"Check date"))</f>
        <v/>
      </c>
      <c r="L263" s="27">
        <f>IF(K263="","",IF(ISNUMBER(K263),IF(K263&lt;0,"Expired",IF(K263&lt;=30,"Due ≤30 days",IF(K263&lt;=90,"Due ≤90 days","OK"))),"Check date"))</f>
        <v/>
      </c>
      <c r="M263" s="21" t="n"/>
      <c r="N263" s="21" t="n"/>
      <c r="O263" s="21" t="n"/>
      <c r="P263" s="21" t="n"/>
    </row>
    <row r="264">
      <c r="A264" s="21" t="n"/>
      <c r="B264" s="21" t="n"/>
      <c r="C264" s="21" t="n"/>
      <c r="D264" s="21" t="n"/>
      <c r="E264" s="22" t="n"/>
      <c r="F264" s="21" t="n"/>
      <c r="G264" s="21" t="n"/>
      <c r="H264" s="23" t="n"/>
      <c r="I264" s="24" t="n"/>
      <c r="J264" s="25">
        <f>IF(ISNUMBER(H264),H264-IF(ISNUMBER(I264),I264,30),"")</f>
        <v/>
      </c>
      <c r="K264" s="26">
        <f>IF(H264="","",IF(ISNUMBER(H264),H264-TODAY(),"Check date"))</f>
        <v/>
      </c>
      <c r="L264" s="27">
        <f>IF(K264="","",IF(ISNUMBER(K264),IF(K264&lt;0,"Expired",IF(K264&lt;=30,"Due ≤30 days",IF(K264&lt;=90,"Due ≤90 days","OK"))),"Check date"))</f>
        <v/>
      </c>
      <c r="M264" s="21" t="n"/>
      <c r="N264" s="21" t="n"/>
      <c r="O264" s="21" t="n"/>
      <c r="P264" s="21" t="n"/>
    </row>
    <row r="265">
      <c r="A265" s="21" t="n"/>
      <c r="B265" s="21" t="n"/>
      <c r="C265" s="21" t="n"/>
      <c r="D265" s="21" t="n"/>
      <c r="E265" s="22" t="n"/>
      <c r="F265" s="21" t="n"/>
      <c r="G265" s="21" t="n"/>
      <c r="H265" s="23" t="n"/>
      <c r="I265" s="24" t="n"/>
      <c r="J265" s="25">
        <f>IF(ISNUMBER(H265),H265-IF(ISNUMBER(I265),I265,30),"")</f>
        <v/>
      </c>
      <c r="K265" s="26">
        <f>IF(H265="","",IF(ISNUMBER(H265),H265-TODAY(),"Check date"))</f>
        <v/>
      </c>
      <c r="L265" s="27">
        <f>IF(K265="","",IF(ISNUMBER(K265),IF(K265&lt;0,"Expired",IF(K265&lt;=30,"Due ≤30 days",IF(K265&lt;=90,"Due ≤90 days","OK"))),"Check date"))</f>
        <v/>
      </c>
      <c r="M265" s="21" t="n"/>
      <c r="N265" s="21" t="n"/>
      <c r="O265" s="21" t="n"/>
      <c r="P265" s="21" t="n"/>
    </row>
    <row r="266">
      <c r="A266" s="21" t="n"/>
      <c r="B266" s="21" t="n"/>
      <c r="C266" s="21" t="n"/>
      <c r="D266" s="21" t="n"/>
      <c r="E266" s="22" t="n"/>
      <c r="F266" s="21" t="n"/>
      <c r="G266" s="21" t="n"/>
      <c r="H266" s="23" t="n"/>
      <c r="I266" s="24" t="n"/>
      <c r="J266" s="25">
        <f>IF(ISNUMBER(H266),H266-IF(ISNUMBER(I266),I266,30),"")</f>
        <v/>
      </c>
      <c r="K266" s="26">
        <f>IF(H266="","",IF(ISNUMBER(H266),H266-TODAY(),"Check date"))</f>
        <v/>
      </c>
      <c r="L266" s="27">
        <f>IF(K266="","",IF(ISNUMBER(K266),IF(K266&lt;0,"Expired",IF(K266&lt;=30,"Due ≤30 days",IF(K266&lt;=90,"Due ≤90 days","OK"))),"Check date"))</f>
        <v/>
      </c>
      <c r="M266" s="21" t="n"/>
      <c r="N266" s="21" t="n"/>
      <c r="O266" s="21" t="n"/>
      <c r="P266" s="21" t="n"/>
    </row>
    <row r="267">
      <c r="A267" s="21" t="n"/>
      <c r="B267" s="21" t="n"/>
      <c r="C267" s="21" t="n"/>
      <c r="D267" s="21" t="n"/>
      <c r="E267" s="22" t="n"/>
      <c r="F267" s="21" t="n"/>
      <c r="G267" s="21" t="n"/>
      <c r="H267" s="23" t="n"/>
      <c r="I267" s="24" t="n"/>
      <c r="J267" s="25">
        <f>IF(ISNUMBER(H267),H267-IF(ISNUMBER(I267),I267,30),"")</f>
        <v/>
      </c>
      <c r="K267" s="26">
        <f>IF(H267="","",IF(ISNUMBER(H267),H267-TODAY(),"Check date"))</f>
        <v/>
      </c>
      <c r="L267" s="27">
        <f>IF(K267="","",IF(ISNUMBER(K267),IF(K267&lt;0,"Expired",IF(K267&lt;=30,"Due ≤30 days",IF(K267&lt;=90,"Due ≤90 days","OK"))),"Check date"))</f>
        <v/>
      </c>
      <c r="M267" s="21" t="n"/>
      <c r="N267" s="21" t="n"/>
      <c r="O267" s="21" t="n"/>
      <c r="P267" s="21" t="n"/>
    </row>
    <row r="268">
      <c r="A268" s="21" t="n"/>
      <c r="B268" s="21" t="n"/>
      <c r="C268" s="21" t="n"/>
      <c r="D268" s="21" t="n"/>
      <c r="E268" s="22" t="n"/>
      <c r="F268" s="21" t="n"/>
      <c r="G268" s="21" t="n"/>
      <c r="H268" s="23" t="n"/>
      <c r="I268" s="24" t="n"/>
      <c r="J268" s="25">
        <f>IF(ISNUMBER(H268),H268-IF(ISNUMBER(I268),I268,30),"")</f>
        <v/>
      </c>
      <c r="K268" s="26">
        <f>IF(H268="","",IF(ISNUMBER(H268),H268-TODAY(),"Check date"))</f>
        <v/>
      </c>
      <c r="L268" s="27">
        <f>IF(K268="","",IF(ISNUMBER(K268),IF(K268&lt;0,"Expired",IF(K268&lt;=30,"Due ≤30 days",IF(K268&lt;=90,"Due ≤90 days","OK"))),"Check date"))</f>
        <v/>
      </c>
      <c r="M268" s="21" t="n"/>
      <c r="N268" s="21" t="n"/>
      <c r="O268" s="21" t="n"/>
      <c r="P268" s="21" t="n"/>
    </row>
    <row r="269">
      <c r="A269" s="21" t="n"/>
      <c r="B269" s="21" t="n"/>
      <c r="C269" s="21" t="n"/>
      <c r="D269" s="21" t="n"/>
      <c r="E269" s="22" t="n"/>
      <c r="F269" s="21" t="n"/>
      <c r="G269" s="21" t="n"/>
      <c r="H269" s="23" t="n"/>
      <c r="I269" s="24" t="n"/>
      <c r="J269" s="25">
        <f>IF(ISNUMBER(H269),H269-IF(ISNUMBER(I269),I269,30),"")</f>
        <v/>
      </c>
      <c r="K269" s="26">
        <f>IF(H269="","",IF(ISNUMBER(H269),H269-TODAY(),"Check date"))</f>
        <v/>
      </c>
      <c r="L269" s="27">
        <f>IF(K269="","",IF(ISNUMBER(K269),IF(K269&lt;0,"Expired",IF(K269&lt;=30,"Due ≤30 days",IF(K269&lt;=90,"Due ≤90 days","OK"))),"Check date"))</f>
        <v/>
      </c>
      <c r="M269" s="21" t="n"/>
      <c r="N269" s="21" t="n"/>
      <c r="O269" s="21" t="n"/>
      <c r="P269" s="21" t="n"/>
    </row>
    <row r="270">
      <c r="A270" s="21" t="n"/>
      <c r="B270" s="21" t="n"/>
      <c r="C270" s="21" t="n"/>
      <c r="D270" s="21" t="n"/>
      <c r="E270" s="22" t="n"/>
      <c r="F270" s="21" t="n"/>
      <c r="G270" s="21" t="n"/>
      <c r="H270" s="23" t="n"/>
      <c r="I270" s="24" t="n"/>
      <c r="J270" s="25">
        <f>IF(ISNUMBER(H270),H270-IF(ISNUMBER(I270),I270,30),"")</f>
        <v/>
      </c>
      <c r="K270" s="26">
        <f>IF(H270="","",IF(ISNUMBER(H270),H270-TODAY(),"Check date"))</f>
        <v/>
      </c>
      <c r="L270" s="27">
        <f>IF(K270="","",IF(ISNUMBER(K270),IF(K270&lt;0,"Expired",IF(K270&lt;=30,"Due ≤30 days",IF(K270&lt;=90,"Due ≤90 days","OK"))),"Check date"))</f>
        <v/>
      </c>
      <c r="M270" s="21" t="n"/>
      <c r="N270" s="21" t="n"/>
      <c r="O270" s="21" t="n"/>
      <c r="P270" s="21" t="n"/>
    </row>
    <row r="271">
      <c r="A271" s="21" t="n"/>
      <c r="B271" s="21" t="n"/>
      <c r="C271" s="21" t="n"/>
      <c r="D271" s="21" t="n"/>
      <c r="E271" s="22" t="n"/>
      <c r="F271" s="21" t="n"/>
      <c r="G271" s="21" t="n"/>
      <c r="H271" s="23" t="n"/>
      <c r="I271" s="24" t="n"/>
      <c r="J271" s="25">
        <f>IF(ISNUMBER(H271),H271-IF(ISNUMBER(I271),I271,30),"")</f>
        <v/>
      </c>
      <c r="K271" s="26">
        <f>IF(H271="","",IF(ISNUMBER(H271),H271-TODAY(),"Check date"))</f>
        <v/>
      </c>
      <c r="L271" s="27">
        <f>IF(K271="","",IF(ISNUMBER(K271),IF(K271&lt;0,"Expired",IF(K271&lt;=30,"Due ≤30 days",IF(K271&lt;=90,"Due ≤90 days","OK"))),"Check date"))</f>
        <v/>
      </c>
      <c r="M271" s="21" t="n"/>
      <c r="N271" s="21" t="n"/>
      <c r="O271" s="21" t="n"/>
      <c r="P271" s="21" t="n"/>
    </row>
    <row r="272">
      <c r="A272" s="21" t="n"/>
      <c r="B272" s="21" t="n"/>
      <c r="C272" s="21" t="n"/>
      <c r="D272" s="21" t="n"/>
      <c r="E272" s="22" t="n"/>
      <c r="F272" s="21" t="n"/>
      <c r="G272" s="21" t="n"/>
      <c r="H272" s="23" t="n"/>
      <c r="I272" s="24" t="n"/>
      <c r="J272" s="25">
        <f>IF(ISNUMBER(H272),H272-IF(ISNUMBER(I272),I272,30),"")</f>
        <v/>
      </c>
      <c r="K272" s="26">
        <f>IF(H272="","",IF(ISNUMBER(H272),H272-TODAY(),"Check date"))</f>
        <v/>
      </c>
      <c r="L272" s="27">
        <f>IF(K272="","",IF(ISNUMBER(K272),IF(K272&lt;0,"Expired",IF(K272&lt;=30,"Due ≤30 days",IF(K272&lt;=90,"Due ≤90 days","OK"))),"Check date"))</f>
        <v/>
      </c>
      <c r="M272" s="21" t="n"/>
      <c r="N272" s="21" t="n"/>
      <c r="O272" s="21" t="n"/>
      <c r="P272" s="21" t="n"/>
    </row>
    <row r="273">
      <c r="A273" s="21" t="n"/>
      <c r="B273" s="21" t="n"/>
      <c r="C273" s="21" t="n"/>
      <c r="D273" s="21" t="n"/>
      <c r="E273" s="22" t="n"/>
      <c r="F273" s="21" t="n"/>
      <c r="G273" s="21" t="n"/>
      <c r="H273" s="23" t="n"/>
      <c r="I273" s="24" t="n"/>
      <c r="J273" s="25">
        <f>IF(ISNUMBER(H273),H273-IF(ISNUMBER(I273),I273,30),"")</f>
        <v/>
      </c>
      <c r="K273" s="26">
        <f>IF(H273="","",IF(ISNUMBER(H273),H273-TODAY(),"Check date"))</f>
        <v/>
      </c>
      <c r="L273" s="27">
        <f>IF(K273="","",IF(ISNUMBER(K273),IF(K273&lt;0,"Expired",IF(K273&lt;=30,"Due ≤30 days",IF(K273&lt;=90,"Due ≤90 days","OK"))),"Check date"))</f>
        <v/>
      </c>
      <c r="M273" s="21" t="n"/>
      <c r="N273" s="21" t="n"/>
      <c r="O273" s="21" t="n"/>
      <c r="P273" s="21" t="n"/>
    </row>
    <row r="274">
      <c r="A274" s="21" t="n"/>
      <c r="B274" s="21" t="n"/>
      <c r="C274" s="21" t="n"/>
      <c r="D274" s="21" t="n"/>
      <c r="E274" s="22" t="n"/>
      <c r="F274" s="21" t="n"/>
      <c r="G274" s="21" t="n"/>
      <c r="H274" s="23" t="n"/>
      <c r="I274" s="24" t="n"/>
      <c r="J274" s="25">
        <f>IF(ISNUMBER(H274),H274-IF(ISNUMBER(I274),I274,30),"")</f>
        <v/>
      </c>
      <c r="K274" s="26">
        <f>IF(H274="","",IF(ISNUMBER(H274),H274-TODAY(),"Check date"))</f>
        <v/>
      </c>
      <c r="L274" s="27">
        <f>IF(K274="","",IF(ISNUMBER(K274),IF(K274&lt;0,"Expired",IF(K274&lt;=30,"Due ≤30 days",IF(K274&lt;=90,"Due ≤90 days","OK"))),"Check date"))</f>
        <v/>
      </c>
      <c r="M274" s="21" t="n"/>
      <c r="N274" s="21" t="n"/>
      <c r="O274" s="21" t="n"/>
      <c r="P274" s="21" t="n"/>
    </row>
    <row r="275">
      <c r="A275" s="21" t="n"/>
      <c r="B275" s="21" t="n"/>
      <c r="C275" s="21" t="n"/>
      <c r="D275" s="21" t="n"/>
      <c r="E275" s="22" t="n"/>
      <c r="F275" s="21" t="n"/>
      <c r="G275" s="21" t="n"/>
      <c r="H275" s="23" t="n"/>
      <c r="I275" s="24" t="n"/>
      <c r="J275" s="25">
        <f>IF(ISNUMBER(H275),H275-IF(ISNUMBER(I275),I275,30),"")</f>
        <v/>
      </c>
      <c r="K275" s="26">
        <f>IF(H275="","",IF(ISNUMBER(H275),H275-TODAY(),"Check date"))</f>
        <v/>
      </c>
      <c r="L275" s="27">
        <f>IF(K275="","",IF(ISNUMBER(K275),IF(K275&lt;0,"Expired",IF(K275&lt;=30,"Due ≤30 days",IF(K275&lt;=90,"Due ≤90 days","OK"))),"Check date"))</f>
        <v/>
      </c>
      <c r="M275" s="21" t="n"/>
      <c r="N275" s="21" t="n"/>
      <c r="O275" s="21" t="n"/>
      <c r="P275" s="21" t="n"/>
    </row>
    <row r="276">
      <c r="A276" s="21" t="n"/>
      <c r="B276" s="21" t="n"/>
      <c r="C276" s="21" t="n"/>
      <c r="D276" s="21" t="n"/>
      <c r="E276" s="22" t="n"/>
      <c r="F276" s="21" t="n"/>
      <c r="G276" s="21" t="n"/>
      <c r="H276" s="23" t="n"/>
      <c r="I276" s="24" t="n"/>
      <c r="J276" s="25">
        <f>IF(ISNUMBER(H276),H276-IF(ISNUMBER(I276),I276,30),"")</f>
        <v/>
      </c>
      <c r="K276" s="26">
        <f>IF(H276="","",IF(ISNUMBER(H276),H276-TODAY(),"Check date"))</f>
        <v/>
      </c>
      <c r="L276" s="27">
        <f>IF(K276="","",IF(ISNUMBER(K276),IF(K276&lt;0,"Expired",IF(K276&lt;=30,"Due ≤30 days",IF(K276&lt;=90,"Due ≤90 days","OK"))),"Check date"))</f>
        <v/>
      </c>
      <c r="M276" s="21" t="n"/>
      <c r="N276" s="21" t="n"/>
      <c r="O276" s="21" t="n"/>
      <c r="P276" s="21" t="n"/>
    </row>
    <row r="277">
      <c r="A277" s="21" t="n"/>
      <c r="B277" s="21" t="n"/>
      <c r="C277" s="21" t="n"/>
      <c r="D277" s="21" t="n"/>
      <c r="E277" s="22" t="n"/>
      <c r="F277" s="21" t="n"/>
      <c r="G277" s="21" t="n"/>
      <c r="H277" s="23" t="n"/>
      <c r="I277" s="24" t="n"/>
      <c r="J277" s="25">
        <f>IF(ISNUMBER(H277),H277-IF(ISNUMBER(I277),I277,30),"")</f>
        <v/>
      </c>
      <c r="K277" s="26">
        <f>IF(H277="","",IF(ISNUMBER(H277),H277-TODAY(),"Check date"))</f>
        <v/>
      </c>
      <c r="L277" s="27">
        <f>IF(K277="","",IF(ISNUMBER(K277),IF(K277&lt;0,"Expired",IF(K277&lt;=30,"Due ≤30 days",IF(K277&lt;=90,"Due ≤90 days","OK"))),"Check date"))</f>
        <v/>
      </c>
      <c r="M277" s="21" t="n"/>
      <c r="N277" s="21" t="n"/>
      <c r="O277" s="21" t="n"/>
      <c r="P277" s="21" t="n"/>
    </row>
    <row r="278">
      <c r="A278" s="21" t="n"/>
      <c r="B278" s="21" t="n"/>
      <c r="C278" s="21" t="n"/>
      <c r="D278" s="21" t="n"/>
      <c r="E278" s="22" t="n"/>
      <c r="F278" s="21" t="n"/>
      <c r="G278" s="21" t="n"/>
      <c r="H278" s="23" t="n"/>
      <c r="I278" s="24" t="n"/>
      <c r="J278" s="25">
        <f>IF(ISNUMBER(H278),H278-IF(ISNUMBER(I278),I278,30),"")</f>
        <v/>
      </c>
      <c r="K278" s="26">
        <f>IF(H278="","",IF(ISNUMBER(H278),H278-TODAY(),"Check date"))</f>
        <v/>
      </c>
      <c r="L278" s="27">
        <f>IF(K278="","",IF(ISNUMBER(K278),IF(K278&lt;0,"Expired",IF(K278&lt;=30,"Due ≤30 days",IF(K278&lt;=90,"Due ≤90 days","OK"))),"Check date"))</f>
        <v/>
      </c>
      <c r="M278" s="21" t="n"/>
      <c r="N278" s="21" t="n"/>
      <c r="O278" s="21" t="n"/>
      <c r="P278" s="21" t="n"/>
    </row>
    <row r="279">
      <c r="A279" s="21" t="n"/>
      <c r="B279" s="21" t="n"/>
      <c r="C279" s="21" t="n"/>
      <c r="D279" s="21" t="n"/>
      <c r="E279" s="22" t="n"/>
      <c r="F279" s="21" t="n"/>
      <c r="G279" s="21" t="n"/>
      <c r="H279" s="23" t="n"/>
      <c r="I279" s="24" t="n"/>
      <c r="J279" s="25">
        <f>IF(ISNUMBER(H279),H279-IF(ISNUMBER(I279),I279,30),"")</f>
        <v/>
      </c>
      <c r="K279" s="26">
        <f>IF(H279="","",IF(ISNUMBER(H279),H279-TODAY(),"Check date"))</f>
        <v/>
      </c>
      <c r="L279" s="27">
        <f>IF(K279="","",IF(ISNUMBER(K279),IF(K279&lt;0,"Expired",IF(K279&lt;=30,"Due ≤30 days",IF(K279&lt;=90,"Due ≤90 days","OK"))),"Check date"))</f>
        <v/>
      </c>
      <c r="M279" s="21" t="n"/>
      <c r="N279" s="21" t="n"/>
      <c r="O279" s="21" t="n"/>
      <c r="P279" s="21" t="n"/>
    </row>
    <row r="280">
      <c r="A280" s="21" t="n"/>
      <c r="B280" s="21" t="n"/>
      <c r="C280" s="21" t="n"/>
      <c r="D280" s="21" t="n"/>
      <c r="E280" s="22" t="n"/>
      <c r="F280" s="21" t="n"/>
      <c r="G280" s="21" t="n"/>
      <c r="H280" s="23" t="n"/>
      <c r="I280" s="24" t="n"/>
      <c r="J280" s="25">
        <f>IF(ISNUMBER(H280),H280-IF(ISNUMBER(I280),I280,30),"")</f>
        <v/>
      </c>
      <c r="K280" s="26">
        <f>IF(H280="","",IF(ISNUMBER(H280),H280-TODAY(),"Check date"))</f>
        <v/>
      </c>
      <c r="L280" s="27">
        <f>IF(K280="","",IF(ISNUMBER(K280),IF(K280&lt;0,"Expired",IF(K280&lt;=30,"Due ≤30 days",IF(K280&lt;=90,"Due ≤90 days","OK"))),"Check date"))</f>
        <v/>
      </c>
      <c r="M280" s="21" t="n"/>
      <c r="N280" s="21" t="n"/>
      <c r="O280" s="21" t="n"/>
      <c r="P280" s="21" t="n"/>
    </row>
    <row r="281">
      <c r="A281" s="21" t="n"/>
      <c r="B281" s="21" t="n"/>
      <c r="C281" s="21" t="n"/>
      <c r="D281" s="21" t="n"/>
      <c r="E281" s="22" t="n"/>
      <c r="F281" s="21" t="n"/>
      <c r="G281" s="21" t="n"/>
      <c r="H281" s="23" t="n"/>
      <c r="I281" s="24" t="n"/>
      <c r="J281" s="25">
        <f>IF(ISNUMBER(H281),H281-IF(ISNUMBER(I281),I281,30),"")</f>
        <v/>
      </c>
      <c r="K281" s="26">
        <f>IF(H281="","",IF(ISNUMBER(H281),H281-TODAY(),"Check date"))</f>
        <v/>
      </c>
      <c r="L281" s="27">
        <f>IF(K281="","",IF(ISNUMBER(K281),IF(K281&lt;0,"Expired",IF(K281&lt;=30,"Due ≤30 days",IF(K281&lt;=90,"Due ≤90 days","OK"))),"Check date"))</f>
        <v/>
      </c>
      <c r="M281" s="21" t="n"/>
      <c r="N281" s="21" t="n"/>
      <c r="O281" s="21" t="n"/>
      <c r="P281" s="21" t="n"/>
    </row>
    <row r="282">
      <c r="A282" s="21" t="n"/>
      <c r="B282" s="21" t="n"/>
      <c r="C282" s="21" t="n"/>
      <c r="D282" s="21" t="n"/>
      <c r="E282" s="22" t="n"/>
      <c r="F282" s="21" t="n"/>
      <c r="G282" s="21" t="n"/>
      <c r="H282" s="23" t="n"/>
      <c r="I282" s="24" t="n"/>
      <c r="J282" s="25">
        <f>IF(ISNUMBER(H282),H282-IF(ISNUMBER(I282),I282,30),"")</f>
        <v/>
      </c>
      <c r="K282" s="26">
        <f>IF(H282="","",IF(ISNUMBER(H282),H282-TODAY(),"Check date"))</f>
        <v/>
      </c>
      <c r="L282" s="27">
        <f>IF(K282="","",IF(ISNUMBER(K282),IF(K282&lt;0,"Expired",IF(K282&lt;=30,"Due ≤30 days",IF(K282&lt;=90,"Due ≤90 days","OK"))),"Check date"))</f>
        <v/>
      </c>
      <c r="M282" s="21" t="n"/>
      <c r="N282" s="21" t="n"/>
      <c r="O282" s="21" t="n"/>
      <c r="P282" s="21" t="n"/>
    </row>
    <row r="283">
      <c r="A283" s="21" t="n"/>
      <c r="B283" s="21" t="n"/>
      <c r="C283" s="21" t="n"/>
      <c r="D283" s="21" t="n"/>
      <c r="E283" s="22" t="n"/>
      <c r="F283" s="21" t="n"/>
      <c r="G283" s="21" t="n"/>
      <c r="H283" s="23" t="n"/>
      <c r="I283" s="24" t="n"/>
      <c r="J283" s="25">
        <f>IF(ISNUMBER(H283),H283-IF(ISNUMBER(I283),I283,30),"")</f>
        <v/>
      </c>
      <c r="K283" s="26">
        <f>IF(H283="","",IF(ISNUMBER(H283),H283-TODAY(),"Check date"))</f>
        <v/>
      </c>
      <c r="L283" s="27">
        <f>IF(K283="","",IF(ISNUMBER(K283),IF(K283&lt;0,"Expired",IF(K283&lt;=30,"Due ≤30 days",IF(K283&lt;=90,"Due ≤90 days","OK"))),"Check date"))</f>
        <v/>
      </c>
      <c r="M283" s="21" t="n"/>
      <c r="N283" s="21" t="n"/>
      <c r="O283" s="21" t="n"/>
      <c r="P283" s="21" t="n"/>
    </row>
    <row r="284">
      <c r="A284" s="21" t="n"/>
      <c r="B284" s="21" t="n"/>
      <c r="C284" s="21" t="n"/>
      <c r="D284" s="21" t="n"/>
      <c r="E284" s="22" t="n"/>
      <c r="F284" s="21" t="n"/>
      <c r="G284" s="21" t="n"/>
      <c r="H284" s="23" t="n"/>
      <c r="I284" s="24" t="n"/>
      <c r="J284" s="25">
        <f>IF(ISNUMBER(H284),H284-IF(ISNUMBER(I284),I284,30),"")</f>
        <v/>
      </c>
      <c r="K284" s="26">
        <f>IF(H284="","",IF(ISNUMBER(H284),H284-TODAY(),"Check date"))</f>
        <v/>
      </c>
      <c r="L284" s="27">
        <f>IF(K284="","",IF(ISNUMBER(K284),IF(K284&lt;0,"Expired",IF(K284&lt;=30,"Due ≤30 days",IF(K284&lt;=90,"Due ≤90 days","OK"))),"Check date"))</f>
        <v/>
      </c>
      <c r="M284" s="21" t="n"/>
      <c r="N284" s="21" t="n"/>
      <c r="O284" s="21" t="n"/>
      <c r="P284" s="21" t="n"/>
    </row>
    <row r="285">
      <c r="A285" s="21" t="n"/>
      <c r="B285" s="21" t="n"/>
      <c r="C285" s="21" t="n"/>
      <c r="D285" s="21" t="n"/>
      <c r="E285" s="22" t="n"/>
      <c r="F285" s="21" t="n"/>
      <c r="G285" s="21" t="n"/>
      <c r="H285" s="23" t="n"/>
      <c r="I285" s="24" t="n"/>
      <c r="J285" s="25">
        <f>IF(ISNUMBER(H285),H285-IF(ISNUMBER(I285),I285,30),"")</f>
        <v/>
      </c>
      <c r="K285" s="26">
        <f>IF(H285="","",IF(ISNUMBER(H285),H285-TODAY(),"Check date"))</f>
        <v/>
      </c>
      <c r="L285" s="27">
        <f>IF(K285="","",IF(ISNUMBER(K285),IF(K285&lt;0,"Expired",IF(K285&lt;=30,"Due ≤30 days",IF(K285&lt;=90,"Due ≤90 days","OK"))),"Check date"))</f>
        <v/>
      </c>
      <c r="M285" s="21" t="n"/>
      <c r="N285" s="21" t="n"/>
      <c r="O285" s="21" t="n"/>
      <c r="P285" s="21" t="n"/>
    </row>
    <row r="286">
      <c r="A286" s="21" t="n"/>
      <c r="B286" s="21" t="n"/>
      <c r="C286" s="21" t="n"/>
      <c r="D286" s="21" t="n"/>
      <c r="E286" s="22" t="n"/>
      <c r="F286" s="21" t="n"/>
      <c r="G286" s="21" t="n"/>
      <c r="H286" s="23" t="n"/>
      <c r="I286" s="24" t="n"/>
      <c r="J286" s="25">
        <f>IF(ISNUMBER(H286),H286-IF(ISNUMBER(I286),I286,30),"")</f>
        <v/>
      </c>
      <c r="K286" s="26">
        <f>IF(H286="","",IF(ISNUMBER(H286),H286-TODAY(),"Check date"))</f>
        <v/>
      </c>
      <c r="L286" s="27">
        <f>IF(K286="","",IF(ISNUMBER(K286),IF(K286&lt;0,"Expired",IF(K286&lt;=30,"Due ≤30 days",IF(K286&lt;=90,"Due ≤90 days","OK"))),"Check date"))</f>
        <v/>
      </c>
      <c r="M286" s="21" t="n"/>
      <c r="N286" s="21" t="n"/>
      <c r="O286" s="21" t="n"/>
      <c r="P286" s="21" t="n"/>
    </row>
    <row r="287">
      <c r="A287" s="21" t="n"/>
      <c r="B287" s="21" t="n"/>
      <c r="C287" s="21" t="n"/>
      <c r="D287" s="21" t="n"/>
      <c r="E287" s="22" t="n"/>
      <c r="F287" s="21" t="n"/>
      <c r="G287" s="21" t="n"/>
      <c r="H287" s="23" t="n"/>
      <c r="I287" s="24" t="n"/>
      <c r="J287" s="25">
        <f>IF(ISNUMBER(H287),H287-IF(ISNUMBER(I287),I287,30),"")</f>
        <v/>
      </c>
      <c r="K287" s="26">
        <f>IF(H287="","",IF(ISNUMBER(H287),H287-TODAY(),"Check date"))</f>
        <v/>
      </c>
      <c r="L287" s="27">
        <f>IF(K287="","",IF(ISNUMBER(K287),IF(K287&lt;0,"Expired",IF(K287&lt;=30,"Due ≤30 days",IF(K287&lt;=90,"Due ≤90 days","OK"))),"Check date"))</f>
        <v/>
      </c>
      <c r="M287" s="21" t="n"/>
      <c r="N287" s="21" t="n"/>
      <c r="O287" s="21" t="n"/>
      <c r="P287" s="21" t="n"/>
    </row>
    <row r="288">
      <c r="A288" s="21" t="n"/>
      <c r="B288" s="21" t="n"/>
      <c r="C288" s="21" t="n"/>
      <c r="D288" s="21" t="n"/>
      <c r="E288" s="22" t="n"/>
      <c r="F288" s="21" t="n"/>
      <c r="G288" s="21" t="n"/>
      <c r="H288" s="23" t="n"/>
      <c r="I288" s="24" t="n"/>
      <c r="J288" s="25">
        <f>IF(ISNUMBER(H288),H288-IF(ISNUMBER(I288),I288,30),"")</f>
        <v/>
      </c>
      <c r="K288" s="26">
        <f>IF(H288="","",IF(ISNUMBER(H288),H288-TODAY(),"Check date"))</f>
        <v/>
      </c>
      <c r="L288" s="27">
        <f>IF(K288="","",IF(ISNUMBER(K288),IF(K288&lt;0,"Expired",IF(K288&lt;=30,"Due ≤30 days",IF(K288&lt;=90,"Due ≤90 days","OK"))),"Check date"))</f>
        <v/>
      </c>
      <c r="M288" s="21" t="n"/>
      <c r="N288" s="21" t="n"/>
      <c r="O288" s="21" t="n"/>
      <c r="P288" s="21" t="n"/>
    </row>
    <row r="289">
      <c r="A289" s="21" t="n"/>
      <c r="B289" s="21" t="n"/>
      <c r="C289" s="21" t="n"/>
      <c r="D289" s="21" t="n"/>
      <c r="E289" s="22" t="n"/>
      <c r="F289" s="21" t="n"/>
      <c r="G289" s="21" t="n"/>
      <c r="H289" s="23" t="n"/>
      <c r="I289" s="24" t="n"/>
      <c r="J289" s="25">
        <f>IF(ISNUMBER(H289),H289-IF(ISNUMBER(I289),I289,30),"")</f>
        <v/>
      </c>
      <c r="K289" s="26">
        <f>IF(H289="","",IF(ISNUMBER(H289),H289-TODAY(),"Check date"))</f>
        <v/>
      </c>
      <c r="L289" s="27">
        <f>IF(K289="","",IF(ISNUMBER(K289),IF(K289&lt;0,"Expired",IF(K289&lt;=30,"Due ≤30 days",IF(K289&lt;=90,"Due ≤90 days","OK"))),"Check date"))</f>
        <v/>
      </c>
      <c r="M289" s="21" t="n"/>
      <c r="N289" s="21" t="n"/>
      <c r="O289" s="21" t="n"/>
      <c r="P289" s="21" t="n"/>
    </row>
    <row r="290">
      <c r="A290" s="21" t="n"/>
      <c r="B290" s="21" t="n"/>
      <c r="C290" s="21" t="n"/>
      <c r="D290" s="21" t="n"/>
      <c r="E290" s="22" t="n"/>
      <c r="F290" s="21" t="n"/>
      <c r="G290" s="21" t="n"/>
      <c r="H290" s="23" t="n"/>
      <c r="I290" s="24" t="n"/>
      <c r="J290" s="25">
        <f>IF(ISNUMBER(H290),H290-IF(ISNUMBER(I290),I290,30),"")</f>
        <v/>
      </c>
      <c r="K290" s="26">
        <f>IF(H290="","",IF(ISNUMBER(H290),H290-TODAY(),"Check date"))</f>
        <v/>
      </c>
      <c r="L290" s="27">
        <f>IF(K290="","",IF(ISNUMBER(K290),IF(K290&lt;0,"Expired",IF(K290&lt;=30,"Due ≤30 days",IF(K290&lt;=90,"Due ≤90 days","OK"))),"Check date"))</f>
        <v/>
      </c>
      <c r="M290" s="21" t="n"/>
      <c r="N290" s="21" t="n"/>
      <c r="O290" s="21" t="n"/>
      <c r="P290" s="21" t="n"/>
    </row>
    <row r="291">
      <c r="A291" s="21" t="n"/>
      <c r="B291" s="21" t="n"/>
      <c r="C291" s="21" t="n"/>
      <c r="D291" s="21" t="n"/>
      <c r="E291" s="22" t="n"/>
      <c r="F291" s="21" t="n"/>
      <c r="G291" s="21" t="n"/>
      <c r="H291" s="23" t="n"/>
      <c r="I291" s="24" t="n"/>
      <c r="J291" s="25">
        <f>IF(ISNUMBER(H291),H291-IF(ISNUMBER(I291),I291,30),"")</f>
        <v/>
      </c>
      <c r="K291" s="26">
        <f>IF(H291="","",IF(ISNUMBER(H291),H291-TODAY(),"Check date"))</f>
        <v/>
      </c>
      <c r="L291" s="27">
        <f>IF(K291="","",IF(ISNUMBER(K291),IF(K291&lt;0,"Expired",IF(K291&lt;=30,"Due ≤30 days",IF(K291&lt;=90,"Due ≤90 days","OK"))),"Check date"))</f>
        <v/>
      </c>
      <c r="M291" s="21" t="n"/>
      <c r="N291" s="21" t="n"/>
      <c r="O291" s="21" t="n"/>
      <c r="P291" s="21" t="n"/>
    </row>
    <row r="292">
      <c r="A292" s="21" t="n"/>
      <c r="B292" s="21" t="n"/>
      <c r="C292" s="21" t="n"/>
      <c r="D292" s="21" t="n"/>
      <c r="E292" s="22" t="n"/>
      <c r="F292" s="21" t="n"/>
      <c r="G292" s="21" t="n"/>
      <c r="H292" s="23" t="n"/>
      <c r="I292" s="24" t="n"/>
      <c r="J292" s="25">
        <f>IF(ISNUMBER(H292),H292-IF(ISNUMBER(I292),I292,30),"")</f>
        <v/>
      </c>
      <c r="K292" s="26">
        <f>IF(H292="","",IF(ISNUMBER(H292),H292-TODAY(),"Check date"))</f>
        <v/>
      </c>
      <c r="L292" s="27">
        <f>IF(K292="","",IF(ISNUMBER(K292),IF(K292&lt;0,"Expired",IF(K292&lt;=30,"Due ≤30 days",IF(K292&lt;=90,"Due ≤90 days","OK"))),"Check date"))</f>
        <v/>
      </c>
      <c r="M292" s="21" t="n"/>
      <c r="N292" s="21" t="n"/>
      <c r="O292" s="21" t="n"/>
      <c r="P292" s="21" t="n"/>
    </row>
    <row r="293">
      <c r="A293" s="21" t="n"/>
      <c r="B293" s="21" t="n"/>
      <c r="C293" s="21" t="n"/>
      <c r="D293" s="21" t="n"/>
      <c r="E293" s="22" t="n"/>
      <c r="F293" s="21" t="n"/>
      <c r="G293" s="21" t="n"/>
      <c r="H293" s="23" t="n"/>
      <c r="I293" s="24" t="n"/>
      <c r="J293" s="25">
        <f>IF(ISNUMBER(H293),H293-IF(ISNUMBER(I293),I293,30),"")</f>
        <v/>
      </c>
      <c r="K293" s="26">
        <f>IF(H293="","",IF(ISNUMBER(H293),H293-TODAY(),"Check date"))</f>
        <v/>
      </c>
      <c r="L293" s="27">
        <f>IF(K293="","",IF(ISNUMBER(K293),IF(K293&lt;0,"Expired",IF(K293&lt;=30,"Due ≤30 days",IF(K293&lt;=90,"Due ≤90 days","OK"))),"Check date"))</f>
        <v/>
      </c>
      <c r="M293" s="21" t="n"/>
      <c r="N293" s="21" t="n"/>
      <c r="O293" s="21" t="n"/>
      <c r="P293" s="21" t="n"/>
    </row>
    <row r="294">
      <c r="A294" s="21" t="n"/>
      <c r="B294" s="21" t="n"/>
      <c r="C294" s="21" t="n"/>
      <c r="D294" s="21" t="n"/>
      <c r="E294" s="22" t="n"/>
      <c r="F294" s="21" t="n"/>
      <c r="G294" s="21" t="n"/>
      <c r="H294" s="23" t="n"/>
      <c r="I294" s="24" t="n"/>
      <c r="J294" s="25">
        <f>IF(ISNUMBER(H294),H294-IF(ISNUMBER(I294),I294,30),"")</f>
        <v/>
      </c>
      <c r="K294" s="26">
        <f>IF(H294="","",IF(ISNUMBER(H294),H294-TODAY(),"Check date"))</f>
        <v/>
      </c>
      <c r="L294" s="27">
        <f>IF(K294="","",IF(ISNUMBER(K294),IF(K294&lt;0,"Expired",IF(K294&lt;=30,"Due ≤30 days",IF(K294&lt;=90,"Due ≤90 days","OK"))),"Check date"))</f>
        <v/>
      </c>
      <c r="M294" s="21" t="n"/>
      <c r="N294" s="21" t="n"/>
      <c r="O294" s="21" t="n"/>
      <c r="P294" s="21" t="n"/>
    </row>
    <row r="295">
      <c r="A295" s="21" t="n"/>
      <c r="B295" s="21" t="n"/>
      <c r="C295" s="21" t="n"/>
      <c r="D295" s="21" t="n"/>
      <c r="E295" s="22" t="n"/>
      <c r="F295" s="21" t="n"/>
      <c r="G295" s="21" t="n"/>
      <c r="H295" s="23" t="n"/>
      <c r="I295" s="24" t="n"/>
      <c r="J295" s="25">
        <f>IF(ISNUMBER(H295),H295-IF(ISNUMBER(I295),I295,30),"")</f>
        <v/>
      </c>
      <c r="K295" s="26">
        <f>IF(H295="","",IF(ISNUMBER(H295),H295-TODAY(),"Check date"))</f>
        <v/>
      </c>
      <c r="L295" s="27">
        <f>IF(K295="","",IF(ISNUMBER(K295),IF(K295&lt;0,"Expired",IF(K295&lt;=30,"Due ≤30 days",IF(K295&lt;=90,"Due ≤90 days","OK"))),"Check date"))</f>
        <v/>
      </c>
      <c r="M295" s="21" t="n"/>
      <c r="N295" s="21" t="n"/>
      <c r="O295" s="21" t="n"/>
      <c r="P295" s="21" t="n"/>
    </row>
    <row r="296">
      <c r="A296" s="21" t="n"/>
      <c r="B296" s="21" t="n"/>
      <c r="C296" s="21" t="n"/>
      <c r="D296" s="21" t="n"/>
      <c r="E296" s="22" t="n"/>
      <c r="F296" s="21" t="n"/>
      <c r="G296" s="21" t="n"/>
      <c r="H296" s="23" t="n"/>
      <c r="I296" s="24" t="n"/>
      <c r="J296" s="25">
        <f>IF(ISNUMBER(H296),H296-IF(ISNUMBER(I296),I296,30),"")</f>
        <v/>
      </c>
      <c r="K296" s="26">
        <f>IF(H296="","",IF(ISNUMBER(H296),H296-TODAY(),"Check date"))</f>
        <v/>
      </c>
      <c r="L296" s="27">
        <f>IF(K296="","",IF(ISNUMBER(K296),IF(K296&lt;0,"Expired",IF(K296&lt;=30,"Due ≤30 days",IF(K296&lt;=90,"Due ≤90 days","OK"))),"Check date"))</f>
        <v/>
      </c>
      <c r="M296" s="21" t="n"/>
      <c r="N296" s="21" t="n"/>
      <c r="O296" s="21" t="n"/>
      <c r="P296" s="21" t="n"/>
    </row>
    <row r="297">
      <c r="A297" s="21" t="n"/>
      <c r="B297" s="21" t="n"/>
      <c r="C297" s="21" t="n"/>
      <c r="D297" s="21" t="n"/>
      <c r="E297" s="22" t="n"/>
      <c r="F297" s="21" t="n"/>
      <c r="G297" s="21" t="n"/>
      <c r="H297" s="23" t="n"/>
      <c r="I297" s="24" t="n"/>
      <c r="J297" s="25">
        <f>IF(ISNUMBER(H297),H297-IF(ISNUMBER(I297),I297,30),"")</f>
        <v/>
      </c>
      <c r="K297" s="26">
        <f>IF(H297="","",IF(ISNUMBER(H297),H297-TODAY(),"Check date"))</f>
        <v/>
      </c>
      <c r="L297" s="27">
        <f>IF(K297="","",IF(ISNUMBER(K297),IF(K297&lt;0,"Expired",IF(K297&lt;=30,"Due ≤30 days",IF(K297&lt;=90,"Due ≤90 days","OK"))),"Check date"))</f>
        <v/>
      </c>
      <c r="M297" s="21" t="n"/>
      <c r="N297" s="21" t="n"/>
      <c r="O297" s="21" t="n"/>
      <c r="P297" s="21" t="n"/>
    </row>
    <row r="298">
      <c r="A298" s="21" t="n"/>
      <c r="B298" s="21" t="n"/>
      <c r="C298" s="21" t="n"/>
      <c r="D298" s="21" t="n"/>
      <c r="E298" s="22" t="n"/>
      <c r="F298" s="21" t="n"/>
      <c r="G298" s="21" t="n"/>
      <c r="H298" s="23" t="n"/>
      <c r="I298" s="24" t="n"/>
      <c r="J298" s="25">
        <f>IF(ISNUMBER(H298),H298-IF(ISNUMBER(I298),I298,30),"")</f>
        <v/>
      </c>
      <c r="K298" s="26">
        <f>IF(H298="","",IF(ISNUMBER(H298),H298-TODAY(),"Check date"))</f>
        <v/>
      </c>
      <c r="L298" s="27">
        <f>IF(K298="","",IF(ISNUMBER(K298),IF(K298&lt;0,"Expired",IF(K298&lt;=30,"Due ≤30 days",IF(K298&lt;=90,"Due ≤90 days","OK"))),"Check date"))</f>
        <v/>
      </c>
      <c r="M298" s="21" t="n"/>
      <c r="N298" s="21" t="n"/>
      <c r="O298" s="21" t="n"/>
      <c r="P298" s="21" t="n"/>
    </row>
    <row r="299">
      <c r="A299" s="21" t="n"/>
      <c r="B299" s="21" t="n"/>
      <c r="C299" s="21" t="n"/>
      <c r="D299" s="21" t="n"/>
      <c r="E299" s="22" t="n"/>
      <c r="F299" s="21" t="n"/>
      <c r="G299" s="21" t="n"/>
      <c r="H299" s="23" t="n"/>
      <c r="I299" s="24" t="n"/>
      <c r="J299" s="25">
        <f>IF(ISNUMBER(H299),H299-IF(ISNUMBER(I299),I299,30),"")</f>
        <v/>
      </c>
      <c r="K299" s="26">
        <f>IF(H299="","",IF(ISNUMBER(H299),H299-TODAY(),"Check date"))</f>
        <v/>
      </c>
      <c r="L299" s="27">
        <f>IF(K299="","",IF(ISNUMBER(K299),IF(K299&lt;0,"Expired",IF(K299&lt;=30,"Due ≤30 days",IF(K299&lt;=90,"Due ≤90 days","OK"))),"Check date"))</f>
        <v/>
      </c>
      <c r="M299" s="21" t="n"/>
      <c r="N299" s="21" t="n"/>
      <c r="O299" s="21" t="n"/>
      <c r="P299" s="21" t="n"/>
    </row>
    <row r="300">
      <c r="A300" s="21" t="n"/>
      <c r="B300" s="21" t="n"/>
      <c r="C300" s="21" t="n"/>
      <c r="D300" s="21" t="n"/>
      <c r="E300" s="22" t="n"/>
      <c r="F300" s="21" t="n"/>
      <c r="G300" s="21" t="n"/>
      <c r="H300" s="23" t="n"/>
      <c r="I300" s="24" t="n"/>
      <c r="J300" s="25">
        <f>IF(ISNUMBER(H300),H300-IF(ISNUMBER(I300),I300,30),"")</f>
        <v/>
      </c>
      <c r="K300" s="26">
        <f>IF(H300="","",IF(ISNUMBER(H300),H300-TODAY(),"Check date"))</f>
        <v/>
      </c>
      <c r="L300" s="27">
        <f>IF(K300="","",IF(ISNUMBER(K300),IF(K300&lt;0,"Expired",IF(K300&lt;=30,"Due ≤30 days",IF(K300&lt;=90,"Due ≤90 days","OK"))),"Check date"))</f>
        <v/>
      </c>
      <c r="M300" s="21" t="n"/>
      <c r="N300" s="21" t="n"/>
      <c r="O300" s="21" t="n"/>
      <c r="P300" s="21" t="n"/>
    </row>
    <row r="301">
      <c r="A301" s="21" t="n"/>
      <c r="B301" s="21" t="n"/>
      <c r="C301" s="21" t="n"/>
      <c r="D301" s="21" t="n"/>
      <c r="E301" s="22" t="n"/>
      <c r="F301" s="21" t="n"/>
      <c r="G301" s="21" t="n"/>
      <c r="H301" s="23" t="n"/>
      <c r="I301" s="24" t="n"/>
      <c r="J301" s="25">
        <f>IF(ISNUMBER(H301),H301-IF(ISNUMBER(I301),I301,30),"")</f>
        <v/>
      </c>
      <c r="K301" s="26">
        <f>IF(H301="","",IF(ISNUMBER(H301),H301-TODAY(),"Check date"))</f>
        <v/>
      </c>
      <c r="L301" s="27">
        <f>IF(K301="","",IF(ISNUMBER(K301),IF(K301&lt;0,"Expired",IF(K301&lt;=30,"Due ≤30 days",IF(K301&lt;=90,"Due ≤90 days","OK"))),"Check date"))</f>
        <v/>
      </c>
      <c r="M301" s="21" t="n"/>
      <c r="N301" s="21" t="n"/>
      <c r="O301" s="21" t="n"/>
      <c r="P301" s="21" t="n"/>
    </row>
    <row r="302">
      <c r="A302" s="21" t="n"/>
      <c r="B302" s="21" t="n"/>
      <c r="C302" s="21" t="n"/>
      <c r="D302" s="21" t="n"/>
      <c r="E302" s="22" t="n"/>
      <c r="F302" s="21" t="n"/>
      <c r="G302" s="21" t="n"/>
      <c r="H302" s="23" t="n"/>
      <c r="I302" s="24" t="n"/>
      <c r="J302" s="25">
        <f>IF(ISNUMBER(H302),H302-IF(ISNUMBER(I302),I302,30),"")</f>
        <v/>
      </c>
      <c r="K302" s="26">
        <f>IF(H302="","",IF(ISNUMBER(H302),H302-TODAY(),"Check date"))</f>
        <v/>
      </c>
      <c r="L302" s="27">
        <f>IF(K302="","",IF(ISNUMBER(K302),IF(K302&lt;0,"Expired",IF(K302&lt;=30,"Due ≤30 days",IF(K302&lt;=90,"Due ≤90 days","OK"))),"Check date"))</f>
        <v/>
      </c>
      <c r="M302" s="21" t="n"/>
      <c r="N302" s="21" t="n"/>
      <c r="O302" s="21" t="n"/>
      <c r="P302" s="21" t="n"/>
    </row>
    <row r="303">
      <c r="A303" s="21" t="n"/>
      <c r="B303" s="21" t="n"/>
      <c r="C303" s="21" t="n"/>
      <c r="D303" s="21" t="n"/>
      <c r="E303" s="22" t="n"/>
      <c r="F303" s="21" t="n"/>
      <c r="G303" s="21" t="n"/>
      <c r="H303" s="23" t="n"/>
      <c r="I303" s="24" t="n"/>
      <c r="J303" s="25">
        <f>IF(ISNUMBER(H303),H303-IF(ISNUMBER(I303),I303,30),"")</f>
        <v/>
      </c>
      <c r="K303" s="26">
        <f>IF(H303="","",IF(ISNUMBER(H303),H303-TODAY(),"Check date"))</f>
        <v/>
      </c>
      <c r="L303" s="27">
        <f>IF(K303="","",IF(ISNUMBER(K303),IF(K303&lt;0,"Expired",IF(K303&lt;=30,"Due ≤30 days",IF(K303&lt;=90,"Due ≤90 days","OK"))),"Check date"))</f>
        <v/>
      </c>
      <c r="M303" s="21" t="n"/>
      <c r="N303" s="21" t="n"/>
      <c r="O303" s="21" t="n"/>
      <c r="P303" s="21" t="n"/>
    </row>
    <row r="304">
      <c r="A304" s="21" t="n"/>
      <c r="B304" s="21" t="n"/>
      <c r="C304" s="21" t="n"/>
      <c r="D304" s="21" t="n"/>
      <c r="E304" s="22" t="n"/>
      <c r="F304" s="21" t="n"/>
      <c r="G304" s="21" t="n"/>
      <c r="H304" s="23" t="n"/>
      <c r="I304" s="24" t="n"/>
      <c r="J304" s="25">
        <f>IF(ISNUMBER(H304),H304-IF(ISNUMBER(I304),I304,30),"")</f>
        <v/>
      </c>
      <c r="K304" s="26">
        <f>IF(H304="","",IF(ISNUMBER(H304),H304-TODAY(),"Check date"))</f>
        <v/>
      </c>
      <c r="L304" s="27">
        <f>IF(K304="","",IF(ISNUMBER(K304),IF(K304&lt;0,"Expired",IF(K304&lt;=30,"Due ≤30 days",IF(K304&lt;=90,"Due ≤90 days","OK"))),"Check date"))</f>
        <v/>
      </c>
      <c r="M304" s="21" t="n"/>
      <c r="N304" s="21" t="n"/>
      <c r="O304" s="21" t="n"/>
      <c r="P304" s="21" t="n"/>
    </row>
    <row r="305">
      <c r="A305" s="21" t="n"/>
      <c r="B305" s="21" t="n"/>
      <c r="C305" s="21" t="n"/>
      <c r="D305" s="21" t="n"/>
      <c r="E305" s="22" t="n"/>
      <c r="F305" s="21" t="n"/>
      <c r="G305" s="21" t="n"/>
      <c r="H305" s="23" t="n"/>
      <c r="I305" s="24" t="n"/>
      <c r="J305" s="25">
        <f>IF(ISNUMBER(H305),H305-IF(ISNUMBER(I305),I305,30),"")</f>
        <v/>
      </c>
      <c r="K305" s="26">
        <f>IF(H305="","",IF(ISNUMBER(H305),H305-TODAY(),"Check date"))</f>
        <v/>
      </c>
      <c r="L305" s="27">
        <f>IF(K305="","",IF(ISNUMBER(K305),IF(K305&lt;0,"Expired",IF(K305&lt;=30,"Due ≤30 days",IF(K305&lt;=90,"Due ≤90 days","OK"))),"Check date"))</f>
        <v/>
      </c>
      <c r="M305" s="21" t="n"/>
      <c r="N305" s="21" t="n"/>
      <c r="O305" s="21" t="n"/>
      <c r="P305" s="21" t="n"/>
    </row>
    <row r="306">
      <c r="A306" s="21" t="n"/>
      <c r="B306" s="21" t="n"/>
      <c r="C306" s="21" t="n"/>
      <c r="D306" s="21" t="n"/>
      <c r="E306" s="22" t="n"/>
      <c r="F306" s="21" t="n"/>
      <c r="G306" s="21" t="n"/>
      <c r="H306" s="23" t="n"/>
      <c r="I306" s="24" t="n"/>
      <c r="J306" s="25">
        <f>IF(ISNUMBER(H306),H306-IF(ISNUMBER(I306),I306,30),"")</f>
        <v/>
      </c>
      <c r="K306" s="26">
        <f>IF(H306="","",IF(ISNUMBER(H306),H306-TODAY(),"Check date"))</f>
        <v/>
      </c>
      <c r="L306" s="27">
        <f>IF(K306="","",IF(ISNUMBER(K306),IF(K306&lt;0,"Expired",IF(K306&lt;=30,"Due ≤30 days",IF(K306&lt;=90,"Due ≤90 days","OK"))),"Check date"))</f>
        <v/>
      </c>
      <c r="M306" s="21" t="n"/>
      <c r="N306" s="21" t="n"/>
      <c r="O306" s="21" t="n"/>
      <c r="P306" s="21" t="n"/>
    </row>
    <row r="307">
      <c r="A307" s="21" t="n"/>
      <c r="B307" s="21" t="n"/>
      <c r="C307" s="21" t="n"/>
      <c r="D307" s="21" t="n"/>
      <c r="E307" s="22" t="n"/>
      <c r="F307" s="21" t="n"/>
      <c r="G307" s="21" t="n"/>
      <c r="H307" s="23" t="n"/>
      <c r="I307" s="24" t="n"/>
      <c r="J307" s="25">
        <f>IF(ISNUMBER(H307),H307-IF(ISNUMBER(I307),I307,30),"")</f>
        <v/>
      </c>
      <c r="K307" s="26">
        <f>IF(H307="","",IF(ISNUMBER(H307),H307-TODAY(),"Check date"))</f>
        <v/>
      </c>
      <c r="L307" s="27">
        <f>IF(K307="","",IF(ISNUMBER(K307),IF(K307&lt;0,"Expired",IF(K307&lt;=30,"Due ≤30 days",IF(K307&lt;=90,"Due ≤90 days","OK"))),"Check date"))</f>
        <v/>
      </c>
      <c r="M307" s="21" t="n"/>
      <c r="N307" s="21" t="n"/>
      <c r="O307" s="21" t="n"/>
      <c r="P307" s="21" t="n"/>
    </row>
    <row r="308">
      <c r="A308" s="21" t="n"/>
      <c r="B308" s="21" t="n"/>
      <c r="C308" s="21" t="n"/>
      <c r="D308" s="21" t="n"/>
      <c r="E308" s="22" t="n"/>
      <c r="F308" s="21" t="n"/>
      <c r="G308" s="21" t="n"/>
      <c r="H308" s="23" t="n"/>
      <c r="I308" s="24" t="n"/>
      <c r="J308" s="25">
        <f>IF(ISNUMBER(H308),H308-IF(ISNUMBER(I308),I308,30),"")</f>
        <v/>
      </c>
      <c r="K308" s="26">
        <f>IF(H308="","",IF(ISNUMBER(H308),H308-TODAY(),"Check date"))</f>
        <v/>
      </c>
      <c r="L308" s="27">
        <f>IF(K308="","",IF(ISNUMBER(K308),IF(K308&lt;0,"Expired",IF(K308&lt;=30,"Due ≤30 days",IF(K308&lt;=90,"Due ≤90 days","OK"))),"Check date"))</f>
        <v/>
      </c>
      <c r="M308" s="21" t="n"/>
      <c r="N308" s="21" t="n"/>
      <c r="O308" s="21" t="n"/>
      <c r="P308" s="21" t="n"/>
    </row>
    <row r="309">
      <c r="A309" s="21" t="n"/>
      <c r="B309" s="21" t="n"/>
      <c r="C309" s="21" t="n"/>
      <c r="D309" s="21" t="n"/>
      <c r="E309" s="22" t="n"/>
      <c r="F309" s="21" t="n"/>
      <c r="G309" s="21" t="n"/>
      <c r="H309" s="23" t="n"/>
      <c r="I309" s="24" t="n"/>
      <c r="J309" s="25">
        <f>IF(ISNUMBER(H309),H309-IF(ISNUMBER(I309),I309,30),"")</f>
        <v/>
      </c>
      <c r="K309" s="26">
        <f>IF(H309="","",IF(ISNUMBER(H309),H309-TODAY(),"Check date"))</f>
        <v/>
      </c>
      <c r="L309" s="27">
        <f>IF(K309="","",IF(ISNUMBER(K309),IF(K309&lt;0,"Expired",IF(K309&lt;=30,"Due ≤30 days",IF(K309&lt;=90,"Due ≤90 days","OK"))),"Check date"))</f>
        <v/>
      </c>
      <c r="M309" s="21" t="n"/>
      <c r="N309" s="21" t="n"/>
      <c r="O309" s="21" t="n"/>
      <c r="P309" s="21" t="n"/>
    </row>
    <row r="310">
      <c r="A310" s="21" t="n"/>
      <c r="B310" s="21" t="n"/>
      <c r="C310" s="21" t="n"/>
      <c r="D310" s="21" t="n"/>
      <c r="E310" s="22" t="n"/>
      <c r="F310" s="21" t="n"/>
      <c r="G310" s="21" t="n"/>
      <c r="H310" s="23" t="n"/>
      <c r="I310" s="24" t="n"/>
      <c r="J310" s="25">
        <f>IF(ISNUMBER(H310),H310-IF(ISNUMBER(I310),I310,30),"")</f>
        <v/>
      </c>
      <c r="K310" s="26">
        <f>IF(H310="","",IF(ISNUMBER(H310),H310-TODAY(),"Check date"))</f>
        <v/>
      </c>
      <c r="L310" s="27">
        <f>IF(K310="","",IF(ISNUMBER(K310),IF(K310&lt;0,"Expired",IF(K310&lt;=30,"Due ≤30 days",IF(K310&lt;=90,"Due ≤90 days","OK"))),"Check date"))</f>
        <v/>
      </c>
      <c r="M310" s="21" t="n"/>
      <c r="N310" s="21" t="n"/>
      <c r="O310" s="21" t="n"/>
      <c r="P310" s="21" t="n"/>
    </row>
    <row r="311">
      <c r="A311" s="21" t="n"/>
      <c r="B311" s="21" t="n"/>
      <c r="C311" s="21" t="n"/>
      <c r="D311" s="21" t="n"/>
      <c r="E311" s="22" t="n"/>
      <c r="F311" s="21" t="n"/>
      <c r="G311" s="21" t="n"/>
      <c r="H311" s="23" t="n"/>
      <c r="I311" s="24" t="n"/>
      <c r="J311" s="25">
        <f>IF(ISNUMBER(H311),H311-IF(ISNUMBER(I311),I311,30),"")</f>
        <v/>
      </c>
      <c r="K311" s="26">
        <f>IF(H311="","",IF(ISNUMBER(H311),H311-TODAY(),"Check date"))</f>
        <v/>
      </c>
      <c r="L311" s="27">
        <f>IF(K311="","",IF(ISNUMBER(K311),IF(K311&lt;0,"Expired",IF(K311&lt;=30,"Due ≤30 days",IF(K311&lt;=90,"Due ≤90 days","OK"))),"Check date"))</f>
        <v/>
      </c>
      <c r="M311" s="21" t="n"/>
      <c r="N311" s="21" t="n"/>
      <c r="O311" s="21" t="n"/>
      <c r="P311" s="21" t="n"/>
    </row>
    <row r="312">
      <c r="A312" s="21" t="n"/>
      <c r="B312" s="21" t="n"/>
      <c r="C312" s="21" t="n"/>
      <c r="D312" s="21" t="n"/>
      <c r="E312" s="22" t="n"/>
      <c r="F312" s="21" t="n"/>
      <c r="G312" s="21" t="n"/>
      <c r="H312" s="23" t="n"/>
      <c r="I312" s="24" t="n"/>
      <c r="J312" s="25">
        <f>IF(ISNUMBER(H312),H312-IF(ISNUMBER(I312),I312,30),"")</f>
        <v/>
      </c>
      <c r="K312" s="26">
        <f>IF(H312="","",IF(ISNUMBER(H312),H312-TODAY(),"Check date"))</f>
        <v/>
      </c>
      <c r="L312" s="27">
        <f>IF(K312="","",IF(ISNUMBER(K312),IF(K312&lt;0,"Expired",IF(K312&lt;=30,"Due ≤30 days",IF(K312&lt;=90,"Due ≤90 days","OK"))),"Check date"))</f>
        <v/>
      </c>
      <c r="M312" s="21" t="n"/>
      <c r="N312" s="21" t="n"/>
      <c r="O312" s="21" t="n"/>
      <c r="P312" s="21" t="n"/>
    </row>
    <row r="313">
      <c r="A313" s="21" t="n"/>
      <c r="B313" s="21" t="n"/>
      <c r="C313" s="21" t="n"/>
      <c r="D313" s="21" t="n"/>
      <c r="E313" s="22" t="n"/>
      <c r="F313" s="21" t="n"/>
      <c r="G313" s="21" t="n"/>
      <c r="H313" s="23" t="n"/>
      <c r="I313" s="24" t="n"/>
      <c r="J313" s="25">
        <f>IF(ISNUMBER(H313),H313-IF(ISNUMBER(I313),I313,30),"")</f>
        <v/>
      </c>
      <c r="K313" s="26">
        <f>IF(H313="","",IF(ISNUMBER(H313),H313-TODAY(),"Check date"))</f>
        <v/>
      </c>
      <c r="L313" s="27">
        <f>IF(K313="","",IF(ISNUMBER(K313),IF(K313&lt;0,"Expired",IF(K313&lt;=30,"Due ≤30 days",IF(K313&lt;=90,"Due ≤90 days","OK"))),"Check date"))</f>
        <v/>
      </c>
      <c r="M313" s="21" t="n"/>
      <c r="N313" s="21" t="n"/>
      <c r="O313" s="21" t="n"/>
      <c r="P313" s="21" t="n"/>
    </row>
    <row r="314">
      <c r="A314" s="21" t="n"/>
      <c r="B314" s="21" t="n"/>
      <c r="C314" s="21" t="n"/>
      <c r="D314" s="21" t="n"/>
      <c r="E314" s="22" t="n"/>
      <c r="F314" s="21" t="n"/>
      <c r="G314" s="21" t="n"/>
      <c r="H314" s="23" t="n"/>
      <c r="I314" s="24" t="n"/>
      <c r="J314" s="25">
        <f>IF(ISNUMBER(H314),H314-IF(ISNUMBER(I314),I314,30),"")</f>
        <v/>
      </c>
      <c r="K314" s="26">
        <f>IF(H314="","",IF(ISNUMBER(H314),H314-TODAY(),"Check date"))</f>
        <v/>
      </c>
      <c r="L314" s="27">
        <f>IF(K314="","",IF(ISNUMBER(K314),IF(K314&lt;0,"Expired",IF(K314&lt;=30,"Due ≤30 days",IF(K314&lt;=90,"Due ≤90 days","OK"))),"Check date"))</f>
        <v/>
      </c>
      <c r="M314" s="21" t="n"/>
      <c r="N314" s="21" t="n"/>
      <c r="O314" s="21" t="n"/>
      <c r="P314" s="21" t="n"/>
    </row>
    <row r="315">
      <c r="A315" s="21" t="n"/>
      <c r="B315" s="21" t="n"/>
      <c r="C315" s="21" t="n"/>
      <c r="D315" s="21" t="n"/>
      <c r="E315" s="22" t="n"/>
      <c r="F315" s="21" t="n"/>
      <c r="G315" s="21" t="n"/>
      <c r="H315" s="23" t="n"/>
      <c r="I315" s="24" t="n"/>
      <c r="J315" s="25">
        <f>IF(ISNUMBER(H315),H315-IF(ISNUMBER(I315),I315,30),"")</f>
        <v/>
      </c>
      <c r="K315" s="26">
        <f>IF(H315="","",IF(ISNUMBER(H315),H315-TODAY(),"Check date"))</f>
        <v/>
      </c>
      <c r="L315" s="27">
        <f>IF(K315="","",IF(ISNUMBER(K315),IF(K315&lt;0,"Expired",IF(K315&lt;=30,"Due ≤30 days",IF(K315&lt;=90,"Due ≤90 days","OK"))),"Check date"))</f>
        <v/>
      </c>
      <c r="M315" s="21" t="n"/>
      <c r="N315" s="21" t="n"/>
      <c r="O315" s="21" t="n"/>
      <c r="P315" s="21" t="n"/>
    </row>
    <row r="316">
      <c r="A316" s="21" t="n"/>
      <c r="B316" s="21" t="n"/>
      <c r="C316" s="21" t="n"/>
      <c r="D316" s="21" t="n"/>
      <c r="E316" s="22" t="n"/>
      <c r="F316" s="21" t="n"/>
      <c r="G316" s="21" t="n"/>
      <c r="H316" s="23" t="n"/>
      <c r="I316" s="24" t="n"/>
      <c r="J316" s="25">
        <f>IF(ISNUMBER(H316),H316-IF(ISNUMBER(I316),I316,30),"")</f>
        <v/>
      </c>
      <c r="K316" s="26">
        <f>IF(H316="","",IF(ISNUMBER(H316),H316-TODAY(),"Check date"))</f>
        <v/>
      </c>
      <c r="L316" s="27">
        <f>IF(K316="","",IF(ISNUMBER(K316),IF(K316&lt;0,"Expired",IF(K316&lt;=30,"Due ≤30 days",IF(K316&lt;=90,"Due ≤90 days","OK"))),"Check date"))</f>
        <v/>
      </c>
      <c r="M316" s="21" t="n"/>
      <c r="N316" s="21" t="n"/>
      <c r="O316" s="21" t="n"/>
      <c r="P316" s="21" t="n"/>
    </row>
    <row r="317">
      <c r="A317" s="21" t="n"/>
      <c r="B317" s="21" t="n"/>
      <c r="C317" s="21" t="n"/>
      <c r="D317" s="21" t="n"/>
      <c r="E317" s="22" t="n"/>
      <c r="F317" s="21" t="n"/>
      <c r="G317" s="21" t="n"/>
      <c r="H317" s="23" t="n"/>
      <c r="I317" s="24" t="n"/>
      <c r="J317" s="25">
        <f>IF(ISNUMBER(H317),H317-IF(ISNUMBER(I317),I317,30),"")</f>
        <v/>
      </c>
      <c r="K317" s="26">
        <f>IF(H317="","",IF(ISNUMBER(H317),H317-TODAY(),"Check date"))</f>
        <v/>
      </c>
      <c r="L317" s="27">
        <f>IF(K317="","",IF(ISNUMBER(K317),IF(K317&lt;0,"Expired",IF(K317&lt;=30,"Due ≤30 days",IF(K317&lt;=90,"Due ≤90 days","OK"))),"Check date"))</f>
        <v/>
      </c>
      <c r="M317" s="21" t="n"/>
      <c r="N317" s="21" t="n"/>
      <c r="O317" s="21" t="n"/>
      <c r="P317" s="21" t="n"/>
    </row>
    <row r="318">
      <c r="A318" s="21" t="n"/>
      <c r="B318" s="21" t="n"/>
      <c r="C318" s="21" t="n"/>
      <c r="D318" s="21" t="n"/>
      <c r="E318" s="22" t="n"/>
      <c r="F318" s="21" t="n"/>
      <c r="G318" s="21" t="n"/>
      <c r="H318" s="23" t="n"/>
      <c r="I318" s="24" t="n"/>
      <c r="J318" s="25">
        <f>IF(ISNUMBER(H318),H318-IF(ISNUMBER(I318),I318,30),"")</f>
        <v/>
      </c>
      <c r="K318" s="26">
        <f>IF(H318="","",IF(ISNUMBER(H318),H318-TODAY(),"Check date"))</f>
        <v/>
      </c>
      <c r="L318" s="27">
        <f>IF(K318="","",IF(ISNUMBER(K318),IF(K318&lt;0,"Expired",IF(K318&lt;=30,"Due ≤30 days",IF(K318&lt;=90,"Due ≤90 days","OK"))),"Check date"))</f>
        <v/>
      </c>
      <c r="M318" s="21" t="n"/>
      <c r="N318" s="21" t="n"/>
      <c r="O318" s="21" t="n"/>
      <c r="P318" s="21" t="n"/>
    </row>
    <row r="319">
      <c r="A319" s="21" t="n"/>
      <c r="B319" s="21" t="n"/>
      <c r="C319" s="21" t="n"/>
      <c r="D319" s="21" t="n"/>
      <c r="E319" s="22" t="n"/>
      <c r="F319" s="21" t="n"/>
      <c r="G319" s="21" t="n"/>
      <c r="H319" s="23" t="n"/>
      <c r="I319" s="24" t="n"/>
      <c r="J319" s="25">
        <f>IF(ISNUMBER(H319),H319-IF(ISNUMBER(I319),I319,30),"")</f>
        <v/>
      </c>
      <c r="K319" s="26">
        <f>IF(H319="","",IF(ISNUMBER(H319),H319-TODAY(),"Check date"))</f>
        <v/>
      </c>
      <c r="L319" s="27">
        <f>IF(K319="","",IF(ISNUMBER(K319),IF(K319&lt;0,"Expired",IF(K319&lt;=30,"Due ≤30 days",IF(K319&lt;=90,"Due ≤90 days","OK"))),"Check date"))</f>
        <v/>
      </c>
      <c r="M319" s="21" t="n"/>
      <c r="N319" s="21" t="n"/>
      <c r="O319" s="21" t="n"/>
      <c r="P319" s="21" t="n"/>
    </row>
    <row r="320">
      <c r="A320" s="21" t="n"/>
      <c r="B320" s="21" t="n"/>
      <c r="C320" s="21" t="n"/>
      <c r="D320" s="21" t="n"/>
      <c r="E320" s="22" t="n"/>
      <c r="F320" s="21" t="n"/>
      <c r="G320" s="21" t="n"/>
      <c r="H320" s="23" t="n"/>
      <c r="I320" s="24" t="n"/>
      <c r="J320" s="25">
        <f>IF(ISNUMBER(H320),H320-IF(ISNUMBER(I320),I320,30),"")</f>
        <v/>
      </c>
      <c r="K320" s="26">
        <f>IF(H320="","",IF(ISNUMBER(H320),H320-TODAY(),"Check date"))</f>
        <v/>
      </c>
      <c r="L320" s="27">
        <f>IF(K320="","",IF(ISNUMBER(K320),IF(K320&lt;0,"Expired",IF(K320&lt;=30,"Due ≤30 days",IF(K320&lt;=90,"Due ≤90 days","OK"))),"Check date"))</f>
        <v/>
      </c>
      <c r="M320" s="21" t="n"/>
      <c r="N320" s="21" t="n"/>
      <c r="O320" s="21" t="n"/>
      <c r="P320" s="21" t="n"/>
    </row>
    <row r="321">
      <c r="A321" s="21" t="n"/>
      <c r="B321" s="21" t="n"/>
      <c r="C321" s="21" t="n"/>
      <c r="D321" s="21" t="n"/>
      <c r="E321" s="22" t="n"/>
      <c r="F321" s="21" t="n"/>
      <c r="G321" s="21" t="n"/>
      <c r="H321" s="23" t="n"/>
      <c r="I321" s="24" t="n"/>
      <c r="J321" s="25">
        <f>IF(ISNUMBER(H321),H321-IF(ISNUMBER(I321),I321,30),"")</f>
        <v/>
      </c>
      <c r="K321" s="26">
        <f>IF(H321="","",IF(ISNUMBER(H321),H321-TODAY(),"Check date"))</f>
        <v/>
      </c>
      <c r="L321" s="27">
        <f>IF(K321="","",IF(ISNUMBER(K321),IF(K321&lt;0,"Expired",IF(K321&lt;=30,"Due ≤30 days",IF(K321&lt;=90,"Due ≤90 days","OK"))),"Check date"))</f>
        <v/>
      </c>
      <c r="M321" s="21" t="n"/>
      <c r="N321" s="21" t="n"/>
      <c r="O321" s="21" t="n"/>
      <c r="P321" s="21" t="n"/>
    </row>
    <row r="322">
      <c r="A322" s="21" t="n"/>
      <c r="B322" s="21" t="n"/>
      <c r="C322" s="21" t="n"/>
      <c r="D322" s="21" t="n"/>
      <c r="E322" s="22" t="n"/>
      <c r="F322" s="21" t="n"/>
      <c r="G322" s="21" t="n"/>
      <c r="H322" s="23" t="n"/>
      <c r="I322" s="24" t="n"/>
      <c r="J322" s="25">
        <f>IF(ISNUMBER(H322),H322-IF(ISNUMBER(I322),I322,30),"")</f>
        <v/>
      </c>
      <c r="K322" s="26">
        <f>IF(H322="","",IF(ISNUMBER(H322),H322-TODAY(),"Check date"))</f>
        <v/>
      </c>
      <c r="L322" s="27">
        <f>IF(K322="","",IF(ISNUMBER(K322),IF(K322&lt;0,"Expired",IF(K322&lt;=30,"Due ≤30 days",IF(K322&lt;=90,"Due ≤90 days","OK"))),"Check date"))</f>
        <v/>
      </c>
      <c r="M322" s="21" t="n"/>
      <c r="N322" s="21" t="n"/>
      <c r="O322" s="21" t="n"/>
      <c r="P322" s="21" t="n"/>
    </row>
    <row r="323">
      <c r="A323" s="21" t="n"/>
      <c r="B323" s="21" t="n"/>
      <c r="C323" s="21" t="n"/>
      <c r="D323" s="21" t="n"/>
      <c r="E323" s="22" t="n"/>
      <c r="F323" s="21" t="n"/>
      <c r="G323" s="21" t="n"/>
      <c r="H323" s="23" t="n"/>
      <c r="I323" s="24" t="n"/>
      <c r="J323" s="25">
        <f>IF(ISNUMBER(H323),H323-IF(ISNUMBER(I323),I323,30),"")</f>
        <v/>
      </c>
      <c r="K323" s="26">
        <f>IF(H323="","",IF(ISNUMBER(H323),H323-TODAY(),"Check date"))</f>
        <v/>
      </c>
      <c r="L323" s="27">
        <f>IF(K323="","",IF(ISNUMBER(K323),IF(K323&lt;0,"Expired",IF(K323&lt;=30,"Due ≤30 days",IF(K323&lt;=90,"Due ≤90 days","OK"))),"Check date"))</f>
        <v/>
      </c>
      <c r="M323" s="21" t="n"/>
      <c r="N323" s="21" t="n"/>
      <c r="O323" s="21" t="n"/>
      <c r="P323" s="21" t="n"/>
    </row>
    <row r="324">
      <c r="A324" s="21" t="n"/>
      <c r="B324" s="21" t="n"/>
      <c r="C324" s="21" t="n"/>
      <c r="D324" s="21" t="n"/>
      <c r="E324" s="22" t="n"/>
      <c r="F324" s="21" t="n"/>
      <c r="G324" s="21" t="n"/>
      <c r="H324" s="23" t="n"/>
      <c r="I324" s="24" t="n"/>
      <c r="J324" s="25">
        <f>IF(ISNUMBER(H324),H324-IF(ISNUMBER(I324),I324,30),"")</f>
        <v/>
      </c>
      <c r="K324" s="26">
        <f>IF(H324="","",IF(ISNUMBER(H324),H324-TODAY(),"Check date"))</f>
        <v/>
      </c>
      <c r="L324" s="27">
        <f>IF(K324="","",IF(ISNUMBER(K324),IF(K324&lt;0,"Expired",IF(K324&lt;=30,"Due ≤30 days",IF(K324&lt;=90,"Due ≤90 days","OK"))),"Check date"))</f>
        <v/>
      </c>
      <c r="M324" s="21" t="n"/>
      <c r="N324" s="21" t="n"/>
      <c r="O324" s="21" t="n"/>
      <c r="P324" s="21" t="n"/>
    </row>
    <row r="325">
      <c r="A325" s="21" t="n"/>
      <c r="B325" s="21" t="n"/>
      <c r="C325" s="21" t="n"/>
      <c r="D325" s="21" t="n"/>
      <c r="E325" s="22" t="n"/>
      <c r="F325" s="21" t="n"/>
      <c r="G325" s="21" t="n"/>
      <c r="H325" s="23" t="n"/>
      <c r="I325" s="24" t="n"/>
      <c r="J325" s="25">
        <f>IF(ISNUMBER(H325),H325-IF(ISNUMBER(I325),I325,30),"")</f>
        <v/>
      </c>
      <c r="K325" s="26">
        <f>IF(H325="","",IF(ISNUMBER(H325),H325-TODAY(),"Check date"))</f>
        <v/>
      </c>
      <c r="L325" s="27">
        <f>IF(K325="","",IF(ISNUMBER(K325),IF(K325&lt;0,"Expired",IF(K325&lt;=30,"Due ≤30 days",IF(K325&lt;=90,"Due ≤90 days","OK"))),"Check date"))</f>
        <v/>
      </c>
      <c r="M325" s="21" t="n"/>
      <c r="N325" s="21" t="n"/>
      <c r="O325" s="21" t="n"/>
      <c r="P325" s="21" t="n"/>
    </row>
    <row r="326">
      <c r="A326" s="21" t="n"/>
      <c r="B326" s="21" t="n"/>
      <c r="C326" s="21" t="n"/>
      <c r="D326" s="21" t="n"/>
      <c r="E326" s="22" t="n"/>
      <c r="F326" s="21" t="n"/>
      <c r="G326" s="21" t="n"/>
      <c r="H326" s="23" t="n"/>
      <c r="I326" s="24" t="n"/>
      <c r="J326" s="25">
        <f>IF(ISNUMBER(H326),H326-IF(ISNUMBER(I326),I326,30),"")</f>
        <v/>
      </c>
      <c r="K326" s="26">
        <f>IF(H326="","",IF(ISNUMBER(H326),H326-TODAY(),"Check date"))</f>
        <v/>
      </c>
      <c r="L326" s="27">
        <f>IF(K326="","",IF(ISNUMBER(K326),IF(K326&lt;0,"Expired",IF(K326&lt;=30,"Due ≤30 days",IF(K326&lt;=90,"Due ≤90 days","OK"))),"Check date"))</f>
        <v/>
      </c>
      <c r="M326" s="21" t="n"/>
      <c r="N326" s="21" t="n"/>
      <c r="O326" s="21" t="n"/>
      <c r="P326" s="21" t="n"/>
    </row>
    <row r="327">
      <c r="A327" s="21" t="n"/>
      <c r="B327" s="21" t="n"/>
      <c r="C327" s="21" t="n"/>
      <c r="D327" s="21" t="n"/>
      <c r="E327" s="22" t="n"/>
      <c r="F327" s="21" t="n"/>
      <c r="G327" s="21" t="n"/>
      <c r="H327" s="23" t="n"/>
      <c r="I327" s="24" t="n"/>
      <c r="J327" s="25">
        <f>IF(ISNUMBER(H327),H327-IF(ISNUMBER(I327),I327,30),"")</f>
        <v/>
      </c>
      <c r="K327" s="26">
        <f>IF(H327="","",IF(ISNUMBER(H327),H327-TODAY(),"Check date"))</f>
        <v/>
      </c>
      <c r="L327" s="27">
        <f>IF(K327="","",IF(ISNUMBER(K327),IF(K327&lt;0,"Expired",IF(K327&lt;=30,"Due ≤30 days",IF(K327&lt;=90,"Due ≤90 days","OK"))),"Check date"))</f>
        <v/>
      </c>
      <c r="M327" s="21" t="n"/>
      <c r="N327" s="21" t="n"/>
      <c r="O327" s="21" t="n"/>
      <c r="P327" s="21" t="n"/>
    </row>
    <row r="328">
      <c r="A328" s="21" t="n"/>
      <c r="B328" s="21" t="n"/>
      <c r="C328" s="21" t="n"/>
      <c r="D328" s="21" t="n"/>
      <c r="E328" s="22" t="n"/>
      <c r="F328" s="21" t="n"/>
      <c r="G328" s="21" t="n"/>
      <c r="H328" s="23" t="n"/>
      <c r="I328" s="24" t="n"/>
      <c r="J328" s="25">
        <f>IF(ISNUMBER(H328),H328-IF(ISNUMBER(I328),I328,30),"")</f>
        <v/>
      </c>
      <c r="K328" s="26">
        <f>IF(H328="","",IF(ISNUMBER(H328),H328-TODAY(),"Check date"))</f>
        <v/>
      </c>
      <c r="L328" s="27">
        <f>IF(K328="","",IF(ISNUMBER(K328),IF(K328&lt;0,"Expired",IF(K328&lt;=30,"Due ≤30 days",IF(K328&lt;=90,"Due ≤90 days","OK"))),"Check date"))</f>
        <v/>
      </c>
      <c r="M328" s="21" t="n"/>
      <c r="N328" s="21" t="n"/>
      <c r="O328" s="21" t="n"/>
      <c r="P328" s="21" t="n"/>
    </row>
    <row r="329">
      <c r="A329" s="21" t="n"/>
      <c r="B329" s="21" t="n"/>
      <c r="C329" s="21" t="n"/>
      <c r="D329" s="21" t="n"/>
      <c r="E329" s="22" t="n"/>
      <c r="F329" s="21" t="n"/>
      <c r="G329" s="21" t="n"/>
      <c r="H329" s="23" t="n"/>
      <c r="I329" s="24" t="n"/>
      <c r="J329" s="25">
        <f>IF(ISNUMBER(H329),H329-IF(ISNUMBER(I329),I329,30),"")</f>
        <v/>
      </c>
      <c r="K329" s="26">
        <f>IF(H329="","",IF(ISNUMBER(H329),H329-TODAY(),"Check date"))</f>
        <v/>
      </c>
      <c r="L329" s="27">
        <f>IF(K329="","",IF(ISNUMBER(K329),IF(K329&lt;0,"Expired",IF(K329&lt;=30,"Due ≤30 days",IF(K329&lt;=90,"Due ≤90 days","OK"))),"Check date"))</f>
        <v/>
      </c>
      <c r="M329" s="21" t="n"/>
      <c r="N329" s="21" t="n"/>
      <c r="O329" s="21" t="n"/>
      <c r="P329" s="21" t="n"/>
    </row>
    <row r="330">
      <c r="A330" s="21" t="n"/>
      <c r="B330" s="21" t="n"/>
      <c r="C330" s="21" t="n"/>
      <c r="D330" s="21" t="n"/>
      <c r="E330" s="22" t="n"/>
      <c r="F330" s="21" t="n"/>
      <c r="G330" s="21" t="n"/>
      <c r="H330" s="23" t="n"/>
      <c r="I330" s="24" t="n"/>
      <c r="J330" s="25">
        <f>IF(ISNUMBER(H330),H330-IF(ISNUMBER(I330),I330,30),"")</f>
        <v/>
      </c>
      <c r="K330" s="26">
        <f>IF(H330="","",IF(ISNUMBER(H330),H330-TODAY(),"Check date"))</f>
        <v/>
      </c>
      <c r="L330" s="27">
        <f>IF(K330="","",IF(ISNUMBER(K330),IF(K330&lt;0,"Expired",IF(K330&lt;=30,"Due ≤30 days",IF(K330&lt;=90,"Due ≤90 days","OK"))),"Check date"))</f>
        <v/>
      </c>
      <c r="M330" s="21" t="n"/>
      <c r="N330" s="21" t="n"/>
      <c r="O330" s="21" t="n"/>
      <c r="P330" s="21" t="n"/>
    </row>
    <row r="331">
      <c r="A331" s="21" t="n"/>
      <c r="B331" s="21" t="n"/>
      <c r="C331" s="21" t="n"/>
      <c r="D331" s="21" t="n"/>
      <c r="E331" s="22" t="n"/>
      <c r="F331" s="21" t="n"/>
      <c r="G331" s="21" t="n"/>
      <c r="H331" s="23" t="n"/>
      <c r="I331" s="24" t="n"/>
      <c r="J331" s="25">
        <f>IF(ISNUMBER(H331),H331-IF(ISNUMBER(I331),I331,30),"")</f>
        <v/>
      </c>
      <c r="K331" s="26">
        <f>IF(H331="","",IF(ISNUMBER(H331),H331-TODAY(),"Check date"))</f>
        <v/>
      </c>
      <c r="L331" s="27">
        <f>IF(K331="","",IF(ISNUMBER(K331),IF(K331&lt;0,"Expired",IF(K331&lt;=30,"Due ≤30 days",IF(K331&lt;=90,"Due ≤90 days","OK"))),"Check date"))</f>
        <v/>
      </c>
      <c r="M331" s="21" t="n"/>
      <c r="N331" s="21" t="n"/>
      <c r="O331" s="21" t="n"/>
      <c r="P331" s="21" t="n"/>
    </row>
    <row r="332">
      <c r="A332" s="21" t="n"/>
      <c r="B332" s="21" t="n"/>
      <c r="C332" s="21" t="n"/>
      <c r="D332" s="21" t="n"/>
      <c r="E332" s="22" t="n"/>
      <c r="F332" s="21" t="n"/>
      <c r="G332" s="21" t="n"/>
      <c r="H332" s="23" t="n"/>
      <c r="I332" s="24" t="n"/>
      <c r="J332" s="25">
        <f>IF(ISNUMBER(H332),H332-IF(ISNUMBER(I332),I332,30),"")</f>
        <v/>
      </c>
      <c r="K332" s="26">
        <f>IF(H332="","",IF(ISNUMBER(H332),H332-TODAY(),"Check date"))</f>
        <v/>
      </c>
      <c r="L332" s="27">
        <f>IF(K332="","",IF(ISNUMBER(K332),IF(K332&lt;0,"Expired",IF(K332&lt;=30,"Due ≤30 days",IF(K332&lt;=90,"Due ≤90 days","OK"))),"Check date"))</f>
        <v/>
      </c>
      <c r="M332" s="21" t="n"/>
      <c r="N332" s="21" t="n"/>
      <c r="O332" s="21" t="n"/>
      <c r="P332" s="21" t="n"/>
    </row>
    <row r="333">
      <c r="A333" s="21" t="n"/>
      <c r="B333" s="21" t="n"/>
      <c r="C333" s="21" t="n"/>
      <c r="D333" s="21" t="n"/>
      <c r="E333" s="22" t="n"/>
      <c r="F333" s="21" t="n"/>
      <c r="G333" s="21" t="n"/>
      <c r="H333" s="23" t="n"/>
      <c r="I333" s="24" t="n"/>
      <c r="J333" s="25">
        <f>IF(ISNUMBER(H333),H333-IF(ISNUMBER(I333),I333,30),"")</f>
        <v/>
      </c>
      <c r="K333" s="26">
        <f>IF(H333="","",IF(ISNUMBER(H333),H333-TODAY(),"Check date"))</f>
        <v/>
      </c>
      <c r="L333" s="27">
        <f>IF(K333="","",IF(ISNUMBER(K333),IF(K333&lt;0,"Expired",IF(K333&lt;=30,"Due ≤30 days",IF(K333&lt;=90,"Due ≤90 days","OK"))),"Check date"))</f>
        <v/>
      </c>
      <c r="M333" s="21" t="n"/>
      <c r="N333" s="21" t="n"/>
      <c r="O333" s="21" t="n"/>
      <c r="P333" s="21" t="n"/>
    </row>
    <row r="334">
      <c r="A334" s="21" t="n"/>
      <c r="B334" s="21" t="n"/>
      <c r="C334" s="21" t="n"/>
      <c r="D334" s="21" t="n"/>
      <c r="E334" s="22" t="n"/>
      <c r="F334" s="21" t="n"/>
      <c r="G334" s="21" t="n"/>
      <c r="H334" s="23" t="n"/>
      <c r="I334" s="24" t="n"/>
      <c r="J334" s="25">
        <f>IF(ISNUMBER(H334),H334-IF(ISNUMBER(I334),I334,30),"")</f>
        <v/>
      </c>
      <c r="K334" s="26">
        <f>IF(H334="","",IF(ISNUMBER(H334),H334-TODAY(),"Check date"))</f>
        <v/>
      </c>
      <c r="L334" s="27">
        <f>IF(K334="","",IF(ISNUMBER(K334),IF(K334&lt;0,"Expired",IF(K334&lt;=30,"Due ≤30 days",IF(K334&lt;=90,"Due ≤90 days","OK"))),"Check date"))</f>
        <v/>
      </c>
      <c r="M334" s="21" t="n"/>
      <c r="N334" s="21" t="n"/>
      <c r="O334" s="21" t="n"/>
      <c r="P334" s="21" t="n"/>
    </row>
    <row r="335">
      <c r="A335" s="21" t="n"/>
      <c r="B335" s="21" t="n"/>
      <c r="C335" s="21" t="n"/>
      <c r="D335" s="21" t="n"/>
      <c r="E335" s="22" t="n"/>
      <c r="F335" s="21" t="n"/>
      <c r="G335" s="21" t="n"/>
      <c r="H335" s="23" t="n"/>
      <c r="I335" s="24" t="n"/>
      <c r="J335" s="25">
        <f>IF(ISNUMBER(H335),H335-IF(ISNUMBER(I335),I335,30),"")</f>
        <v/>
      </c>
      <c r="K335" s="26">
        <f>IF(H335="","",IF(ISNUMBER(H335),H335-TODAY(),"Check date"))</f>
        <v/>
      </c>
      <c r="L335" s="27">
        <f>IF(K335="","",IF(ISNUMBER(K335),IF(K335&lt;0,"Expired",IF(K335&lt;=30,"Due ≤30 days",IF(K335&lt;=90,"Due ≤90 days","OK"))),"Check date"))</f>
        <v/>
      </c>
      <c r="M335" s="21" t="n"/>
      <c r="N335" s="21" t="n"/>
      <c r="O335" s="21" t="n"/>
      <c r="P335" s="21" t="n"/>
    </row>
    <row r="336">
      <c r="A336" s="21" t="n"/>
      <c r="B336" s="21" t="n"/>
      <c r="C336" s="21" t="n"/>
      <c r="D336" s="21" t="n"/>
      <c r="E336" s="22" t="n"/>
      <c r="F336" s="21" t="n"/>
      <c r="G336" s="21" t="n"/>
      <c r="H336" s="23" t="n"/>
      <c r="I336" s="24" t="n"/>
      <c r="J336" s="25">
        <f>IF(ISNUMBER(H336),H336-IF(ISNUMBER(I336),I336,30),"")</f>
        <v/>
      </c>
      <c r="K336" s="26">
        <f>IF(H336="","",IF(ISNUMBER(H336),H336-TODAY(),"Check date"))</f>
        <v/>
      </c>
      <c r="L336" s="27">
        <f>IF(K336="","",IF(ISNUMBER(K336),IF(K336&lt;0,"Expired",IF(K336&lt;=30,"Due ≤30 days",IF(K336&lt;=90,"Due ≤90 days","OK"))),"Check date"))</f>
        <v/>
      </c>
      <c r="M336" s="21" t="n"/>
      <c r="N336" s="21" t="n"/>
      <c r="O336" s="21" t="n"/>
      <c r="P336" s="21" t="n"/>
    </row>
    <row r="337">
      <c r="A337" s="21" t="n"/>
      <c r="B337" s="21" t="n"/>
      <c r="C337" s="21" t="n"/>
      <c r="D337" s="21" t="n"/>
      <c r="E337" s="22" t="n"/>
      <c r="F337" s="21" t="n"/>
      <c r="G337" s="21" t="n"/>
      <c r="H337" s="23" t="n"/>
      <c r="I337" s="24" t="n"/>
      <c r="J337" s="25">
        <f>IF(ISNUMBER(H337),H337-IF(ISNUMBER(I337),I337,30),"")</f>
        <v/>
      </c>
      <c r="K337" s="26">
        <f>IF(H337="","",IF(ISNUMBER(H337),H337-TODAY(),"Check date"))</f>
        <v/>
      </c>
      <c r="L337" s="27">
        <f>IF(K337="","",IF(ISNUMBER(K337),IF(K337&lt;0,"Expired",IF(K337&lt;=30,"Due ≤30 days",IF(K337&lt;=90,"Due ≤90 days","OK"))),"Check date"))</f>
        <v/>
      </c>
      <c r="M337" s="21" t="n"/>
      <c r="N337" s="21" t="n"/>
      <c r="O337" s="21" t="n"/>
      <c r="P337" s="21" t="n"/>
    </row>
    <row r="338">
      <c r="A338" s="21" t="n"/>
      <c r="B338" s="21" t="n"/>
      <c r="C338" s="21" t="n"/>
      <c r="D338" s="21" t="n"/>
      <c r="E338" s="22" t="n"/>
      <c r="F338" s="21" t="n"/>
      <c r="G338" s="21" t="n"/>
      <c r="H338" s="23" t="n"/>
      <c r="I338" s="24" t="n"/>
      <c r="J338" s="25">
        <f>IF(ISNUMBER(H338),H338-IF(ISNUMBER(I338),I338,30),"")</f>
        <v/>
      </c>
      <c r="K338" s="26">
        <f>IF(H338="","",IF(ISNUMBER(H338),H338-TODAY(),"Check date"))</f>
        <v/>
      </c>
      <c r="L338" s="27">
        <f>IF(K338="","",IF(ISNUMBER(K338),IF(K338&lt;0,"Expired",IF(K338&lt;=30,"Due ≤30 days",IF(K338&lt;=90,"Due ≤90 days","OK"))),"Check date"))</f>
        <v/>
      </c>
      <c r="M338" s="21" t="n"/>
      <c r="N338" s="21" t="n"/>
      <c r="O338" s="21" t="n"/>
      <c r="P338" s="21" t="n"/>
    </row>
    <row r="339">
      <c r="A339" s="21" t="n"/>
      <c r="B339" s="21" t="n"/>
      <c r="C339" s="21" t="n"/>
      <c r="D339" s="21" t="n"/>
      <c r="E339" s="22" t="n"/>
      <c r="F339" s="21" t="n"/>
      <c r="G339" s="21" t="n"/>
      <c r="H339" s="23" t="n"/>
      <c r="I339" s="24" t="n"/>
      <c r="J339" s="25">
        <f>IF(ISNUMBER(H339),H339-IF(ISNUMBER(I339),I339,30),"")</f>
        <v/>
      </c>
      <c r="K339" s="26">
        <f>IF(H339="","",IF(ISNUMBER(H339),H339-TODAY(),"Check date"))</f>
        <v/>
      </c>
      <c r="L339" s="27">
        <f>IF(K339="","",IF(ISNUMBER(K339),IF(K339&lt;0,"Expired",IF(K339&lt;=30,"Due ≤30 days",IF(K339&lt;=90,"Due ≤90 days","OK"))),"Check date"))</f>
        <v/>
      </c>
      <c r="M339" s="21" t="n"/>
      <c r="N339" s="21" t="n"/>
      <c r="O339" s="21" t="n"/>
      <c r="P339" s="21" t="n"/>
    </row>
    <row r="340">
      <c r="A340" s="21" t="n"/>
      <c r="B340" s="21" t="n"/>
      <c r="C340" s="21" t="n"/>
      <c r="D340" s="21" t="n"/>
      <c r="E340" s="22" t="n"/>
      <c r="F340" s="21" t="n"/>
      <c r="G340" s="21" t="n"/>
      <c r="H340" s="23" t="n"/>
      <c r="I340" s="24" t="n"/>
      <c r="J340" s="25">
        <f>IF(ISNUMBER(H340),H340-IF(ISNUMBER(I340),I340,30),"")</f>
        <v/>
      </c>
      <c r="K340" s="26">
        <f>IF(H340="","",IF(ISNUMBER(H340),H340-TODAY(),"Check date"))</f>
        <v/>
      </c>
      <c r="L340" s="27">
        <f>IF(K340="","",IF(ISNUMBER(K340),IF(K340&lt;0,"Expired",IF(K340&lt;=30,"Due ≤30 days",IF(K340&lt;=90,"Due ≤90 days","OK"))),"Check date"))</f>
        <v/>
      </c>
      <c r="M340" s="21" t="n"/>
      <c r="N340" s="21" t="n"/>
      <c r="O340" s="21" t="n"/>
      <c r="P340" s="21" t="n"/>
    </row>
    <row r="341">
      <c r="A341" s="21" t="n"/>
      <c r="B341" s="21" t="n"/>
      <c r="C341" s="21" t="n"/>
      <c r="D341" s="21" t="n"/>
      <c r="E341" s="22" t="n"/>
      <c r="F341" s="21" t="n"/>
      <c r="G341" s="21" t="n"/>
      <c r="H341" s="23" t="n"/>
      <c r="I341" s="24" t="n"/>
      <c r="J341" s="25">
        <f>IF(ISNUMBER(H341),H341-IF(ISNUMBER(I341),I341,30),"")</f>
        <v/>
      </c>
      <c r="K341" s="26">
        <f>IF(H341="","",IF(ISNUMBER(H341),H341-TODAY(),"Check date"))</f>
        <v/>
      </c>
      <c r="L341" s="27">
        <f>IF(K341="","",IF(ISNUMBER(K341),IF(K341&lt;0,"Expired",IF(K341&lt;=30,"Due ≤30 days",IF(K341&lt;=90,"Due ≤90 days","OK"))),"Check date"))</f>
        <v/>
      </c>
      <c r="M341" s="21" t="n"/>
      <c r="N341" s="21" t="n"/>
      <c r="O341" s="21" t="n"/>
      <c r="P341" s="21" t="n"/>
    </row>
    <row r="342">
      <c r="A342" s="21" t="n"/>
      <c r="B342" s="21" t="n"/>
      <c r="C342" s="21" t="n"/>
      <c r="D342" s="21" t="n"/>
      <c r="E342" s="22" t="n"/>
      <c r="F342" s="21" t="n"/>
      <c r="G342" s="21" t="n"/>
      <c r="H342" s="23" t="n"/>
      <c r="I342" s="24" t="n"/>
      <c r="J342" s="25">
        <f>IF(ISNUMBER(H342),H342-IF(ISNUMBER(I342),I342,30),"")</f>
        <v/>
      </c>
      <c r="K342" s="26">
        <f>IF(H342="","",IF(ISNUMBER(H342),H342-TODAY(),"Check date"))</f>
        <v/>
      </c>
      <c r="L342" s="27">
        <f>IF(K342="","",IF(ISNUMBER(K342),IF(K342&lt;0,"Expired",IF(K342&lt;=30,"Due ≤30 days",IF(K342&lt;=90,"Due ≤90 days","OK"))),"Check date"))</f>
        <v/>
      </c>
      <c r="M342" s="21" t="n"/>
      <c r="N342" s="21" t="n"/>
      <c r="O342" s="21" t="n"/>
      <c r="P342" s="21" t="n"/>
    </row>
    <row r="343">
      <c r="A343" s="21" t="n"/>
      <c r="B343" s="21" t="n"/>
      <c r="C343" s="21" t="n"/>
      <c r="D343" s="21" t="n"/>
      <c r="E343" s="22" t="n"/>
      <c r="F343" s="21" t="n"/>
      <c r="G343" s="21" t="n"/>
      <c r="H343" s="23" t="n"/>
      <c r="I343" s="24" t="n"/>
      <c r="J343" s="25">
        <f>IF(ISNUMBER(H343),H343-IF(ISNUMBER(I343),I343,30),"")</f>
        <v/>
      </c>
      <c r="K343" s="26">
        <f>IF(H343="","",IF(ISNUMBER(H343),H343-TODAY(),"Check date"))</f>
        <v/>
      </c>
      <c r="L343" s="27">
        <f>IF(K343="","",IF(ISNUMBER(K343),IF(K343&lt;0,"Expired",IF(K343&lt;=30,"Due ≤30 days",IF(K343&lt;=90,"Due ≤90 days","OK"))),"Check date"))</f>
        <v/>
      </c>
      <c r="M343" s="21" t="n"/>
      <c r="N343" s="21" t="n"/>
      <c r="O343" s="21" t="n"/>
      <c r="P343" s="21" t="n"/>
    </row>
    <row r="344">
      <c r="A344" s="21" t="n"/>
      <c r="B344" s="21" t="n"/>
      <c r="C344" s="21" t="n"/>
      <c r="D344" s="21" t="n"/>
      <c r="E344" s="22" t="n"/>
      <c r="F344" s="21" t="n"/>
      <c r="G344" s="21" t="n"/>
      <c r="H344" s="23" t="n"/>
      <c r="I344" s="24" t="n"/>
      <c r="J344" s="25">
        <f>IF(ISNUMBER(H344),H344-IF(ISNUMBER(I344),I344,30),"")</f>
        <v/>
      </c>
      <c r="K344" s="26">
        <f>IF(H344="","",IF(ISNUMBER(H344),H344-TODAY(),"Check date"))</f>
        <v/>
      </c>
      <c r="L344" s="27">
        <f>IF(K344="","",IF(ISNUMBER(K344),IF(K344&lt;0,"Expired",IF(K344&lt;=30,"Due ≤30 days",IF(K344&lt;=90,"Due ≤90 days","OK"))),"Check date"))</f>
        <v/>
      </c>
      <c r="M344" s="21" t="n"/>
      <c r="N344" s="21" t="n"/>
      <c r="O344" s="21" t="n"/>
      <c r="P344" s="21" t="n"/>
    </row>
    <row r="345">
      <c r="A345" s="21" t="n"/>
      <c r="B345" s="21" t="n"/>
      <c r="C345" s="21" t="n"/>
      <c r="D345" s="21" t="n"/>
      <c r="E345" s="22" t="n"/>
      <c r="F345" s="21" t="n"/>
      <c r="G345" s="21" t="n"/>
      <c r="H345" s="23" t="n"/>
      <c r="I345" s="24" t="n"/>
      <c r="J345" s="25">
        <f>IF(ISNUMBER(H345),H345-IF(ISNUMBER(I345),I345,30),"")</f>
        <v/>
      </c>
      <c r="K345" s="26">
        <f>IF(H345="","",IF(ISNUMBER(H345),H345-TODAY(),"Check date"))</f>
        <v/>
      </c>
      <c r="L345" s="27">
        <f>IF(K345="","",IF(ISNUMBER(K345),IF(K345&lt;0,"Expired",IF(K345&lt;=30,"Due ≤30 days",IF(K345&lt;=90,"Due ≤90 days","OK"))),"Check date"))</f>
        <v/>
      </c>
      <c r="M345" s="21" t="n"/>
      <c r="N345" s="21" t="n"/>
      <c r="O345" s="21" t="n"/>
      <c r="P345" s="21" t="n"/>
    </row>
    <row r="346">
      <c r="A346" s="21" t="n"/>
      <c r="B346" s="21" t="n"/>
      <c r="C346" s="21" t="n"/>
      <c r="D346" s="21" t="n"/>
      <c r="E346" s="22" t="n"/>
      <c r="F346" s="21" t="n"/>
      <c r="G346" s="21" t="n"/>
      <c r="H346" s="23" t="n"/>
      <c r="I346" s="24" t="n"/>
      <c r="J346" s="25">
        <f>IF(ISNUMBER(H346),H346-IF(ISNUMBER(I346),I346,30),"")</f>
        <v/>
      </c>
      <c r="K346" s="26">
        <f>IF(H346="","",IF(ISNUMBER(H346),H346-TODAY(),"Check date"))</f>
        <v/>
      </c>
      <c r="L346" s="27">
        <f>IF(K346="","",IF(ISNUMBER(K346),IF(K346&lt;0,"Expired",IF(K346&lt;=30,"Due ≤30 days",IF(K346&lt;=90,"Due ≤90 days","OK"))),"Check date"))</f>
        <v/>
      </c>
      <c r="M346" s="21" t="n"/>
      <c r="N346" s="21" t="n"/>
      <c r="O346" s="21" t="n"/>
      <c r="P346" s="21" t="n"/>
    </row>
    <row r="347">
      <c r="A347" s="21" t="n"/>
      <c r="B347" s="21" t="n"/>
      <c r="C347" s="21" t="n"/>
      <c r="D347" s="21" t="n"/>
      <c r="E347" s="22" t="n"/>
      <c r="F347" s="21" t="n"/>
      <c r="G347" s="21" t="n"/>
      <c r="H347" s="23" t="n"/>
      <c r="I347" s="24" t="n"/>
      <c r="J347" s="25">
        <f>IF(ISNUMBER(H347),H347-IF(ISNUMBER(I347),I347,30),"")</f>
        <v/>
      </c>
      <c r="K347" s="26">
        <f>IF(H347="","",IF(ISNUMBER(H347),H347-TODAY(),"Check date"))</f>
        <v/>
      </c>
      <c r="L347" s="27">
        <f>IF(K347="","",IF(ISNUMBER(K347),IF(K347&lt;0,"Expired",IF(K347&lt;=30,"Due ≤30 days",IF(K347&lt;=90,"Due ≤90 days","OK"))),"Check date"))</f>
        <v/>
      </c>
      <c r="M347" s="21" t="n"/>
      <c r="N347" s="21" t="n"/>
      <c r="O347" s="21" t="n"/>
      <c r="P347" s="21" t="n"/>
    </row>
    <row r="348">
      <c r="A348" s="21" t="n"/>
      <c r="B348" s="21" t="n"/>
      <c r="C348" s="21" t="n"/>
      <c r="D348" s="21" t="n"/>
      <c r="E348" s="22" t="n"/>
      <c r="F348" s="21" t="n"/>
      <c r="G348" s="21" t="n"/>
      <c r="H348" s="23" t="n"/>
      <c r="I348" s="24" t="n"/>
      <c r="J348" s="25">
        <f>IF(ISNUMBER(H348),H348-IF(ISNUMBER(I348),I348,30),"")</f>
        <v/>
      </c>
      <c r="K348" s="26">
        <f>IF(H348="","",IF(ISNUMBER(H348),H348-TODAY(),"Check date"))</f>
        <v/>
      </c>
      <c r="L348" s="27">
        <f>IF(K348="","",IF(ISNUMBER(K348),IF(K348&lt;0,"Expired",IF(K348&lt;=30,"Due ≤30 days",IF(K348&lt;=90,"Due ≤90 days","OK"))),"Check date"))</f>
        <v/>
      </c>
      <c r="M348" s="21" t="n"/>
      <c r="N348" s="21" t="n"/>
      <c r="O348" s="21" t="n"/>
      <c r="P348" s="21" t="n"/>
    </row>
    <row r="349">
      <c r="A349" s="21" t="n"/>
      <c r="B349" s="21" t="n"/>
      <c r="C349" s="21" t="n"/>
      <c r="D349" s="21" t="n"/>
      <c r="E349" s="22" t="n"/>
      <c r="F349" s="21" t="n"/>
      <c r="G349" s="21" t="n"/>
      <c r="H349" s="23" t="n"/>
      <c r="I349" s="24" t="n"/>
      <c r="J349" s="25">
        <f>IF(ISNUMBER(H349),H349-IF(ISNUMBER(I349),I349,30),"")</f>
        <v/>
      </c>
      <c r="K349" s="26">
        <f>IF(H349="","",IF(ISNUMBER(H349),H349-TODAY(),"Check date"))</f>
        <v/>
      </c>
      <c r="L349" s="27">
        <f>IF(K349="","",IF(ISNUMBER(K349),IF(K349&lt;0,"Expired",IF(K349&lt;=30,"Due ≤30 days",IF(K349&lt;=90,"Due ≤90 days","OK"))),"Check date"))</f>
        <v/>
      </c>
      <c r="M349" s="21" t="n"/>
      <c r="N349" s="21" t="n"/>
      <c r="O349" s="21" t="n"/>
      <c r="P349" s="21" t="n"/>
    </row>
    <row r="350">
      <c r="A350" s="21" t="n"/>
      <c r="B350" s="21" t="n"/>
      <c r="C350" s="21" t="n"/>
      <c r="D350" s="21" t="n"/>
      <c r="E350" s="22" t="n"/>
      <c r="F350" s="21" t="n"/>
      <c r="G350" s="21" t="n"/>
      <c r="H350" s="23" t="n"/>
      <c r="I350" s="24" t="n"/>
      <c r="J350" s="25">
        <f>IF(ISNUMBER(H350),H350-IF(ISNUMBER(I350),I350,30),"")</f>
        <v/>
      </c>
      <c r="K350" s="26">
        <f>IF(H350="","",IF(ISNUMBER(H350),H350-TODAY(),"Check date"))</f>
        <v/>
      </c>
      <c r="L350" s="27">
        <f>IF(K350="","",IF(ISNUMBER(K350),IF(K350&lt;0,"Expired",IF(K350&lt;=30,"Due ≤30 days",IF(K350&lt;=90,"Due ≤90 days","OK"))),"Check date"))</f>
        <v/>
      </c>
      <c r="M350" s="21" t="n"/>
      <c r="N350" s="21" t="n"/>
      <c r="O350" s="21" t="n"/>
      <c r="P350" s="21" t="n"/>
    </row>
    <row r="351">
      <c r="A351" s="21" t="n"/>
      <c r="B351" s="21" t="n"/>
      <c r="C351" s="21" t="n"/>
      <c r="D351" s="21" t="n"/>
      <c r="E351" s="22" t="n"/>
      <c r="F351" s="21" t="n"/>
      <c r="G351" s="21" t="n"/>
      <c r="H351" s="23" t="n"/>
      <c r="I351" s="24" t="n"/>
      <c r="J351" s="25">
        <f>IF(ISNUMBER(H351),H351-IF(ISNUMBER(I351),I351,30),"")</f>
        <v/>
      </c>
      <c r="K351" s="26">
        <f>IF(H351="","",IF(ISNUMBER(H351),H351-TODAY(),"Check date"))</f>
        <v/>
      </c>
      <c r="L351" s="27">
        <f>IF(K351="","",IF(ISNUMBER(K351),IF(K351&lt;0,"Expired",IF(K351&lt;=30,"Due ≤30 days",IF(K351&lt;=90,"Due ≤90 days","OK"))),"Check date"))</f>
        <v/>
      </c>
      <c r="M351" s="21" t="n"/>
      <c r="N351" s="21" t="n"/>
      <c r="O351" s="21" t="n"/>
      <c r="P351" s="21" t="n"/>
    </row>
    <row r="352">
      <c r="A352" s="21" t="n"/>
      <c r="B352" s="21" t="n"/>
      <c r="C352" s="21" t="n"/>
      <c r="D352" s="21" t="n"/>
      <c r="E352" s="22" t="n"/>
      <c r="F352" s="21" t="n"/>
      <c r="G352" s="21" t="n"/>
      <c r="H352" s="23" t="n"/>
      <c r="I352" s="24" t="n"/>
      <c r="J352" s="25">
        <f>IF(ISNUMBER(H352),H352-IF(ISNUMBER(I352),I352,30),"")</f>
        <v/>
      </c>
      <c r="K352" s="26">
        <f>IF(H352="","",IF(ISNUMBER(H352),H352-TODAY(),"Check date"))</f>
        <v/>
      </c>
      <c r="L352" s="27">
        <f>IF(K352="","",IF(ISNUMBER(K352),IF(K352&lt;0,"Expired",IF(K352&lt;=30,"Due ≤30 days",IF(K352&lt;=90,"Due ≤90 days","OK"))),"Check date"))</f>
        <v/>
      </c>
      <c r="M352" s="21" t="n"/>
      <c r="N352" s="21" t="n"/>
      <c r="O352" s="21" t="n"/>
      <c r="P352" s="21" t="n"/>
    </row>
    <row r="353">
      <c r="A353" s="21" t="n"/>
      <c r="B353" s="21" t="n"/>
      <c r="C353" s="21" t="n"/>
      <c r="D353" s="21" t="n"/>
      <c r="E353" s="22" t="n"/>
      <c r="F353" s="21" t="n"/>
      <c r="G353" s="21" t="n"/>
      <c r="H353" s="23" t="n"/>
      <c r="I353" s="24" t="n"/>
      <c r="J353" s="25">
        <f>IF(ISNUMBER(H353),H353-IF(ISNUMBER(I353),I353,30),"")</f>
        <v/>
      </c>
      <c r="K353" s="26">
        <f>IF(H353="","",IF(ISNUMBER(H353),H353-TODAY(),"Check date"))</f>
        <v/>
      </c>
      <c r="L353" s="27">
        <f>IF(K353="","",IF(ISNUMBER(K353),IF(K353&lt;0,"Expired",IF(K353&lt;=30,"Due ≤30 days",IF(K353&lt;=90,"Due ≤90 days","OK"))),"Check date"))</f>
        <v/>
      </c>
      <c r="M353" s="21" t="n"/>
      <c r="N353" s="21" t="n"/>
      <c r="O353" s="21" t="n"/>
      <c r="P353" s="21" t="n"/>
    </row>
    <row r="354">
      <c r="A354" s="21" t="n"/>
      <c r="B354" s="21" t="n"/>
      <c r="C354" s="21" t="n"/>
      <c r="D354" s="21" t="n"/>
      <c r="E354" s="22" t="n"/>
      <c r="F354" s="21" t="n"/>
      <c r="G354" s="21" t="n"/>
      <c r="H354" s="23" t="n"/>
      <c r="I354" s="24" t="n"/>
      <c r="J354" s="25">
        <f>IF(ISNUMBER(H354),H354-IF(ISNUMBER(I354),I354,30),"")</f>
        <v/>
      </c>
      <c r="K354" s="26">
        <f>IF(H354="","",IF(ISNUMBER(H354),H354-TODAY(),"Check date"))</f>
        <v/>
      </c>
      <c r="L354" s="27">
        <f>IF(K354="","",IF(ISNUMBER(K354),IF(K354&lt;0,"Expired",IF(K354&lt;=30,"Due ≤30 days",IF(K354&lt;=90,"Due ≤90 days","OK"))),"Check date"))</f>
        <v/>
      </c>
      <c r="M354" s="21" t="n"/>
      <c r="N354" s="21" t="n"/>
      <c r="O354" s="21" t="n"/>
      <c r="P354" s="21" t="n"/>
    </row>
    <row r="355">
      <c r="A355" s="21" t="n"/>
      <c r="B355" s="21" t="n"/>
      <c r="C355" s="21" t="n"/>
      <c r="D355" s="21" t="n"/>
      <c r="E355" s="22" t="n"/>
      <c r="F355" s="21" t="n"/>
      <c r="G355" s="21" t="n"/>
      <c r="H355" s="23" t="n"/>
      <c r="I355" s="24" t="n"/>
      <c r="J355" s="25">
        <f>IF(ISNUMBER(H355),H355-IF(ISNUMBER(I355),I355,30),"")</f>
        <v/>
      </c>
      <c r="K355" s="26">
        <f>IF(H355="","",IF(ISNUMBER(H355),H355-TODAY(),"Check date"))</f>
        <v/>
      </c>
      <c r="L355" s="27">
        <f>IF(K355="","",IF(ISNUMBER(K355),IF(K355&lt;0,"Expired",IF(K355&lt;=30,"Due ≤30 days",IF(K355&lt;=90,"Due ≤90 days","OK"))),"Check date"))</f>
        <v/>
      </c>
      <c r="M355" s="21" t="n"/>
      <c r="N355" s="21" t="n"/>
      <c r="O355" s="21" t="n"/>
      <c r="P355" s="21" t="n"/>
    </row>
    <row r="356">
      <c r="A356" s="21" t="n"/>
      <c r="B356" s="21" t="n"/>
      <c r="C356" s="21" t="n"/>
      <c r="D356" s="21" t="n"/>
      <c r="E356" s="22" t="n"/>
      <c r="F356" s="21" t="n"/>
      <c r="G356" s="21" t="n"/>
      <c r="H356" s="23" t="n"/>
      <c r="I356" s="24" t="n"/>
      <c r="J356" s="25">
        <f>IF(ISNUMBER(H356),H356-IF(ISNUMBER(I356),I356,30),"")</f>
        <v/>
      </c>
      <c r="K356" s="26">
        <f>IF(H356="","",IF(ISNUMBER(H356),H356-TODAY(),"Check date"))</f>
        <v/>
      </c>
      <c r="L356" s="27">
        <f>IF(K356="","",IF(ISNUMBER(K356),IF(K356&lt;0,"Expired",IF(K356&lt;=30,"Due ≤30 days",IF(K356&lt;=90,"Due ≤90 days","OK"))),"Check date"))</f>
        <v/>
      </c>
      <c r="M356" s="21" t="n"/>
      <c r="N356" s="21" t="n"/>
      <c r="O356" s="21" t="n"/>
      <c r="P356" s="21" t="n"/>
    </row>
    <row r="357">
      <c r="A357" s="21" t="n"/>
      <c r="B357" s="21" t="n"/>
      <c r="C357" s="21" t="n"/>
      <c r="D357" s="21" t="n"/>
      <c r="E357" s="22" t="n"/>
      <c r="F357" s="21" t="n"/>
      <c r="G357" s="21" t="n"/>
      <c r="H357" s="23" t="n"/>
      <c r="I357" s="24" t="n"/>
      <c r="J357" s="25">
        <f>IF(ISNUMBER(H357),H357-IF(ISNUMBER(I357),I357,30),"")</f>
        <v/>
      </c>
      <c r="K357" s="26">
        <f>IF(H357="","",IF(ISNUMBER(H357),H357-TODAY(),"Check date"))</f>
        <v/>
      </c>
      <c r="L357" s="27">
        <f>IF(K357="","",IF(ISNUMBER(K357),IF(K357&lt;0,"Expired",IF(K357&lt;=30,"Due ≤30 days",IF(K357&lt;=90,"Due ≤90 days","OK"))),"Check date"))</f>
        <v/>
      </c>
      <c r="M357" s="21" t="n"/>
      <c r="N357" s="21" t="n"/>
      <c r="O357" s="21" t="n"/>
      <c r="P357" s="21" t="n"/>
    </row>
    <row r="358">
      <c r="A358" s="21" t="n"/>
      <c r="B358" s="21" t="n"/>
      <c r="C358" s="21" t="n"/>
      <c r="D358" s="21" t="n"/>
      <c r="E358" s="22" t="n"/>
      <c r="F358" s="21" t="n"/>
      <c r="G358" s="21" t="n"/>
      <c r="H358" s="23" t="n"/>
      <c r="I358" s="24" t="n"/>
      <c r="J358" s="25">
        <f>IF(ISNUMBER(H358),H358-IF(ISNUMBER(I358),I358,30),"")</f>
        <v/>
      </c>
      <c r="K358" s="26">
        <f>IF(H358="","",IF(ISNUMBER(H358),H358-TODAY(),"Check date"))</f>
        <v/>
      </c>
      <c r="L358" s="27">
        <f>IF(K358="","",IF(ISNUMBER(K358),IF(K358&lt;0,"Expired",IF(K358&lt;=30,"Due ≤30 days",IF(K358&lt;=90,"Due ≤90 days","OK"))),"Check date"))</f>
        <v/>
      </c>
      <c r="M358" s="21" t="n"/>
      <c r="N358" s="21" t="n"/>
      <c r="O358" s="21" t="n"/>
      <c r="P358" s="21" t="n"/>
    </row>
    <row r="359">
      <c r="A359" s="21" t="n"/>
      <c r="B359" s="21" t="n"/>
      <c r="C359" s="21" t="n"/>
      <c r="D359" s="21" t="n"/>
      <c r="E359" s="22" t="n"/>
      <c r="F359" s="21" t="n"/>
      <c r="G359" s="21" t="n"/>
      <c r="H359" s="23" t="n"/>
      <c r="I359" s="24" t="n"/>
      <c r="J359" s="25">
        <f>IF(ISNUMBER(H359),H359-IF(ISNUMBER(I359),I359,30),"")</f>
        <v/>
      </c>
      <c r="K359" s="26">
        <f>IF(H359="","",IF(ISNUMBER(H359),H359-TODAY(),"Check date"))</f>
        <v/>
      </c>
      <c r="L359" s="27">
        <f>IF(K359="","",IF(ISNUMBER(K359),IF(K359&lt;0,"Expired",IF(K359&lt;=30,"Due ≤30 days",IF(K359&lt;=90,"Due ≤90 days","OK"))),"Check date"))</f>
        <v/>
      </c>
      <c r="M359" s="21" t="n"/>
      <c r="N359" s="21" t="n"/>
      <c r="O359" s="21" t="n"/>
      <c r="P359" s="21" t="n"/>
    </row>
    <row r="360">
      <c r="A360" s="21" t="n"/>
      <c r="B360" s="21" t="n"/>
      <c r="C360" s="21" t="n"/>
      <c r="D360" s="21" t="n"/>
      <c r="E360" s="22" t="n"/>
      <c r="F360" s="21" t="n"/>
      <c r="G360" s="21" t="n"/>
      <c r="H360" s="23" t="n"/>
      <c r="I360" s="24" t="n"/>
      <c r="J360" s="25">
        <f>IF(ISNUMBER(H360),H360-IF(ISNUMBER(I360),I360,30),"")</f>
        <v/>
      </c>
      <c r="K360" s="26">
        <f>IF(H360="","",IF(ISNUMBER(H360),H360-TODAY(),"Check date"))</f>
        <v/>
      </c>
      <c r="L360" s="27">
        <f>IF(K360="","",IF(ISNUMBER(K360),IF(K360&lt;0,"Expired",IF(K360&lt;=30,"Due ≤30 days",IF(K360&lt;=90,"Due ≤90 days","OK"))),"Check date"))</f>
        <v/>
      </c>
      <c r="M360" s="21" t="n"/>
      <c r="N360" s="21" t="n"/>
      <c r="O360" s="21" t="n"/>
      <c r="P360" s="21" t="n"/>
    </row>
    <row r="361">
      <c r="A361" s="21" t="n"/>
      <c r="B361" s="21" t="n"/>
      <c r="C361" s="21" t="n"/>
      <c r="D361" s="21" t="n"/>
      <c r="E361" s="22" t="n"/>
      <c r="F361" s="21" t="n"/>
      <c r="G361" s="21" t="n"/>
      <c r="H361" s="23" t="n"/>
      <c r="I361" s="24" t="n"/>
      <c r="J361" s="25">
        <f>IF(ISNUMBER(H361),H361-IF(ISNUMBER(I361),I361,30),"")</f>
        <v/>
      </c>
      <c r="K361" s="26">
        <f>IF(H361="","",IF(ISNUMBER(H361),H361-TODAY(),"Check date"))</f>
        <v/>
      </c>
      <c r="L361" s="27">
        <f>IF(K361="","",IF(ISNUMBER(K361),IF(K361&lt;0,"Expired",IF(K361&lt;=30,"Due ≤30 days",IF(K361&lt;=90,"Due ≤90 days","OK"))),"Check date"))</f>
        <v/>
      </c>
      <c r="M361" s="21" t="n"/>
      <c r="N361" s="21" t="n"/>
      <c r="O361" s="21" t="n"/>
      <c r="P361" s="21" t="n"/>
    </row>
    <row r="362">
      <c r="A362" s="21" t="n"/>
      <c r="B362" s="21" t="n"/>
      <c r="C362" s="21" t="n"/>
      <c r="D362" s="21" t="n"/>
      <c r="E362" s="22" t="n"/>
      <c r="F362" s="21" t="n"/>
      <c r="G362" s="21" t="n"/>
      <c r="H362" s="23" t="n"/>
      <c r="I362" s="24" t="n"/>
      <c r="J362" s="25">
        <f>IF(ISNUMBER(H362),H362-IF(ISNUMBER(I362),I362,30),"")</f>
        <v/>
      </c>
      <c r="K362" s="26">
        <f>IF(H362="","",IF(ISNUMBER(H362),H362-TODAY(),"Check date"))</f>
        <v/>
      </c>
      <c r="L362" s="27">
        <f>IF(K362="","",IF(ISNUMBER(K362),IF(K362&lt;0,"Expired",IF(K362&lt;=30,"Due ≤30 days",IF(K362&lt;=90,"Due ≤90 days","OK"))),"Check date"))</f>
        <v/>
      </c>
      <c r="M362" s="21" t="n"/>
      <c r="N362" s="21" t="n"/>
      <c r="O362" s="21" t="n"/>
      <c r="P362" s="21" t="n"/>
    </row>
    <row r="363">
      <c r="A363" s="21" t="n"/>
      <c r="B363" s="21" t="n"/>
      <c r="C363" s="21" t="n"/>
      <c r="D363" s="21" t="n"/>
      <c r="E363" s="22" t="n"/>
      <c r="F363" s="21" t="n"/>
      <c r="G363" s="21" t="n"/>
      <c r="H363" s="23" t="n"/>
      <c r="I363" s="24" t="n"/>
      <c r="J363" s="25">
        <f>IF(ISNUMBER(H363),H363-IF(ISNUMBER(I363),I363,30),"")</f>
        <v/>
      </c>
      <c r="K363" s="26">
        <f>IF(H363="","",IF(ISNUMBER(H363),H363-TODAY(),"Check date"))</f>
        <v/>
      </c>
      <c r="L363" s="27">
        <f>IF(K363="","",IF(ISNUMBER(K363),IF(K363&lt;0,"Expired",IF(K363&lt;=30,"Due ≤30 days",IF(K363&lt;=90,"Due ≤90 days","OK"))),"Check date"))</f>
        <v/>
      </c>
      <c r="M363" s="21" t="n"/>
      <c r="N363" s="21" t="n"/>
      <c r="O363" s="21" t="n"/>
      <c r="P363" s="21" t="n"/>
    </row>
    <row r="364">
      <c r="A364" s="21" t="n"/>
      <c r="B364" s="21" t="n"/>
      <c r="C364" s="21" t="n"/>
      <c r="D364" s="21" t="n"/>
      <c r="E364" s="22" t="n"/>
      <c r="F364" s="21" t="n"/>
      <c r="G364" s="21" t="n"/>
      <c r="H364" s="23" t="n"/>
      <c r="I364" s="24" t="n"/>
      <c r="J364" s="25">
        <f>IF(ISNUMBER(H364),H364-IF(ISNUMBER(I364),I364,30),"")</f>
        <v/>
      </c>
      <c r="K364" s="26">
        <f>IF(H364="","",IF(ISNUMBER(H364),H364-TODAY(),"Check date"))</f>
        <v/>
      </c>
      <c r="L364" s="27">
        <f>IF(K364="","",IF(ISNUMBER(K364),IF(K364&lt;0,"Expired",IF(K364&lt;=30,"Due ≤30 days",IF(K364&lt;=90,"Due ≤90 days","OK"))),"Check date"))</f>
        <v/>
      </c>
      <c r="M364" s="21" t="n"/>
      <c r="N364" s="21" t="n"/>
      <c r="O364" s="21" t="n"/>
      <c r="P364" s="21" t="n"/>
    </row>
    <row r="365">
      <c r="A365" s="21" t="n"/>
      <c r="B365" s="21" t="n"/>
      <c r="C365" s="21" t="n"/>
      <c r="D365" s="21" t="n"/>
      <c r="E365" s="22" t="n"/>
      <c r="F365" s="21" t="n"/>
      <c r="G365" s="21" t="n"/>
      <c r="H365" s="23" t="n"/>
      <c r="I365" s="24" t="n"/>
      <c r="J365" s="25">
        <f>IF(ISNUMBER(H365),H365-IF(ISNUMBER(I365),I365,30),"")</f>
        <v/>
      </c>
      <c r="K365" s="26">
        <f>IF(H365="","",IF(ISNUMBER(H365),H365-TODAY(),"Check date"))</f>
        <v/>
      </c>
      <c r="L365" s="27">
        <f>IF(K365="","",IF(ISNUMBER(K365),IF(K365&lt;0,"Expired",IF(K365&lt;=30,"Due ≤30 days",IF(K365&lt;=90,"Due ≤90 days","OK"))),"Check date"))</f>
        <v/>
      </c>
      <c r="M365" s="21" t="n"/>
      <c r="N365" s="21" t="n"/>
      <c r="O365" s="21" t="n"/>
      <c r="P365" s="21" t="n"/>
    </row>
    <row r="366">
      <c r="A366" s="21" t="n"/>
      <c r="B366" s="21" t="n"/>
      <c r="C366" s="21" t="n"/>
      <c r="D366" s="21" t="n"/>
      <c r="E366" s="22" t="n"/>
      <c r="F366" s="21" t="n"/>
      <c r="G366" s="21" t="n"/>
      <c r="H366" s="23" t="n"/>
      <c r="I366" s="24" t="n"/>
      <c r="J366" s="25">
        <f>IF(ISNUMBER(H366),H366-IF(ISNUMBER(I366),I366,30),"")</f>
        <v/>
      </c>
      <c r="K366" s="26">
        <f>IF(H366="","",IF(ISNUMBER(H366),H366-TODAY(),"Check date"))</f>
        <v/>
      </c>
      <c r="L366" s="27">
        <f>IF(K366="","",IF(ISNUMBER(K366),IF(K366&lt;0,"Expired",IF(K366&lt;=30,"Due ≤30 days",IF(K366&lt;=90,"Due ≤90 days","OK"))),"Check date"))</f>
        <v/>
      </c>
      <c r="M366" s="21" t="n"/>
      <c r="N366" s="21" t="n"/>
      <c r="O366" s="21" t="n"/>
      <c r="P366" s="21" t="n"/>
    </row>
    <row r="367">
      <c r="A367" s="21" t="n"/>
      <c r="B367" s="21" t="n"/>
      <c r="C367" s="21" t="n"/>
      <c r="D367" s="21" t="n"/>
      <c r="E367" s="22" t="n"/>
      <c r="F367" s="21" t="n"/>
      <c r="G367" s="21" t="n"/>
      <c r="H367" s="23" t="n"/>
      <c r="I367" s="24" t="n"/>
      <c r="J367" s="25">
        <f>IF(ISNUMBER(H367),H367-IF(ISNUMBER(I367),I367,30),"")</f>
        <v/>
      </c>
      <c r="K367" s="26">
        <f>IF(H367="","",IF(ISNUMBER(H367),H367-TODAY(),"Check date"))</f>
        <v/>
      </c>
      <c r="L367" s="27">
        <f>IF(K367="","",IF(ISNUMBER(K367),IF(K367&lt;0,"Expired",IF(K367&lt;=30,"Due ≤30 days",IF(K367&lt;=90,"Due ≤90 days","OK"))),"Check date"))</f>
        <v/>
      </c>
      <c r="M367" s="21" t="n"/>
      <c r="N367" s="21" t="n"/>
      <c r="O367" s="21" t="n"/>
      <c r="P367" s="21" t="n"/>
    </row>
    <row r="368">
      <c r="A368" s="21" t="n"/>
      <c r="B368" s="21" t="n"/>
      <c r="C368" s="21" t="n"/>
      <c r="D368" s="21" t="n"/>
      <c r="E368" s="22" t="n"/>
      <c r="F368" s="21" t="n"/>
      <c r="G368" s="21" t="n"/>
      <c r="H368" s="23" t="n"/>
      <c r="I368" s="24" t="n"/>
      <c r="J368" s="25">
        <f>IF(ISNUMBER(H368),H368-IF(ISNUMBER(I368),I368,30),"")</f>
        <v/>
      </c>
      <c r="K368" s="26">
        <f>IF(H368="","",IF(ISNUMBER(H368),H368-TODAY(),"Check date"))</f>
        <v/>
      </c>
      <c r="L368" s="27">
        <f>IF(K368="","",IF(ISNUMBER(K368),IF(K368&lt;0,"Expired",IF(K368&lt;=30,"Due ≤30 days",IF(K368&lt;=90,"Due ≤90 days","OK"))),"Check date"))</f>
        <v/>
      </c>
      <c r="M368" s="21" t="n"/>
      <c r="N368" s="21" t="n"/>
      <c r="O368" s="21" t="n"/>
      <c r="P368" s="21" t="n"/>
    </row>
    <row r="369">
      <c r="A369" s="21" t="n"/>
      <c r="B369" s="21" t="n"/>
      <c r="C369" s="21" t="n"/>
      <c r="D369" s="21" t="n"/>
      <c r="E369" s="22" t="n"/>
      <c r="F369" s="21" t="n"/>
      <c r="G369" s="21" t="n"/>
      <c r="H369" s="23" t="n"/>
      <c r="I369" s="24" t="n"/>
      <c r="J369" s="25">
        <f>IF(ISNUMBER(H369),H369-IF(ISNUMBER(I369),I369,30),"")</f>
        <v/>
      </c>
      <c r="K369" s="26">
        <f>IF(H369="","",IF(ISNUMBER(H369),H369-TODAY(),"Check date"))</f>
        <v/>
      </c>
      <c r="L369" s="27">
        <f>IF(K369="","",IF(ISNUMBER(K369),IF(K369&lt;0,"Expired",IF(K369&lt;=30,"Due ≤30 days",IF(K369&lt;=90,"Due ≤90 days","OK"))),"Check date"))</f>
        <v/>
      </c>
      <c r="M369" s="21" t="n"/>
      <c r="N369" s="21" t="n"/>
      <c r="O369" s="21" t="n"/>
      <c r="P369" s="21" t="n"/>
    </row>
    <row r="370">
      <c r="A370" s="21" t="n"/>
      <c r="B370" s="21" t="n"/>
      <c r="C370" s="21" t="n"/>
      <c r="D370" s="21" t="n"/>
      <c r="E370" s="22" t="n"/>
      <c r="F370" s="21" t="n"/>
      <c r="G370" s="21" t="n"/>
      <c r="H370" s="23" t="n"/>
      <c r="I370" s="24" t="n"/>
      <c r="J370" s="25">
        <f>IF(ISNUMBER(H370),H370-IF(ISNUMBER(I370),I370,30),"")</f>
        <v/>
      </c>
      <c r="K370" s="26">
        <f>IF(H370="","",IF(ISNUMBER(H370),H370-TODAY(),"Check date"))</f>
        <v/>
      </c>
      <c r="L370" s="27">
        <f>IF(K370="","",IF(ISNUMBER(K370),IF(K370&lt;0,"Expired",IF(K370&lt;=30,"Due ≤30 days",IF(K370&lt;=90,"Due ≤90 days","OK"))),"Check date"))</f>
        <v/>
      </c>
      <c r="M370" s="21" t="n"/>
      <c r="N370" s="21" t="n"/>
      <c r="O370" s="21" t="n"/>
      <c r="P370" s="21" t="n"/>
    </row>
    <row r="371">
      <c r="A371" s="21" t="n"/>
      <c r="B371" s="21" t="n"/>
      <c r="C371" s="21" t="n"/>
      <c r="D371" s="21" t="n"/>
      <c r="E371" s="22" t="n"/>
      <c r="F371" s="21" t="n"/>
      <c r="G371" s="21" t="n"/>
      <c r="H371" s="23" t="n"/>
      <c r="I371" s="24" t="n"/>
      <c r="J371" s="25">
        <f>IF(ISNUMBER(H371),H371-IF(ISNUMBER(I371),I371,30),"")</f>
        <v/>
      </c>
      <c r="K371" s="26">
        <f>IF(H371="","",IF(ISNUMBER(H371),H371-TODAY(),"Check date"))</f>
        <v/>
      </c>
      <c r="L371" s="27">
        <f>IF(K371="","",IF(ISNUMBER(K371),IF(K371&lt;0,"Expired",IF(K371&lt;=30,"Due ≤30 days",IF(K371&lt;=90,"Due ≤90 days","OK"))),"Check date"))</f>
        <v/>
      </c>
      <c r="M371" s="21" t="n"/>
      <c r="N371" s="21" t="n"/>
      <c r="O371" s="21" t="n"/>
      <c r="P371" s="21" t="n"/>
    </row>
    <row r="372">
      <c r="A372" s="21" t="n"/>
      <c r="B372" s="21" t="n"/>
      <c r="C372" s="21" t="n"/>
      <c r="D372" s="21" t="n"/>
      <c r="E372" s="22" t="n"/>
      <c r="F372" s="21" t="n"/>
      <c r="G372" s="21" t="n"/>
      <c r="H372" s="23" t="n"/>
      <c r="I372" s="24" t="n"/>
      <c r="J372" s="25">
        <f>IF(ISNUMBER(H372),H372-IF(ISNUMBER(I372),I372,30),"")</f>
        <v/>
      </c>
      <c r="K372" s="26">
        <f>IF(H372="","",IF(ISNUMBER(H372),H372-TODAY(),"Check date"))</f>
        <v/>
      </c>
      <c r="L372" s="27">
        <f>IF(K372="","",IF(ISNUMBER(K372),IF(K372&lt;0,"Expired",IF(K372&lt;=30,"Due ≤30 days",IF(K372&lt;=90,"Due ≤90 days","OK"))),"Check date"))</f>
        <v/>
      </c>
      <c r="M372" s="21" t="n"/>
      <c r="N372" s="21" t="n"/>
      <c r="O372" s="21" t="n"/>
      <c r="P372" s="21" t="n"/>
    </row>
    <row r="373">
      <c r="A373" s="21" t="n"/>
      <c r="B373" s="21" t="n"/>
      <c r="C373" s="21" t="n"/>
      <c r="D373" s="21" t="n"/>
      <c r="E373" s="22" t="n"/>
      <c r="F373" s="21" t="n"/>
      <c r="G373" s="21" t="n"/>
      <c r="H373" s="23" t="n"/>
      <c r="I373" s="24" t="n"/>
      <c r="J373" s="25">
        <f>IF(ISNUMBER(H373),H373-IF(ISNUMBER(I373),I373,30),"")</f>
        <v/>
      </c>
      <c r="K373" s="26">
        <f>IF(H373="","",IF(ISNUMBER(H373),H373-TODAY(),"Check date"))</f>
        <v/>
      </c>
      <c r="L373" s="27">
        <f>IF(K373="","",IF(ISNUMBER(K373),IF(K373&lt;0,"Expired",IF(K373&lt;=30,"Due ≤30 days",IF(K373&lt;=90,"Due ≤90 days","OK"))),"Check date"))</f>
        <v/>
      </c>
      <c r="M373" s="21" t="n"/>
      <c r="N373" s="21" t="n"/>
      <c r="O373" s="21" t="n"/>
      <c r="P373" s="21" t="n"/>
    </row>
    <row r="374">
      <c r="A374" s="21" t="n"/>
      <c r="B374" s="21" t="n"/>
      <c r="C374" s="21" t="n"/>
      <c r="D374" s="21" t="n"/>
      <c r="E374" s="22" t="n"/>
      <c r="F374" s="21" t="n"/>
      <c r="G374" s="21" t="n"/>
      <c r="H374" s="23" t="n"/>
      <c r="I374" s="24" t="n"/>
      <c r="J374" s="25">
        <f>IF(ISNUMBER(H374),H374-IF(ISNUMBER(I374),I374,30),"")</f>
        <v/>
      </c>
      <c r="K374" s="26">
        <f>IF(H374="","",IF(ISNUMBER(H374),H374-TODAY(),"Check date"))</f>
        <v/>
      </c>
      <c r="L374" s="27">
        <f>IF(K374="","",IF(ISNUMBER(K374),IF(K374&lt;0,"Expired",IF(K374&lt;=30,"Due ≤30 days",IF(K374&lt;=90,"Due ≤90 days","OK"))),"Check date"))</f>
        <v/>
      </c>
      <c r="M374" s="21" t="n"/>
      <c r="N374" s="21" t="n"/>
      <c r="O374" s="21" t="n"/>
      <c r="P374" s="21" t="n"/>
    </row>
    <row r="375">
      <c r="A375" s="21" t="n"/>
      <c r="B375" s="21" t="n"/>
      <c r="C375" s="21" t="n"/>
      <c r="D375" s="21" t="n"/>
      <c r="E375" s="22" t="n"/>
      <c r="F375" s="21" t="n"/>
      <c r="G375" s="21" t="n"/>
      <c r="H375" s="23" t="n"/>
      <c r="I375" s="24" t="n"/>
      <c r="J375" s="25">
        <f>IF(ISNUMBER(H375),H375-IF(ISNUMBER(I375),I375,30),"")</f>
        <v/>
      </c>
      <c r="K375" s="26">
        <f>IF(H375="","",IF(ISNUMBER(H375),H375-TODAY(),"Check date"))</f>
        <v/>
      </c>
      <c r="L375" s="27">
        <f>IF(K375="","",IF(ISNUMBER(K375),IF(K375&lt;0,"Expired",IF(K375&lt;=30,"Due ≤30 days",IF(K375&lt;=90,"Due ≤90 days","OK"))),"Check date"))</f>
        <v/>
      </c>
      <c r="M375" s="21" t="n"/>
      <c r="N375" s="21" t="n"/>
      <c r="O375" s="21" t="n"/>
      <c r="P375" s="21" t="n"/>
    </row>
    <row r="376">
      <c r="A376" s="21" t="n"/>
      <c r="B376" s="21" t="n"/>
      <c r="C376" s="21" t="n"/>
      <c r="D376" s="21" t="n"/>
      <c r="E376" s="22" t="n"/>
      <c r="F376" s="21" t="n"/>
      <c r="G376" s="21" t="n"/>
      <c r="H376" s="23" t="n"/>
      <c r="I376" s="24" t="n"/>
      <c r="J376" s="25">
        <f>IF(ISNUMBER(H376),H376-IF(ISNUMBER(I376),I376,30),"")</f>
        <v/>
      </c>
      <c r="K376" s="26">
        <f>IF(H376="","",IF(ISNUMBER(H376),H376-TODAY(),"Check date"))</f>
        <v/>
      </c>
      <c r="L376" s="27">
        <f>IF(K376="","",IF(ISNUMBER(K376),IF(K376&lt;0,"Expired",IF(K376&lt;=30,"Due ≤30 days",IF(K376&lt;=90,"Due ≤90 days","OK"))),"Check date"))</f>
        <v/>
      </c>
      <c r="M376" s="21" t="n"/>
      <c r="N376" s="21" t="n"/>
      <c r="O376" s="21" t="n"/>
      <c r="P376" s="21" t="n"/>
    </row>
    <row r="377">
      <c r="A377" s="21" t="n"/>
      <c r="B377" s="21" t="n"/>
      <c r="C377" s="21" t="n"/>
      <c r="D377" s="21" t="n"/>
      <c r="E377" s="22" t="n"/>
      <c r="F377" s="21" t="n"/>
      <c r="G377" s="21" t="n"/>
      <c r="H377" s="23" t="n"/>
      <c r="I377" s="24" t="n"/>
      <c r="J377" s="25">
        <f>IF(ISNUMBER(H377),H377-IF(ISNUMBER(I377),I377,30),"")</f>
        <v/>
      </c>
      <c r="K377" s="26">
        <f>IF(H377="","",IF(ISNUMBER(H377),H377-TODAY(),"Check date"))</f>
        <v/>
      </c>
      <c r="L377" s="27">
        <f>IF(K377="","",IF(ISNUMBER(K377),IF(K377&lt;0,"Expired",IF(K377&lt;=30,"Due ≤30 days",IF(K377&lt;=90,"Due ≤90 days","OK"))),"Check date"))</f>
        <v/>
      </c>
      <c r="M377" s="21" t="n"/>
      <c r="N377" s="21" t="n"/>
      <c r="O377" s="21" t="n"/>
      <c r="P377" s="21" t="n"/>
    </row>
    <row r="378">
      <c r="A378" s="21" t="n"/>
      <c r="B378" s="21" t="n"/>
      <c r="C378" s="21" t="n"/>
      <c r="D378" s="21" t="n"/>
      <c r="E378" s="22" t="n"/>
      <c r="F378" s="21" t="n"/>
      <c r="G378" s="21" t="n"/>
      <c r="H378" s="23" t="n"/>
      <c r="I378" s="24" t="n"/>
      <c r="J378" s="25">
        <f>IF(ISNUMBER(H378),H378-IF(ISNUMBER(I378),I378,30),"")</f>
        <v/>
      </c>
      <c r="K378" s="26">
        <f>IF(H378="","",IF(ISNUMBER(H378),H378-TODAY(),"Check date"))</f>
        <v/>
      </c>
      <c r="L378" s="27">
        <f>IF(K378="","",IF(ISNUMBER(K378),IF(K378&lt;0,"Expired",IF(K378&lt;=30,"Due ≤30 days",IF(K378&lt;=90,"Due ≤90 days","OK"))),"Check date"))</f>
        <v/>
      </c>
      <c r="M378" s="21" t="n"/>
      <c r="N378" s="21" t="n"/>
      <c r="O378" s="21" t="n"/>
      <c r="P378" s="21" t="n"/>
    </row>
    <row r="379">
      <c r="A379" s="21" t="n"/>
      <c r="B379" s="21" t="n"/>
      <c r="C379" s="21" t="n"/>
      <c r="D379" s="21" t="n"/>
      <c r="E379" s="22" t="n"/>
      <c r="F379" s="21" t="n"/>
      <c r="G379" s="21" t="n"/>
      <c r="H379" s="23" t="n"/>
      <c r="I379" s="24" t="n"/>
      <c r="J379" s="25">
        <f>IF(ISNUMBER(H379),H379-IF(ISNUMBER(I379),I379,30),"")</f>
        <v/>
      </c>
      <c r="K379" s="26">
        <f>IF(H379="","",IF(ISNUMBER(H379),H379-TODAY(),"Check date"))</f>
        <v/>
      </c>
      <c r="L379" s="27">
        <f>IF(K379="","",IF(ISNUMBER(K379),IF(K379&lt;0,"Expired",IF(K379&lt;=30,"Due ≤30 days",IF(K379&lt;=90,"Due ≤90 days","OK"))),"Check date"))</f>
        <v/>
      </c>
      <c r="M379" s="21" t="n"/>
      <c r="N379" s="21" t="n"/>
      <c r="O379" s="21" t="n"/>
      <c r="P379" s="21" t="n"/>
    </row>
    <row r="380">
      <c r="A380" s="21" t="n"/>
      <c r="B380" s="21" t="n"/>
      <c r="C380" s="21" t="n"/>
      <c r="D380" s="21" t="n"/>
      <c r="E380" s="22" t="n"/>
      <c r="F380" s="21" t="n"/>
      <c r="G380" s="21" t="n"/>
      <c r="H380" s="23" t="n"/>
      <c r="I380" s="24" t="n"/>
      <c r="J380" s="25">
        <f>IF(ISNUMBER(H380),H380-IF(ISNUMBER(I380),I380,30),"")</f>
        <v/>
      </c>
      <c r="K380" s="26">
        <f>IF(H380="","",IF(ISNUMBER(H380),H380-TODAY(),"Check date"))</f>
        <v/>
      </c>
      <c r="L380" s="27">
        <f>IF(K380="","",IF(ISNUMBER(K380),IF(K380&lt;0,"Expired",IF(K380&lt;=30,"Due ≤30 days",IF(K380&lt;=90,"Due ≤90 days","OK"))),"Check date"))</f>
        <v/>
      </c>
      <c r="M380" s="21" t="n"/>
      <c r="N380" s="21" t="n"/>
      <c r="O380" s="21" t="n"/>
      <c r="P380" s="21" t="n"/>
    </row>
    <row r="381">
      <c r="A381" s="21" t="n"/>
      <c r="B381" s="21" t="n"/>
      <c r="C381" s="21" t="n"/>
      <c r="D381" s="21" t="n"/>
      <c r="E381" s="22" t="n"/>
      <c r="F381" s="21" t="n"/>
      <c r="G381" s="21" t="n"/>
      <c r="H381" s="23" t="n"/>
      <c r="I381" s="24" t="n"/>
      <c r="J381" s="25">
        <f>IF(ISNUMBER(H381),H381-IF(ISNUMBER(I381),I381,30),"")</f>
        <v/>
      </c>
      <c r="K381" s="26">
        <f>IF(H381="","",IF(ISNUMBER(H381),H381-TODAY(),"Check date"))</f>
        <v/>
      </c>
      <c r="L381" s="27">
        <f>IF(K381="","",IF(ISNUMBER(K381),IF(K381&lt;0,"Expired",IF(K381&lt;=30,"Due ≤30 days",IF(K381&lt;=90,"Due ≤90 days","OK"))),"Check date"))</f>
        <v/>
      </c>
      <c r="M381" s="21" t="n"/>
      <c r="N381" s="21" t="n"/>
      <c r="O381" s="21" t="n"/>
      <c r="P381" s="21" t="n"/>
    </row>
    <row r="382">
      <c r="A382" s="21" t="n"/>
      <c r="B382" s="21" t="n"/>
      <c r="C382" s="21" t="n"/>
      <c r="D382" s="21" t="n"/>
      <c r="E382" s="22" t="n"/>
      <c r="F382" s="21" t="n"/>
      <c r="G382" s="21" t="n"/>
      <c r="H382" s="23" t="n"/>
      <c r="I382" s="24" t="n"/>
      <c r="J382" s="25">
        <f>IF(ISNUMBER(H382),H382-IF(ISNUMBER(I382),I382,30),"")</f>
        <v/>
      </c>
      <c r="K382" s="26">
        <f>IF(H382="","",IF(ISNUMBER(H382),H382-TODAY(),"Check date"))</f>
        <v/>
      </c>
      <c r="L382" s="27">
        <f>IF(K382="","",IF(ISNUMBER(K382),IF(K382&lt;0,"Expired",IF(K382&lt;=30,"Due ≤30 days",IF(K382&lt;=90,"Due ≤90 days","OK"))),"Check date"))</f>
        <v/>
      </c>
      <c r="M382" s="21" t="n"/>
      <c r="N382" s="21" t="n"/>
      <c r="O382" s="21" t="n"/>
      <c r="P382" s="21" t="n"/>
    </row>
    <row r="383">
      <c r="A383" s="21" t="n"/>
      <c r="B383" s="21" t="n"/>
      <c r="C383" s="21" t="n"/>
      <c r="D383" s="21" t="n"/>
      <c r="E383" s="22" t="n"/>
      <c r="F383" s="21" t="n"/>
      <c r="G383" s="21" t="n"/>
      <c r="H383" s="23" t="n"/>
      <c r="I383" s="24" t="n"/>
      <c r="J383" s="25">
        <f>IF(ISNUMBER(H383),H383-IF(ISNUMBER(I383),I383,30),"")</f>
        <v/>
      </c>
      <c r="K383" s="26">
        <f>IF(H383="","",IF(ISNUMBER(H383),H383-TODAY(),"Check date"))</f>
        <v/>
      </c>
      <c r="L383" s="27">
        <f>IF(K383="","",IF(ISNUMBER(K383),IF(K383&lt;0,"Expired",IF(K383&lt;=30,"Due ≤30 days",IF(K383&lt;=90,"Due ≤90 days","OK"))),"Check date"))</f>
        <v/>
      </c>
      <c r="M383" s="21" t="n"/>
      <c r="N383" s="21" t="n"/>
      <c r="O383" s="21" t="n"/>
      <c r="P383" s="21" t="n"/>
    </row>
    <row r="384">
      <c r="A384" s="21" t="n"/>
      <c r="B384" s="21" t="n"/>
      <c r="C384" s="21" t="n"/>
      <c r="D384" s="21" t="n"/>
      <c r="E384" s="22" t="n"/>
      <c r="F384" s="21" t="n"/>
      <c r="G384" s="21" t="n"/>
      <c r="H384" s="23" t="n"/>
      <c r="I384" s="24" t="n"/>
      <c r="J384" s="25">
        <f>IF(ISNUMBER(H384),H384-IF(ISNUMBER(I384),I384,30),"")</f>
        <v/>
      </c>
      <c r="K384" s="26">
        <f>IF(H384="","",IF(ISNUMBER(H384),H384-TODAY(),"Check date"))</f>
        <v/>
      </c>
      <c r="L384" s="27">
        <f>IF(K384="","",IF(ISNUMBER(K384),IF(K384&lt;0,"Expired",IF(K384&lt;=30,"Due ≤30 days",IF(K384&lt;=90,"Due ≤90 days","OK"))),"Check date"))</f>
        <v/>
      </c>
      <c r="M384" s="21" t="n"/>
      <c r="N384" s="21" t="n"/>
      <c r="O384" s="21" t="n"/>
      <c r="P384" s="21" t="n"/>
    </row>
    <row r="385">
      <c r="A385" s="21" t="n"/>
      <c r="B385" s="21" t="n"/>
      <c r="C385" s="21" t="n"/>
      <c r="D385" s="21" t="n"/>
      <c r="E385" s="22" t="n"/>
      <c r="F385" s="21" t="n"/>
      <c r="G385" s="21" t="n"/>
      <c r="H385" s="23" t="n"/>
      <c r="I385" s="24" t="n"/>
      <c r="J385" s="25">
        <f>IF(ISNUMBER(H385),H385-IF(ISNUMBER(I385),I385,30),"")</f>
        <v/>
      </c>
      <c r="K385" s="26">
        <f>IF(H385="","",IF(ISNUMBER(H385),H385-TODAY(),"Check date"))</f>
        <v/>
      </c>
      <c r="L385" s="27">
        <f>IF(K385="","",IF(ISNUMBER(K385),IF(K385&lt;0,"Expired",IF(K385&lt;=30,"Due ≤30 days",IF(K385&lt;=90,"Due ≤90 days","OK"))),"Check date"))</f>
        <v/>
      </c>
      <c r="M385" s="21" t="n"/>
      <c r="N385" s="21" t="n"/>
      <c r="O385" s="21" t="n"/>
      <c r="P385" s="21" t="n"/>
    </row>
    <row r="386">
      <c r="A386" s="21" t="n"/>
      <c r="B386" s="21" t="n"/>
      <c r="C386" s="21" t="n"/>
      <c r="D386" s="21" t="n"/>
      <c r="E386" s="22" t="n"/>
      <c r="F386" s="21" t="n"/>
      <c r="G386" s="21" t="n"/>
      <c r="H386" s="23" t="n"/>
      <c r="I386" s="24" t="n"/>
      <c r="J386" s="25">
        <f>IF(ISNUMBER(H386),H386-IF(ISNUMBER(I386),I386,30),"")</f>
        <v/>
      </c>
      <c r="K386" s="26">
        <f>IF(H386="","",IF(ISNUMBER(H386),H386-TODAY(),"Check date"))</f>
        <v/>
      </c>
      <c r="L386" s="27">
        <f>IF(K386="","",IF(ISNUMBER(K386),IF(K386&lt;0,"Expired",IF(K386&lt;=30,"Due ≤30 days",IF(K386&lt;=90,"Due ≤90 days","OK"))),"Check date"))</f>
        <v/>
      </c>
      <c r="M386" s="21" t="n"/>
      <c r="N386" s="21" t="n"/>
      <c r="O386" s="21" t="n"/>
      <c r="P386" s="21" t="n"/>
    </row>
    <row r="387">
      <c r="A387" s="21" t="n"/>
      <c r="B387" s="21" t="n"/>
      <c r="C387" s="21" t="n"/>
      <c r="D387" s="21" t="n"/>
      <c r="E387" s="22" t="n"/>
      <c r="F387" s="21" t="n"/>
      <c r="G387" s="21" t="n"/>
      <c r="H387" s="23" t="n"/>
      <c r="I387" s="24" t="n"/>
      <c r="J387" s="25">
        <f>IF(ISNUMBER(H387),H387-IF(ISNUMBER(I387),I387,30),"")</f>
        <v/>
      </c>
      <c r="K387" s="26">
        <f>IF(H387="","",IF(ISNUMBER(H387),H387-TODAY(),"Check date"))</f>
        <v/>
      </c>
      <c r="L387" s="27">
        <f>IF(K387="","",IF(ISNUMBER(K387),IF(K387&lt;0,"Expired",IF(K387&lt;=30,"Due ≤30 days",IF(K387&lt;=90,"Due ≤90 days","OK"))),"Check date"))</f>
        <v/>
      </c>
      <c r="M387" s="21" t="n"/>
      <c r="N387" s="21" t="n"/>
      <c r="O387" s="21" t="n"/>
      <c r="P387" s="21" t="n"/>
    </row>
    <row r="388">
      <c r="A388" s="21" t="n"/>
      <c r="B388" s="21" t="n"/>
      <c r="C388" s="21" t="n"/>
      <c r="D388" s="21" t="n"/>
      <c r="E388" s="22" t="n"/>
      <c r="F388" s="21" t="n"/>
      <c r="G388" s="21" t="n"/>
      <c r="H388" s="23" t="n"/>
      <c r="I388" s="24" t="n"/>
      <c r="J388" s="25">
        <f>IF(ISNUMBER(H388),H388-IF(ISNUMBER(I388),I388,30),"")</f>
        <v/>
      </c>
      <c r="K388" s="26">
        <f>IF(H388="","",IF(ISNUMBER(H388),H388-TODAY(),"Check date"))</f>
        <v/>
      </c>
      <c r="L388" s="27">
        <f>IF(K388="","",IF(ISNUMBER(K388),IF(K388&lt;0,"Expired",IF(K388&lt;=30,"Due ≤30 days",IF(K388&lt;=90,"Due ≤90 days","OK"))),"Check date"))</f>
        <v/>
      </c>
      <c r="M388" s="21" t="n"/>
      <c r="N388" s="21" t="n"/>
      <c r="O388" s="21" t="n"/>
      <c r="P388" s="21" t="n"/>
    </row>
    <row r="389">
      <c r="A389" s="21" t="n"/>
      <c r="B389" s="21" t="n"/>
      <c r="C389" s="21" t="n"/>
      <c r="D389" s="21" t="n"/>
      <c r="E389" s="22" t="n"/>
      <c r="F389" s="21" t="n"/>
      <c r="G389" s="21" t="n"/>
      <c r="H389" s="23" t="n"/>
      <c r="I389" s="24" t="n"/>
      <c r="J389" s="25">
        <f>IF(ISNUMBER(H389),H389-IF(ISNUMBER(I389),I389,30),"")</f>
        <v/>
      </c>
      <c r="K389" s="26">
        <f>IF(H389="","",IF(ISNUMBER(H389),H389-TODAY(),"Check date"))</f>
        <v/>
      </c>
      <c r="L389" s="27">
        <f>IF(K389="","",IF(ISNUMBER(K389),IF(K389&lt;0,"Expired",IF(K389&lt;=30,"Due ≤30 days",IF(K389&lt;=90,"Due ≤90 days","OK"))),"Check date"))</f>
        <v/>
      </c>
      <c r="M389" s="21" t="n"/>
      <c r="N389" s="21" t="n"/>
      <c r="O389" s="21" t="n"/>
      <c r="P389" s="21" t="n"/>
    </row>
    <row r="390">
      <c r="A390" s="21" t="n"/>
      <c r="B390" s="21" t="n"/>
      <c r="C390" s="21" t="n"/>
      <c r="D390" s="21" t="n"/>
      <c r="E390" s="22" t="n"/>
      <c r="F390" s="21" t="n"/>
      <c r="G390" s="21" t="n"/>
      <c r="H390" s="23" t="n"/>
      <c r="I390" s="24" t="n"/>
      <c r="J390" s="25">
        <f>IF(ISNUMBER(H390),H390-IF(ISNUMBER(I390),I390,30),"")</f>
        <v/>
      </c>
      <c r="K390" s="26">
        <f>IF(H390="","",IF(ISNUMBER(H390),H390-TODAY(),"Check date"))</f>
        <v/>
      </c>
      <c r="L390" s="27">
        <f>IF(K390="","",IF(ISNUMBER(K390),IF(K390&lt;0,"Expired",IF(K390&lt;=30,"Due ≤30 days",IF(K390&lt;=90,"Due ≤90 days","OK"))),"Check date"))</f>
        <v/>
      </c>
      <c r="M390" s="21" t="n"/>
      <c r="N390" s="21" t="n"/>
      <c r="O390" s="21" t="n"/>
      <c r="P390" s="21" t="n"/>
    </row>
    <row r="391">
      <c r="A391" s="21" t="n"/>
      <c r="B391" s="21" t="n"/>
      <c r="C391" s="21" t="n"/>
      <c r="D391" s="21" t="n"/>
      <c r="E391" s="22" t="n"/>
      <c r="F391" s="21" t="n"/>
      <c r="G391" s="21" t="n"/>
      <c r="H391" s="23" t="n"/>
      <c r="I391" s="24" t="n"/>
      <c r="J391" s="25">
        <f>IF(ISNUMBER(H391),H391-IF(ISNUMBER(I391),I391,30),"")</f>
        <v/>
      </c>
      <c r="K391" s="26">
        <f>IF(H391="","",IF(ISNUMBER(H391),H391-TODAY(),"Check date"))</f>
        <v/>
      </c>
      <c r="L391" s="27">
        <f>IF(K391="","",IF(ISNUMBER(K391),IF(K391&lt;0,"Expired",IF(K391&lt;=30,"Due ≤30 days",IF(K391&lt;=90,"Due ≤90 days","OK"))),"Check date"))</f>
        <v/>
      </c>
      <c r="M391" s="21" t="n"/>
      <c r="N391" s="21" t="n"/>
      <c r="O391" s="21" t="n"/>
      <c r="P391" s="21" t="n"/>
    </row>
    <row r="392">
      <c r="A392" s="21" t="n"/>
      <c r="B392" s="21" t="n"/>
      <c r="C392" s="21" t="n"/>
      <c r="D392" s="21" t="n"/>
      <c r="E392" s="22" t="n"/>
      <c r="F392" s="21" t="n"/>
      <c r="G392" s="21" t="n"/>
      <c r="H392" s="23" t="n"/>
      <c r="I392" s="24" t="n"/>
      <c r="J392" s="25">
        <f>IF(ISNUMBER(H392),H392-IF(ISNUMBER(I392),I392,30),"")</f>
        <v/>
      </c>
      <c r="K392" s="26">
        <f>IF(H392="","",IF(ISNUMBER(H392),H392-TODAY(),"Check date"))</f>
        <v/>
      </c>
      <c r="L392" s="27">
        <f>IF(K392="","",IF(ISNUMBER(K392),IF(K392&lt;0,"Expired",IF(K392&lt;=30,"Due ≤30 days",IF(K392&lt;=90,"Due ≤90 days","OK"))),"Check date"))</f>
        <v/>
      </c>
      <c r="M392" s="21" t="n"/>
      <c r="N392" s="21" t="n"/>
      <c r="O392" s="21" t="n"/>
      <c r="P392" s="21" t="n"/>
    </row>
    <row r="393">
      <c r="A393" s="21" t="n"/>
      <c r="B393" s="21" t="n"/>
      <c r="C393" s="21" t="n"/>
      <c r="D393" s="21" t="n"/>
      <c r="E393" s="22" t="n"/>
      <c r="F393" s="21" t="n"/>
      <c r="G393" s="21" t="n"/>
      <c r="H393" s="23" t="n"/>
      <c r="I393" s="24" t="n"/>
      <c r="J393" s="25">
        <f>IF(ISNUMBER(H393),H393-IF(ISNUMBER(I393),I393,30),"")</f>
        <v/>
      </c>
      <c r="K393" s="26">
        <f>IF(H393="","",IF(ISNUMBER(H393),H393-TODAY(),"Check date"))</f>
        <v/>
      </c>
      <c r="L393" s="27">
        <f>IF(K393="","",IF(ISNUMBER(K393),IF(K393&lt;0,"Expired",IF(K393&lt;=30,"Due ≤30 days",IF(K393&lt;=90,"Due ≤90 days","OK"))),"Check date"))</f>
        <v/>
      </c>
      <c r="M393" s="21" t="n"/>
      <c r="N393" s="21" t="n"/>
      <c r="O393" s="21" t="n"/>
      <c r="P393" s="21" t="n"/>
    </row>
    <row r="394">
      <c r="A394" s="21" t="n"/>
      <c r="B394" s="21" t="n"/>
      <c r="C394" s="21" t="n"/>
      <c r="D394" s="21" t="n"/>
      <c r="E394" s="22" t="n"/>
      <c r="F394" s="21" t="n"/>
      <c r="G394" s="21" t="n"/>
      <c r="H394" s="23" t="n"/>
      <c r="I394" s="24" t="n"/>
      <c r="J394" s="25">
        <f>IF(ISNUMBER(H394),H394-IF(ISNUMBER(I394),I394,30),"")</f>
        <v/>
      </c>
      <c r="K394" s="26">
        <f>IF(H394="","",IF(ISNUMBER(H394),H394-TODAY(),"Check date"))</f>
        <v/>
      </c>
      <c r="L394" s="27">
        <f>IF(K394="","",IF(ISNUMBER(K394),IF(K394&lt;0,"Expired",IF(K394&lt;=30,"Due ≤30 days",IF(K394&lt;=90,"Due ≤90 days","OK"))),"Check date"))</f>
        <v/>
      </c>
      <c r="M394" s="21" t="n"/>
      <c r="N394" s="21" t="n"/>
      <c r="O394" s="21" t="n"/>
      <c r="P394" s="21" t="n"/>
    </row>
    <row r="395">
      <c r="A395" s="21" t="n"/>
      <c r="B395" s="21" t="n"/>
      <c r="C395" s="21" t="n"/>
      <c r="D395" s="21" t="n"/>
      <c r="E395" s="22" t="n"/>
      <c r="F395" s="21" t="n"/>
      <c r="G395" s="21" t="n"/>
      <c r="H395" s="23" t="n"/>
      <c r="I395" s="24" t="n"/>
      <c r="J395" s="25">
        <f>IF(ISNUMBER(H395),H395-IF(ISNUMBER(I395),I395,30),"")</f>
        <v/>
      </c>
      <c r="K395" s="26">
        <f>IF(H395="","",IF(ISNUMBER(H395),H395-TODAY(),"Check date"))</f>
        <v/>
      </c>
      <c r="L395" s="27">
        <f>IF(K395="","",IF(ISNUMBER(K395),IF(K395&lt;0,"Expired",IF(K395&lt;=30,"Due ≤30 days",IF(K395&lt;=90,"Due ≤90 days","OK"))),"Check date"))</f>
        <v/>
      </c>
      <c r="M395" s="21" t="n"/>
      <c r="N395" s="21" t="n"/>
      <c r="O395" s="21" t="n"/>
      <c r="P395" s="21" t="n"/>
    </row>
    <row r="396">
      <c r="A396" s="21" t="n"/>
      <c r="B396" s="21" t="n"/>
      <c r="C396" s="21" t="n"/>
      <c r="D396" s="21" t="n"/>
      <c r="E396" s="22" t="n"/>
      <c r="F396" s="21" t="n"/>
      <c r="G396" s="21" t="n"/>
      <c r="H396" s="23" t="n"/>
      <c r="I396" s="24" t="n"/>
      <c r="J396" s="25">
        <f>IF(ISNUMBER(H396),H396-IF(ISNUMBER(I396),I396,30),"")</f>
        <v/>
      </c>
      <c r="K396" s="26">
        <f>IF(H396="","",IF(ISNUMBER(H396),H396-TODAY(),"Check date"))</f>
        <v/>
      </c>
      <c r="L396" s="27">
        <f>IF(K396="","",IF(ISNUMBER(K396),IF(K396&lt;0,"Expired",IF(K396&lt;=30,"Due ≤30 days",IF(K396&lt;=90,"Due ≤90 days","OK"))),"Check date"))</f>
        <v/>
      </c>
      <c r="M396" s="21" t="n"/>
      <c r="N396" s="21" t="n"/>
      <c r="O396" s="21" t="n"/>
      <c r="P396" s="21" t="n"/>
    </row>
    <row r="397">
      <c r="A397" s="21" t="n"/>
      <c r="B397" s="21" t="n"/>
      <c r="C397" s="21" t="n"/>
      <c r="D397" s="21" t="n"/>
      <c r="E397" s="22" t="n"/>
      <c r="F397" s="21" t="n"/>
      <c r="G397" s="21" t="n"/>
      <c r="H397" s="23" t="n"/>
      <c r="I397" s="24" t="n"/>
      <c r="J397" s="25">
        <f>IF(ISNUMBER(H397),H397-IF(ISNUMBER(I397),I397,30),"")</f>
        <v/>
      </c>
      <c r="K397" s="26">
        <f>IF(H397="","",IF(ISNUMBER(H397),H397-TODAY(),"Check date"))</f>
        <v/>
      </c>
      <c r="L397" s="27">
        <f>IF(K397="","",IF(ISNUMBER(K397),IF(K397&lt;0,"Expired",IF(K397&lt;=30,"Due ≤30 days",IF(K397&lt;=90,"Due ≤90 days","OK"))),"Check date"))</f>
        <v/>
      </c>
      <c r="M397" s="21" t="n"/>
      <c r="N397" s="21" t="n"/>
      <c r="O397" s="21" t="n"/>
      <c r="P397" s="21" t="n"/>
    </row>
    <row r="398">
      <c r="A398" s="21" t="n"/>
      <c r="B398" s="21" t="n"/>
      <c r="C398" s="21" t="n"/>
      <c r="D398" s="21" t="n"/>
      <c r="E398" s="22" t="n"/>
      <c r="F398" s="21" t="n"/>
      <c r="G398" s="21" t="n"/>
      <c r="H398" s="23" t="n"/>
      <c r="I398" s="24" t="n"/>
      <c r="J398" s="25">
        <f>IF(ISNUMBER(H398),H398-IF(ISNUMBER(I398),I398,30),"")</f>
        <v/>
      </c>
      <c r="K398" s="26">
        <f>IF(H398="","",IF(ISNUMBER(H398),H398-TODAY(),"Check date"))</f>
        <v/>
      </c>
      <c r="L398" s="27">
        <f>IF(K398="","",IF(ISNUMBER(K398),IF(K398&lt;0,"Expired",IF(K398&lt;=30,"Due ≤30 days",IF(K398&lt;=90,"Due ≤90 days","OK"))),"Check date"))</f>
        <v/>
      </c>
      <c r="M398" s="21" t="n"/>
      <c r="N398" s="21" t="n"/>
      <c r="O398" s="21" t="n"/>
      <c r="P398" s="21" t="n"/>
    </row>
    <row r="399">
      <c r="A399" s="21" t="n"/>
      <c r="B399" s="21" t="n"/>
      <c r="C399" s="21" t="n"/>
      <c r="D399" s="21" t="n"/>
      <c r="E399" s="22" t="n"/>
      <c r="F399" s="21" t="n"/>
      <c r="G399" s="21" t="n"/>
      <c r="H399" s="23" t="n"/>
      <c r="I399" s="24" t="n"/>
      <c r="J399" s="25">
        <f>IF(ISNUMBER(H399),H399-IF(ISNUMBER(I399),I399,30),"")</f>
        <v/>
      </c>
      <c r="K399" s="26">
        <f>IF(H399="","",IF(ISNUMBER(H399),H399-TODAY(),"Check date"))</f>
        <v/>
      </c>
      <c r="L399" s="27">
        <f>IF(K399="","",IF(ISNUMBER(K399),IF(K399&lt;0,"Expired",IF(K399&lt;=30,"Due ≤30 days",IF(K399&lt;=90,"Due ≤90 days","OK"))),"Check date"))</f>
        <v/>
      </c>
      <c r="M399" s="21" t="n"/>
      <c r="N399" s="21" t="n"/>
      <c r="O399" s="21" t="n"/>
      <c r="P399" s="21" t="n"/>
    </row>
    <row r="400">
      <c r="A400" s="21" t="n"/>
      <c r="B400" s="21" t="n"/>
      <c r="C400" s="21" t="n"/>
      <c r="D400" s="21" t="n"/>
      <c r="E400" s="22" t="n"/>
      <c r="F400" s="21" t="n"/>
      <c r="G400" s="21" t="n"/>
      <c r="H400" s="23" t="n"/>
      <c r="I400" s="24" t="n"/>
      <c r="J400" s="25">
        <f>IF(ISNUMBER(H400),H400-IF(ISNUMBER(I400),I400,30),"")</f>
        <v/>
      </c>
      <c r="K400" s="26">
        <f>IF(H400="","",IF(ISNUMBER(H400),H400-TODAY(),"Check date"))</f>
        <v/>
      </c>
      <c r="L400" s="27">
        <f>IF(K400="","",IF(ISNUMBER(K400),IF(K400&lt;0,"Expired",IF(K400&lt;=30,"Due ≤30 days",IF(K400&lt;=90,"Due ≤90 days","OK"))),"Check date"))</f>
        <v/>
      </c>
      <c r="M400" s="21" t="n"/>
      <c r="N400" s="21" t="n"/>
      <c r="O400" s="21" t="n"/>
      <c r="P400" s="21" t="n"/>
    </row>
    <row r="401">
      <c r="A401" s="21" t="n"/>
      <c r="B401" s="21" t="n"/>
      <c r="C401" s="21" t="n"/>
      <c r="D401" s="21" t="n"/>
      <c r="E401" s="22" t="n"/>
      <c r="F401" s="21" t="n"/>
      <c r="G401" s="21" t="n"/>
      <c r="H401" s="23" t="n"/>
      <c r="I401" s="24" t="n"/>
      <c r="J401" s="25">
        <f>IF(ISNUMBER(H401),H401-IF(ISNUMBER(I401),I401,30),"")</f>
        <v/>
      </c>
      <c r="K401" s="26">
        <f>IF(H401="","",IF(ISNUMBER(H401),H401-TODAY(),"Check date"))</f>
        <v/>
      </c>
      <c r="L401" s="27">
        <f>IF(K401="","",IF(ISNUMBER(K401),IF(K401&lt;0,"Expired",IF(K401&lt;=30,"Due ≤30 days",IF(K401&lt;=90,"Due ≤90 days","OK"))),"Check date"))</f>
        <v/>
      </c>
      <c r="M401" s="21" t="n"/>
      <c r="N401" s="21" t="n"/>
      <c r="O401" s="21" t="n"/>
      <c r="P401" s="21" t="n"/>
    </row>
    <row r="402">
      <c r="A402" s="21" t="n"/>
      <c r="B402" s="21" t="n"/>
      <c r="C402" s="21" t="n"/>
      <c r="D402" s="21" t="n"/>
      <c r="E402" s="22" t="n"/>
      <c r="F402" s="21" t="n"/>
      <c r="G402" s="21" t="n"/>
      <c r="H402" s="23" t="n"/>
      <c r="I402" s="24" t="n"/>
      <c r="J402" s="25">
        <f>IF(ISNUMBER(H402),H402-IF(ISNUMBER(I402),I402,30),"")</f>
        <v/>
      </c>
      <c r="K402" s="26">
        <f>IF(H402="","",IF(ISNUMBER(H402),H402-TODAY(),"Check date"))</f>
        <v/>
      </c>
      <c r="L402" s="27">
        <f>IF(K402="","",IF(ISNUMBER(K402),IF(K402&lt;0,"Expired",IF(K402&lt;=30,"Due ≤30 days",IF(K402&lt;=90,"Due ≤90 days","OK"))),"Check date"))</f>
        <v/>
      </c>
      <c r="M402" s="21" t="n"/>
      <c r="N402" s="21" t="n"/>
      <c r="O402" s="21" t="n"/>
      <c r="P402" s="21" t="n"/>
    </row>
    <row r="403">
      <c r="A403" s="21" t="n"/>
      <c r="B403" s="21" t="n"/>
      <c r="C403" s="21" t="n"/>
      <c r="D403" s="21" t="n"/>
      <c r="E403" s="22" t="n"/>
      <c r="F403" s="21" t="n"/>
      <c r="G403" s="21" t="n"/>
      <c r="H403" s="23" t="n"/>
      <c r="I403" s="24" t="n"/>
      <c r="J403" s="25">
        <f>IF(ISNUMBER(H403),H403-IF(ISNUMBER(I403),I403,30),"")</f>
        <v/>
      </c>
      <c r="K403" s="26">
        <f>IF(H403="","",IF(ISNUMBER(H403),H403-TODAY(),"Check date"))</f>
        <v/>
      </c>
      <c r="L403" s="27">
        <f>IF(K403="","",IF(ISNUMBER(K403),IF(K403&lt;0,"Expired",IF(K403&lt;=30,"Due ≤30 days",IF(K403&lt;=90,"Due ≤90 days","OK"))),"Check date"))</f>
        <v/>
      </c>
      <c r="M403" s="21" t="n"/>
      <c r="N403" s="21" t="n"/>
      <c r="O403" s="21" t="n"/>
      <c r="P403" s="21" t="n"/>
    </row>
    <row r="404">
      <c r="A404" s="21" t="n"/>
      <c r="B404" s="21" t="n"/>
      <c r="C404" s="21" t="n"/>
      <c r="D404" s="21" t="n"/>
      <c r="E404" s="22" t="n"/>
      <c r="F404" s="21" t="n"/>
      <c r="G404" s="21" t="n"/>
      <c r="H404" s="23" t="n"/>
      <c r="I404" s="24" t="n"/>
      <c r="J404" s="25">
        <f>IF(ISNUMBER(H404),H404-IF(ISNUMBER(I404),I404,30),"")</f>
        <v/>
      </c>
      <c r="K404" s="26">
        <f>IF(H404="","",IF(ISNUMBER(H404),H404-TODAY(),"Check date"))</f>
        <v/>
      </c>
      <c r="L404" s="27">
        <f>IF(K404="","",IF(ISNUMBER(K404),IF(K404&lt;0,"Expired",IF(K404&lt;=30,"Due ≤30 days",IF(K404&lt;=90,"Due ≤90 days","OK"))),"Check date"))</f>
        <v/>
      </c>
      <c r="M404" s="21" t="n"/>
      <c r="N404" s="21" t="n"/>
      <c r="O404" s="21" t="n"/>
      <c r="P404" s="21" t="n"/>
    </row>
    <row r="405">
      <c r="A405" s="21" t="n"/>
      <c r="B405" s="21" t="n"/>
      <c r="C405" s="21" t="n"/>
      <c r="D405" s="21" t="n"/>
      <c r="E405" s="22" t="n"/>
      <c r="F405" s="21" t="n"/>
      <c r="G405" s="21" t="n"/>
      <c r="H405" s="23" t="n"/>
      <c r="I405" s="24" t="n"/>
      <c r="J405" s="25">
        <f>IF(ISNUMBER(H405),H405-IF(ISNUMBER(I405),I405,30),"")</f>
        <v/>
      </c>
      <c r="K405" s="26">
        <f>IF(H405="","",IF(ISNUMBER(H405),H405-TODAY(),"Check date"))</f>
        <v/>
      </c>
      <c r="L405" s="27">
        <f>IF(K405="","",IF(ISNUMBER(K405),IF(K405&lt;0,"Expired",IF(K405&lt;=30,"Due ≤30 days",IF(K405&lt;=90,"Due ≤90 days","OK"))),"Check date"))</f>
        <v/>
      </c>
      <c r="M405" s="21" t="n"/>
      <c r="N405" s="21" t="n"/>
      <c r="O405" s="21" t="n"/>
      <c r="P405" s="21" t="n"/>
    </row>
    <row r="406">
      <c r="A406" s="21" t="n"/>
      <c r="B406" s="21" t="n"/>
      <c r="C406" s="21" t="n"/>
      <c r="D406" s="21" t="n"/>
      <c r="E406" s="22" t="n"/>
      <c r="F406" s="21" t="n"/>
      <c r="G406" s="21" t="n"/>
      <c r="H406" s="23" t="n"/>
      <c r="I406" s="24" t="n"/>
      <c r="J406" s="25">
        <f>IF(ISNUMBER(H406),H406-IF(ISNUMBER(I406),I406,30),"")</f>
        <v/>
      </c>
      <c r="K406" s="26">
        <f>IF(H406="","",IF(ISNUMBER(H406),H406-TODAY(),"Check date"))</f>
        <v/>
      </c>
      <c r="L406" s="27">
        <f>IF(K406="","",IF(ISNUMBER(K406),IF(K406&lt;0,"Expired",IF(K406&lt;=30,"Due ≤30 days",IF(K406&lt;=90,"Due ≤90 days","OK"))),"Check date"))</f>
        <v/>
      </c>
      <c r="M406" s="21" t="n"/>
      <c r="N406" s="21" t="n"/>
      <c r="O406" s="21" t="n"/>
      <c r="P406" s="21" t="n"/>
    </row>
    <row r="407">
      <c r="A407" s="21" t="n"/>
      <c r="B407" s="21" t="n"/>
      <c r="C407" s="21" t="n"/>
      <c r="D407" s="21" t="n"/>
      <c r="E407" s="22" t="n"/>
      <c r="F407" s="21" t="n"/>
      <c r="G407" s="21" t="n"/>
      <c r="H407" s="23" t="n"/>
      <c r="I407" s="24" t="n"/>
      <c r="J407" s="25">
        <f>IF(ISNUMBER(H407),H407-IF(ISNUMBER(I407),I407,30),"")</f>
        <v/>
      </c>
      <c r="K407" s="26">
        <f>IF(H407="","",IF(ISNUMBER(H407),H407-TODAY(),"Check date"))</f>
        <v/>
      </c>
      <c r="L407" s="27">
        <f>IF(K407="","",IF(ISNUMBER(K407),IF(K407&lt;0,"Expired",IF(K407&lt;=30,"Due ≤30 days",IF(K407&lt;=90,"Due ≤90 days","OK"))),"Check date"))</f>
        <v/>
      </c>
      <c r="M407" s="21" t="n"/>
      <c r="N407" s="21" t="n"/>
      <c r="O407" s="21" t="n"/>
      <c r="P407" s="21" t="n"/>
    </row>
    <row r="408">
      <c r="A408" s="21" t="n"/>
      <c r="B408" s="21" t="n"/>
      <c r="C408" s="21" t="n"/>
      <c r="D408" s="21" t="n"/>
      <c r="E408" s="22" t="n"/>
      <c r="F408" s="21" t="n"/>
      <c r="G408" s="21" t="n"/>
      <c r="H408" s="23" t="n"/>
      <c r="I408" s="24" t="n"/>
      <c r="J408" s="25">
        <f>IF(ISNUMBER(H408),H408-IF(ISNUMBER(I408),I408,30),"")</f>
        <v/>
      </c>
      <c r="K408" s="26">
        <f>IF(H408="","",IF(ISNUMBER(H408),H408-TODAY(),"Check date"))</f>
        <v/>
      </c>
      <c r="L408" s="27">
        <f>IF(K408="","",IF(ISNUMBER(K408),IF(K408&lt;0,"Expired",IF(K408&lt;=30,"Due ≤30 days",IF(K408&lt;=90,"Due ≤90 days","OK"))),"Check date"))</f>
        <v/>
      </c>
      <c r="M408" s="21" t="n"/>
      <c r="N408" s="21" t="n"/>
      <c r="O408" s="21" t="n"/>
      <c r="P408" s="21" t="n"/>
    </row>
    <row r="409">
      <c r="A409" s="21" t="n"/>
      <c r="B409" s="21" t="n"/>
      <c r="C409" s="21" t="n"/>
      <c r="D409" s="21" t="n"/>
      <c r="E409" s="22" t="n"/>
      <c r="F409" s="21" t="n"/>
      <c r="G409" s="21" t="n"/>
      <c r="H409" s="23" t="n"/>
      <c r="I409" s="24" t="n"/>
      <c r="J409" s="25">
        <f>IF(ISNUMBER(H409),H409-IF(ISNUMBER(I409),I409,30),"")</f>
        <v/>
      </c>
      <c r="K409" s="26">
        <f>IF(H409="","",IF(ISNUMBER(H409),H409-TODAY(),"Check date"))</f>
        <v/>
      </c>
      <c r="L409" s="27">
        <f>IF(K409="","",IF(ISNUMBER(K409),IF(K409&lt;0,"Expired",IF(K409&lt;=30,"Due ≤30 days",IF(K409&lt;=90,"Due ≤90 days","OK"))),"Check date"))</f>
        <v/>
      </c>
      <c r="M409" s="21" t="n"/>
      <c r="N409" s="21" t="n"/>
      <c r="O409" s="21" t="n"/>
      <c r="P409" s="21" t="n"/>
    </row>
    <row r="410">
      <c r="A410" s="21" t="n"/>
      <c r="B410" s="21" t="n"/>
      <c r="C410" s="21" t="n"/>
      <c r="D410" s="21" t="n"/>
      <c r="E410" s="22" t="n"/>
      <c r="F410" s="21" t="n"/>
      <c r="G410" s="21" t="n"/>
      <c r="H410" s="23" t="n"/>
      <c r="I410" s="24" t="n"/>
      <c r="J410" s="25">
        <f>IF(ISNUMBER(H410),H410-IF(ISNUMBER(I410),I410,30),"")</f>
        <v/>
      </c>
      <c r="K410" s="26">
        <f>IF(H410="","",IF(ISNUMBER(H410),H410-TODAY(),"Check date"))</f>
        <v/>
      </c>
      <c r="L410" s="27">
        <f>IF(K410="","",IF(ISNUMBER(K410),IF(K410&lt;0,"Expired",IF(K410&lt;=30,"Due ≤30 days",IF(K410&lt;=90,"Due ≤90 days","OK"))),"Check date"))</f>
        <v/>
      </c>
      <c r="M410" s="21" t="n"/>
      <c r="N410" s="21" t="n"/>
      <c r="O410" s="21" t="n"/>
      <c r="P410" s="21" t="n"/>
    </row>
    <row r="411">
      <c r="A411" s="21" t="n"/>
      <c r="B411" s="21" t="n"/>
      <c r="C411" s="21" t="n"/>
      <c r="D411" s="21" t="n"/>
      <c r="E411" s="22" t="n"/>
      <c r="F411" s="21" t="n"/>
      <c r="G411" s="21" t="n"/>
      <c r="H411" s="23" t="n"/>
      <c r="I411" s="24" t="n"/>
      <c r="J411" s="25">
        <f>IF(ISNUMBER(H411),H411-IF(ISNUMBER(I411),I411,30),"")</f>
        <v/>
      </c>
      <c r="K411" s="26">
        <f>IF(H411="","",IF(ISNUMBER(H411),H411-TODAY(),"Check date"))</f>
        <v/>
      </c>
      <c r="L411" s="27">
        <f>IF(K411="","",IF(ISNUMBER(K411),IF(K411&lt;0,"Expired",IF(K411&lt;=30,"Due ≤30 days",IF(K411&lt;=90,"Due ≤90 days","OK"))),"Check date"))</f>
        <v/>
      </c>
      <c r="M411" s="21" t="n"/>
      <c r="N411" s="21" t="n"/>
      <c r="O411" s="21" t="n"/>
      <c r="P411" s="21" t="n"/>
    </row>
    <row r="412">
      <c r="A412" s="21" t="n"/>
      <c r="B412" s="21" t="n"/>
      <c r="C412" s="21" t="n"/>
      <c r="D412" s="21" t="n"/>
      <c r="E412" s="22" t="n"/>
      <c r="F412" s="21" t="n"/>
      <c r="G412" s="21" t="n"/>
      <c r="H412" s="23" t="n"/>
      <c r="I412" s="24" t="n"/>
      <c r="J412" s="25">
        <f>IF(ISNUMBER(H412),H412-IF(ISNUMBER(I412),I412,30),"")</f>
        <v/>
      </c>
      <c r="K412" s="26">
        <f>IF(H412="","",IF(ISNUMBER(H412),H412-TODAY(),"Check date"))</f>
        <v/>
      </c>
      <c r="L412" s="27">
        <f>IF(K412="","",IF(ISNUMBER(K412),IF(K412&lt;0,"Expired",IF(K412&lt;=30,"Due ≤30 days",IF(K412&lt;=90,"Due ≤90 days","OK"))),"Check date"))</f>
        <v/>
      </c>
      <c r="M412" s="21" t="n"/>
      <c r="N412" s="21" t="n"/>
      <c r="O412" s="21" t="n"/>
      <c r="P412" s="21" t="n"/>
    </row>
    <row r="413">
      <c r="A413" s="21" t="n"/>
      <c r="B413" s="21" t="n"/>
      <c r="C413" s="21" t="n"/>
      <c r="D413" s="21" t="n"/>
      <c r="E413" s="22" t="n"/>
      <c r="F413" s="21" t="n"/>
      <c r="G413" s="21" t="n"/>
      <c r="H413" s="23" t="n"/>
      <c r="I413" s="24" t="n"/>
      <c r="J413" s="25">
        <f>IF(ISNUMBER(H413),H413-IF(ISNUMBER(I413),I413,30),"")</f>
        <v/>
      </c>
      <c r="K413" s="26">
        <f>IF(H413="","",IF(ISNUMBER(H413),H413-TODAY(),"Check date"))</f>
        <v/>
      </c>
      <c r="L413" s="27">
        <f>IF(K413="","",IF(ISNUMBER(K413),IF(K413&lt;0,"Expired",IF(K413&lt;=30,"Due ≤30 days",IF(K413&lt;=90,"Due ≤90 days","OK"))),"Check date"))</f>
        <v/>
      </c>
      <c r="M413" s="21" t="n"/>
      <c r="N413" s="21" t="n"/>
      <c r="O413" s="21" t="n"/>
      <c r="P413" s="21" t="n"/>
    </row>
    <row r="414">
      <c r="A414" s="21" t="n"/>
      <c r="B414" s="21" t="n"/>
      <c r="C414" s="21" t="n"/>
      <c r="D414" s="21" t="n"/>
      <c r="E414" s="22" t="n"/>
      <c r="F414" s="21" t="n"/>
      <c r="G414" s="21" t="n"/>
      <c r="H414" s="23" t="n"/>
      <c r="I414" s="24" t="n"/>
      <c r="J414" s="25">
        <f>IF(ISNUMBER(H414),H414-IF(ISNUMBER(I414),I414,30),"")</f>
        <v/>
      </c>
      <c r="K414" s="26">
        <f>IF(H414="","",IF(ISNUMBER(H414),H414-TODAY(),"Check date"))</f>
        <v/>
      </c>
      <c r="L414" s="27">
        <f>IF(K414="","",IF(ISNUMBER(K414),IF(K414&lt;0,"Expired",IF(K414&lt;=30,"Due ≤30 days",IF(K414&lt;=90,"Due ≤90 days","OK"))),"Check date"))</f>
        <v/>
      </c>
      <c r="M414" s="21" t="n"/>
      <c r="N414" s="21" t="n"/>
      <c r="O414" s="21" t="n"/>
      <c r="P414" s="21" t="n"/>
    </row>
    <row r="415">
      <c r="A415" s="21" t="n"/>
      <c r="B415" s="21" t="n"/>
      <c r="C415" s="21" t="n"/>
      <c r="D415" s="21" t="n"/>
      <c r="E415" s="22" t="n"/>
      <c r="F415" s="21" t="n"/>
      <c r="G415" s="21" t="n"/>
      <c r="H415" s="23" t="n"/>
      <c r="I415" s="24" t="n"/>
      <c r="J415" s="25">
        <f>IF(ISNUMBER(H415),H415-IF(ISNUMBER(I415),I415,30),"")</f>
        <v/>
      </c>
      <c r="K415" s="26">
        <f>IF(H415="","",IF(ISNUMBER(H415),H415-TODAY(),"Check date"))</f>
        <v/>
      </c>
      <c r="L415" s="27">
        <f>IF(K415="","",IF(ISNUMBER(K415),IF(K415&lt;0,"Expired",IF(K415&lt;=30,"Due ≤30 days",IF(K415&lt;=90,"Due ≤90 days","OK"))),"Check date"))</f>
        <v/>
      </c>
      <c r="M415" s="21" t="n"/>
      <c r="N415" s="21" t="n"/>
      <c r="O415" s="21" t="n"/>
      <c r="P415" s="21" t="n"/>
    </row>
    <row r="416">
      <c r="A416" s="21" t="n"/>
      <c r="B416" s="21" t="n"/>
      <c r="C416" s="21" t="n"/>
      <c r="D416" s="21" t="n"/>
      <c r="E416" s="22" t="n"/>
      <c r="F416" s="21" t="n"/>
      <c r="G416" s="21" t="n"/>
      <c r="H416" s="23" t="n"/>
      <c r="I416" s="24" t="n"/>
      <c r="J416" s="25">
        <f>IF(ISNUMBER(H416),H416-IF(ISNUMBER(I416),I416,30),"")</f>
        <v/>
      </c>
      <c r="K416" s="26">
        <f>IF(H416="","",IF(ISNUMBER(H416),H416-TODAY(),"Check date"))</f>
        <v/>
      </c>
      <c r="L416" s="27">
        <f>IF(K416="","",IF(ISNUMBER(K416),IF(K416&lt;0,"Expired",IF(K416&lt;=30,"Due ≤30 days",IF(K416&lt;=90,"Due ≤90 days","OK"))),"Check date"))</f>
        <v/>
      </c>
      <c r="M416" s="21" t="n"/>
      <c r="N416" s="21" t="n"/>
      <c r="O416" s="21" t="n"/>
      <c r="P416" s="21" t="n"/>
    </row>
    <row r="417">
      <c r="A417" s="21" t="n"/>
      <c r="B417" s="21" t="n"/>
      <c r="C417" s="21" t="n"/>
      <c r="D417" s="21" t="n"/>
      <c r="E417" s="22" t="n"/>
      <c r="F417" s="21" t="n"/>
      <c r="G417" s="21" t="n"/>
      <c r="H417" s="23" t="n"/>
      <c r="I417" s="24" t="n"/>
      <c r="J417" s="25">
        <f>IF(ISNUMBER(H417),H417-IF(ISNUMBER(I417),I417,30),"")</f>
        <v/>
      </c>
      <c r="K417" s="26">
        <f>IF(H417="","",IF(ISNUMBER(H417),H417-TODAY(),"Check date"))</f>
        <v/>
      </c>
      <c r="L417" s="27">
        <f>IF(K417="","",IF(ISNUMBER(K417),IF(K417&lt;0,"Expired",IF(K417&lt;=30,"Due ≤30 days",IF(K417&lt;=90,"Due ≤90 days","OK"))),"Check date"))</f>
        <v/>
      </c>
      <c r="M417" s="21" t="n"/>
      <c r="N417" s="21" t="n"/>
      <c r="O417" s="21" t="n"/>
      <c r="P417" s="21" t="n"/>
    </row>
    <row r="418">
      <c r="A418" s="21" t="n"/>
      <c r="B418" s="21" t="n"/>
      <c r="C418" s="21" t="n"/>
      <c r="D418" s="21" t="n"/>
      <c r="E418" s="22" t="n"/>
      <c r="F418" s="21" t="n"/>
      <c r="G418" s="21" t="n"/>
      <c r="H418" s="23" t="n"/>
      <c r="I418" s="24" t="n"/>
      <c r="J418" s="25">
        <f>IF(ISNUMBER(H418),H418-IF(ISNUMBER(I418),I418,30),"")</f>
        <v/>
      </c>
      <c r="K418" s="26">
        <f>IF(H418="","",IF(ISNUMBER(H418),H418-TODAY(),"Check date"))</f>
        <v/>
      </c>
      <c r="L418" s="27">
        <f>IF(K418="","",IF(ISNUMBER(K418),IF(K418&lt;0,"Expired",IF(K418&lt;=30,"Due ≤30 days",IF(K418&lt;=90,"Due ≤90 days","OK"))),"Check date"))</f>
        <v/>
      </c>
      <c r="M418" s="21" t="n"/>
      <c r="N418" s="21" t="n"/>
      <c r="O418" s="21" t="n"/>
      <c r="P418" s="21" t="n"/>
    </row>
    <row r="419">
      <c r="A419" s="21" t="n"/>
      <c r="B419" s="21" t="n"/>
      <c r="C419" s="21" t="n"/>
      <c r="D419" s="21" t="n"/>
      <c r="E419" s="22" t="n"/>
      <c r="F419" s="21" t="n"/>
      <c r="G419" s="21" t="n"/>
      <c r="H419" s="23" t="n"/>
      <c r="I419" s="24" t="n"/>
      <c r="J419" s="25">
        <f>IF(ISNUMBER(H419),H419-IF(ISNUMBER(I419),I419,30),"")</f>
        <v/>
      </c>
      <c r="K419" s="26">
        <f>IF(H419="","",IF(ISNUMBER(H419),H419-TODAY(),"Check date"))</f>
        <v/>
      </c>
      <c r="L419" s="27">
        <f>IF(K419="","",IF(ISNUMBER(K419),IF(K419&lt;0,"Expired",IF(K419&lt;=30,"Due ≤30 days",IF(K419&lt;=90,"Due ≤90 days","OK"))),"Check date"))</f>
        <v/>
      </c>
      <c r="M419" s="21" t="n"/>
      <c r="N419" s="21" t="n"/>
      <c r="O419" s="21" t="n"/>
      <c r="P419" s="21" t="n"/>
    </row>
    <row r="420">
      <c r="A420" s="21" t="n"/>
      <c r="B420" s="21" t="n"/>
      <c r="C420" s="21" t="n"/>
      <c r="D420" s="21" t="n"/>
      <c r="E420" s="22" t="n"/>
      <c r="F420" s="21" t="n"/>
      <c r="G420" s="21" t="n"/>
      <c r="H420" s="23" t="n"/>
      <c r="I420" s="24" t="n"/>
      <c r="J420" s="25">
        <f>IF(ISNUMBER(H420),H420-IF(ISNUMBER(I420),I420,30),"")</f>
        <v/>
      </c>
      <c r="K420" s="26">
        <f>IF(H420="","",IF(ISNUMBER(H420),H420-TODAY(),"Check date"))</f>
        <v/>
      </c>
      <c r="L420" s="27">
        <f>IF(K420="","",IF(ISNUMBER(K420),IF(K420&lt;0,"Expired",IF(K420&lt;=30,"Due ≤30 days",IF(K420&lt;=90,"Due ≤90 days","OK"))),"Check date"))</f>
        <v/>
      </c>
      <c r="M420" s="21" t="n"/>
      <c r="N420" s="21" t="n"/>
      <c r="O420" s="21" t="n"/>
      <c r="P420" s="21" t="n"/>
    </row>
    <row r="421">
      <c r="A421" s="21" t="n"/>
      <c r="B421" s="21" t="n"/>
      <c r="C421" s="21" t="n"/>
      <c r="D421" s="21" t="n"/>
      <c r="E421" s="22" t="n"/>
      <c r="F421" s="21" t="n"/>
      <c r="G421" s="21" t="n"/>
      <c r="H421" s="23" t="n"/>
      <c r="I421" s="24" t="n"/>
      <c r="J421" s="25">
        <f>IF(ISNUMBER(H421),H421-IF(ISNUMBER(I421),I421,30),"")</f>
        <v/>
      </c>
      <c r="K421" s="26">
        <f>IF(H421="","",IF(ISNUMBER(H421),H421-TODAY(),"Check date"))</f>
        <v/>
      </c>
      <c r="L421" s="27">
        <f>IF(K421="","",IF(ISNUMBER(K421),IF(K421&lt;0,"Expired",IF(K421&lt;=30,"Due ≤30 days",IF(K421&lt;=90,"Due ≤90 days","OK"))),"Check date"))</f>
        <v/>
      </c>
      <c r="M421" s="21" t="n"/>
      <c r="N421" s="21" t="n"/>
      <c r="O421" s="21" t="n"/>
      <c r="P421" s="21" t="n"/>
    </row>
    <row r="422">
      <c r="A422" s="21" t="n"/>
      <c r="B422" s="21" t="n"/>
      <c r="C422" s="21" t="n"/>
      <c r="D422" s="21" t="n"/>
      <c r="E422" s="22" t="n"/>
      <c r="F422" s="21" t="n"/>
      <c r="G422" s="21" t="n"/>
      <c r="H422" s="23" t="n"/>
      <c r="I422" s="24" t="n"/>
      <c r="J422" s="25">
        <f>IF(ISNUMBER(H422),H422-IF(ISNUMBER(I422),I422,30),"")</f>
        <v/>
      </c>
      <c r="K422" s="26">
        <f>IF(H422="","",IF(ISNUMBER(H422),H422-TODAY(),"Check date"))</f>
        <v/>
      </c>
      <c r="L422" s="27">
        <f>IF(K422="","",IF(ISNUMBER(K422),IF(K422&lt;0,"Expired",IF(K422&lt;=30,"Due ≤30 days",IF(K422&lt;=90,"Due ≤90 days","OK"))),"Check date"))</f>
        <v/>
      </c>
      <c r="M422" s="21" t="n"/>
      <c r="N422" s="21" t="n"/>
      <c r="O422" s="21" t="n"/>
      <c r="P422" s="21" t="n"/>
    </row>
    <row r="423">
      <c r="A423" s="21" t="n"/>
      <c r="B423" s="21" t="n"/>
      <c r="C423" s="21" t="n"/>
      <c r="D423" s="21" t="n"/>
      <c r="E423" s="22" t="n"/>
      <c r="F423" s="21" t="n"/>
      <c r="G423" s="21" t="n"/>
      <c r="H423" s="23" t="n"/>
      <c r="I423" s="24" t="n"/>
      <c r="J423" s="25">
        <f>IF(ISNUMBER(H423),H423-IF(ISNUMBER(I423),I423,30),"")</f>
        <v/>
      </c>
      <c r="K423" s="26">
        <f>IF(H423="","",IF(ISNUMBER(H423),H423-TODAY(),"Check date"))</f>
        <v/>
      </c>
      <c r="L423" s="27">
        <f>IF(K423="","",IF(ISNUMBER(K423),IF(K423&lt;0,"Expired",IF(K423&lt;=30,"Due ≤30 days",IF(K423&lt;=90,"Due ≤90 days","OK"))),"Check date"))</f>
        <v/>
      </c>
      <c r="M423" s="21" t="n"/>
      <c r="N423" s="21" t="n"/>
      <c r="O423" s="21" t="n"/>
      <c r="P423" s="21" t="n"/>
    </row>
    <row r="424">
      <c r="A424" s="21" t="n"/>
      <c r="B424" s="21" t="n"/>
      <c r="C424" s="21" t="n"/>
      <c r="D424" s="21" t="n"/>
      <c r="E424" s="22" t="n"/>
      <c r="F424" s="21" t="n"/>
      <c r="G424" s="21" t="n"/>
      <c r="H424" s="23" t="n"/>
      <c r="I424" s="24" t="n"/>
      <c r="J424" s="25">
        <f>IF(ISNUMBER(H424),H424-IF(ISNUMBER(I424),I424,30),"")</f>
        <v/>
      </c>
      <c r="K424" s="26">
        <f>IF(H424="","",IF(ISNUMBER(H424),H424-TODAY(),"Check date"))</f>
        <v/>
      </c>
      <c r="L424" s="27">
        <f>IF(K424="","",IF(ISNUMBER(K424),IF(K424&lt;0,"Expired",IF(K424&lt;=30,"Due ≤30 days",IF(K424&lt;=90,"Due ≤90 days","OK"))),"Check date"))</f>
        <v/>
      </c>
      <c r="M424" s="21" t="n"/>
      <c r="N424" s="21" t="n"/>
      <c r="O424" s="21" t="n"/>
      <c r="P424" s="21" t="n"/>
    </row>
    <row r="425">
      <c r="A425" s="21" t="n"/>
      <c r="B425" s="21" t="n"/>
      <c r="C425" s="21" t="n"/>
      <c r="D425" s="21" t="n"/>
      <c r="E425" s="22" t="n"/>
      <c r="F425" s="21" t="n"/>
      <c r="G425" s="21" t="n"/>
      <c r="H425" s="23" t="n"/>
      <c r="I425" s="24" t="n"/>
      <c r="J425" s="25">
        <f>IF(ISNUMBER(H425),H425-IF(ISNUMBER(I425),I425,30),"")</f>
        <v/>
      </c>
      <c r="K425" s="26">
        <f>IF(H425="","",IF(ISNUMBER(H425),H425-TODAY(),"Check date"))</f>
        <v/>
      </c>
      <c r="L425" s="27">
        <f>IF(K425="","",IF(ISNUMBER(K425),IF(K425&lt;0,"Expired",IF(K425&lt;=30,"Due ≤30 days",IF(K425&lt;=90,"Due ≤90 days","OK"))),"Check date"))</f>
        <v/>
      </c>
      <c r="M425" s="21" t="n"/>
      <c r="N425" s="21" t="n"/>
      <c r="O425" s="21" t="n"/>
      <c r="P425" s="21" t="n"/>
    </row>
    <row r="426">
      <c r="A426" s="21" t="n"/>
      <c r="B426" s="21" t="n"/>
      <c r="C426" s="21" t="n"/>
      <c r="D426" s="21" t="n"/>
      <c r="E426" s="22" t="n"/>
      <c r="F426" s="21" t="n"/>
      <c r="G426" s="21" t="n"/>
      <c r="H426" s="23" t="n"/>
      <c r="I426" s="24" t="n"/>
      <c r="J426" s="25">
        <f>IF(ISNUMBER(H426),H426-IF(ISNUMBER(I426),I426,30),"")</f>
        <v/>
      </c>
      <c r="K426" s="26">
        <f>IF(H426="","",IF(ISNUMBER(H426),H426-TODAY(),"Check date"))</f>
        <v/>
      </c>
      <c r="L426" s="27">
        <f>IF(K426="","",IF(ISNUMBER(K426),IF(K426&lt;0,"Expired",IF(K426&lt;=30,"Due ≤30 days",IF(K426&lt;=90,"Due ≤90 days","OK"))),"Check date"))</f>
        <v/>
      </c>
      <c r="M426" s="21" t="n"/>
      <c r="N426" s="21" t="n"/>
      <c r="O426" s="21" t="n"/>
      <c r="P426" s="21" t="n"/>
    </row>
    <row r="427">
      <c r="A427" s="21" t="n"/>
      <c r="B427" s="21" t="n"/>
      <c r="C427" s="21" t="n"/>
      <c r="D427" s="21" t="n"/>
      <c r="E427" s="22" t="n"/>
      <c r="F427" s="21" t="n"/>
      <c r="G427" s="21" t="n"/>
      <c r="H427" s="23" t="n"/>
      <c r="I427" s="24" t="n"/>
      <c r="J427" s="25">
        <f>IF(ISNUMBER(H427),H427-IF(ISNUMBER(I427),I427,30),"")</f>
        <v/>
      </c>
      <c r="K427" s="26">
        <f>IF(H427="","",IF(ISNUMBER(H427),H427-TODAY(),"Check date"))</f>
        <v/>
      </c>
      <c r="L427" s="27">
        <f>IF(K427="","",IF(ISNUMBER(K427),IF(K427&lt;0,"Expired",IF(K427&lt;=30,"Due ≤30 days",IF(K427&lt;=90,"Due ≤90 days","OK"))),"Check date"))</f>
        <v/>
      </c>
      <c r="M427" s="21" t="n"/>
      <c r="N427" s="21" t="n"/>
      <c r="O427" s="21" t="n"/>
      <c r="P427" s="21" t="n"/>
    </row>
    <row r="428">
      <c r="A428" s="21" t="n"/>
      <c r="B428" s="21" t="n"/>
      <c r="C428" s="21" t="n"/>
      <c r="D428" s="21" t="n"/>
      <c r="E428" s="22" t="n"/>
      <c r="F428" s="21" t="n"/>
      <c r="G428" s="21" t="n"/>
      <c r="H428" s="23" t="n"/>
      <c r="I428" s="24" t="n"/>
      <c r="J428" s="25">
        <f>IF(ISNUMBER(H428),H428-IF(ISNUMBER(I428),I428,30),"")</f>
        <v/>
      </c>
      <c r="K428" s="26">
        <f>IF(H428="","",IF(ISNUMBER(H428),H428-TODAY(),"Check date"))</f>
        <v/>
      </c>
      <c r="L428" s="27">
        <f>IF(K428="","",IF(ISNUMBER(K428),IF(K428&lt;0,"Expired",IF(K428&lt;=30,"Due ≤30 days",IF(K428&lt;=90,"Due ≤90 days","OK"))),"Check date"))</f>
        <v/>
      </c>
      <c r="M428" s="21" t="n"/>
      <c r="N428" s="21" t="n"/>
      <c r="O428" s="21" t="n"/>
      <c r="P428" s="21" t="n"/>
    </row>
    <row r="429">
      <c r="A429" s="21" t="n"/>
      <c r="B429" s="21" t="n"/>
      <c r="C429" s="21" t="n"/>
      <c r="D429" s="21" t="n"/>
      <c r="E429" s="22" t="n"/>
      <c r="F429" s="21" t="n"/>
      <c r="G429" s="21" t="n"/>
      <c r="H429" s="23" t="n"/>
      <c r="I429" s="24" t="n"/>
      <c r="J429" s="25">
        <f>IF(ISNUMBER(H429),H429-IF(ISNUMBER(I429),I429,30),"")</f>
        <v/>
      </c>
      <c r="K429" s="26">
        <f>IF(H429="","",IF(ISNUMBER(H429),H429-TODAY(),"Check date"))</f>
        <v/>
      </c>
      <c r="L429" s="27">
        <f>IF(K429="","",IF(ISNUMBER(K429),IF(K429&lt;0,"Expired",IF(K429&lt;=30,"Due ≤30 days",IF(K429&lt;=90,"Due ≤90 days","OK"))),"Check date"))</f>
        <v/>
      </c>
      <c r="M429" s="21" t="n"/>
      <c r="N429" s="21" t="n"/>
      <c r="O429" s="21" t="n"/>
      <c r="P429" s="21" t="n"/>
    </row>
    <row r="430">
      <c r="A430" s="21" t="n"/>
      <c r="B430" s="21" t="n"/>
      <c r="C430" s="21" t="n"/>
      <c r="D430" s="21" t="n"/>
      <c r="E430" s="22" t="n"/>
      <c r="F430" s="21" t="n"/>
      <c r="G430" s="21" t="n"/>
      <c r="H430" s="23" t="n"/>
      <c r="I430" s="24" t="n"/>
      <c r="J430" s="25">
        <f>IF(ISNUMBER(H430),H430-IF(ISNUMBER(I430),I430,30),"")</f>
        <v/>
      </c>
      <c r="K430" s="26">
        <f>IF(H430="","",IF(ISNUMBER(H430),H430-TODAY(),"Check date"))</f>
        <v/>
      </c>
      <c r="L430" s="27">
        <f>IF(K430="","",IF(ISNUMBER(K430),IF(K430&lt;0,"Expired",IF(K430&lt;=30,"Due ≤30 days",IF(K430&lt;=90,"Due ≤90 days","OK"))),"Check date"))</f>
        <v/>
      </c>
      <c r="M430" s="21" t="n"/>
      <c r="N430" s="21" t="n"/>
      <c r="O430" s="21" t="n"/>
      <c r="P430" s="21" t="n"/>
    </row>
    <row r="431">
      <c r="A431" s="21" t="n"/>
      <c r="B431" s="21" t="n"/>
      <c r="C431" s="21" t="n"/>
      <c r="D431" s="21" t="n"/>
      <c r="E431" s="22" t="n"/>
      <c r="F431" s="21" t="n"/>
      <c r="G431" s="21" t="n"/>
      <c r="H431" s="23" t="n"/>
      <c r="I431" s="24" t="n"/>
      <c r="J431" s="25">
        <f>IF(ISNUMBER(H431),H431-IF(ISNUMBER(I431),I431,30),"")</f>
        <v/>
      </c>
      <c r="K431" s="26">
        <f>IF(H431="","",IF(ISNUMBER(H431),H431-TODAY(),"Check date"))</f>
        <v/>
      </c>
      <c r="L431" s="27">
        <f>IF(K431="","",IF(ISNUMBER(K431),IF(K431&lt;0,"Expired",IF(K431&lt;=30,"Due ≤30 days",IF(K431&lt;=90,"Due ≤90 days","OK"))),"Check date"))</f>
        <v/>
      </c>
      <c r="M431" s="21" t="n"/>
      <c r="N431" s="21" t="n"/>
      <c r="O431" s="21" t="n"/>
      <c r="P431" s="21" t="n"/>
    </row>
    <row r="432">
      <c r="A432" s="21" t="n"/>
      <c r="B432" s="21" t="n"/>
      <c r="C432" s="21" t="n"/>
      <c r="D432" s="21" t="n"/>
      <c r="E432" s="22" t="n"/>
      <c r="F432" s="21" t="n"/>
      <c r="G432" s="21" t="n"/>
      <c r="H432" s="23" t="n"/>
      <c r="I432" s="24" t="n"/>
      <c r="J432" s="25">
        <f>IF(ISNUMBER(H432),H432-IF(ISNUMBER(I432),I432,30),"")</f>
        <v/>
      </c>
      <c r="K432" s="26">
        <f>IF(H432="","",IF(ISNUMBER(H432),H432-TODAY(),"Check date"))</f>
        <v/>
      </c>
      <c r="L432" s="27">
        <f>IF(K432="","",IF(ISNUMBER(K432),IF(K432&lt;0,"Expired",IF(K432&lt;=30,"Due ≤30 days",IF(K432&lt;=90,"Due ≤90 days","OK"))),"Check date"))</f>
        <v/>
      </c>
      <c r="M432" s="21" t="n"/>
      <c r="N432" s="21" t="n"/>
      <c r="O432" s="21" t="n"/>
      <c r="P432" s="21" t="n"/>
    </row>
    <row r="433">
      <c r="A433" s="21" t="n"/>
      <c r="B433" s="21" t="n"/>
      <c r="C433" s="21" t="n"/>
      <c r="D433" s="21" t="n"/>
      <c r="E433" s="22" t="n"/>
      <c r="F433" s="21" t="n"/>
      <c r="G433" s="21" t="n"/>
      <c r="H433" s="23" t="n"/>
      <c r="I433" s="24" t="n"/>
      <c r="J433" s="25">
        <f>IF(ISNUMBER(H433),H433-IF(ISNUMBER(I433),I433,30),"")</f>
        <v/>
      </c>
      <c r="K433" s="26">
        <f>IF(H433="","",IF(ISNUMBER(H433),H433-TODAY(),"Check date"))</f>
        <v/>
      </c>
      <c r="L433" s="27">
        <f>IF(K433="","",IF(ISNUMBER(K433),IF(K433&lt;0,"Expired",IF(K433&lt;=30,"Due ≤30 days",IF(K433&lt;=90,"Due ≤90 days","OK"))),"Check date"))</f>
        <v/>
      </c>
      <c r="M433" s="21" t="n"/>
      <c r="N433" s="21" t="n"/>
      <c r="O433" s="21" t="n"/>
      <c r="P433" s="21" t="n"/>
    </row>
    <row r="434">
      <c r="A434" s="21" t="n"/>
      <c r="B434" s="21" t="n"/>
      <c r="C434" s="21" t="n"/>
      <c r="D434" s="21" t="n"/>
      <c r="E434" s="22" t="n"/>
      <c r="F434" s="21" t="n"/>
      <c r="G434" s="21" t="n"/>
      <c r="H434" s="23" t="n"/>
      <c r="I434" s="24" t="n"/>
      <c r="J434" s="25">
        <f>IF(ISNUMBER(H434),H434-IF(ISNUMBER(I434),I434,30),"")</f>
        <v/>
      </c>
      <c r="K434" s="26">
        <f>IF(H434="","",IF(ISNUMBER(H434),H434-TODAY(),"Check date"))</f>
        <v/>
      </c>
      <c r="L434" s="27">
        <f>IF(K434="","",IF(ISNUMBER(K434),IF(K434&lt;0,"Expired",IF(K434&lt;=30,"Due ≤30 days",IF(K434&lt;=90,"Due ≤90 days","OK"))),"Check date"))</f>
        <v/>
      </c>
      <c r="M434" s="21" t="n"/>
      <c r="N434" s="21" t="n"/>
      <c r="O434" s="21" t="n"/>
      <c r="P434" s="21" t="n"/>
    </row>
    <row r="435">
      <c r="A435" s="21" t="n"/>
      <c r="B435" s="21" t="n"/>
      <c r="C435" s="21" t="n"/>
      <c r="D435" s="21" t="n"/>
      <c r="E435" s="22" t="n"/>
      <c r="F435" s="21" t="n"/>
      <c r="G435" s="21" t="n"/>
      <c r="H435" s="23" t="n"/>
      <c r="I435" s="24" t="n"/>
      <c r="J435" s="25">
        <f>IF(ISNUMBER(H435),H435-IF(ISNUMBER(I435),I435,30),"")</f>
        <v/>
      </c>
      <c r="K435" s="26">
        <f>IF(H435="","",IF(ISNUMBER(H435),H435-TODAY(),"Check date"))</f>
        <v/>
      </c>
      <c r="L435" s="27">
        <f>IF(K435="","",IF(ISNUMBER(K435),IF(K435&lt;0,"Expired",IF(K435&lt;=30,"Due ≤30 days",IF(K435&lt;=90,"Due ≤90 days","OK"))),"Check date"))</f>
        <v/>
      </c>
      <c r="M435" s="21" t="n"/>
      <c r="N435" s="21" t="n"/>
      <c r="O435" s="21" t="n"/>
      <c r="P435" s="21" t="n"/>
    </row>
    <row r="436">
      <c r="A436" s="21" t="n"/>
      <c r="B436" s="21" t="n"/>
      <c r="C436" s="21" t="n"/>
      <c r="D436" s="21" t="n"/>
      <c r="E436" s="22" t="n"/>
      <c r="F436" s="21" t="n"/>
      <c r="G436" s="21" t="n"/>
      <c r="H436" s="23" t="n"/>
      <c r="I436" s="24" t="n"/>
      <c r="J436" s="25">
        <f>IF(ISNUMBER(H436),H436-IF(ISNUMBER(I436),I436,30),"")</f>
        <v/>
      </c>
      <c r="K436" s="26">
        <f>IF(H436="","",IF(ISNUMBER(H436),H436-TODAY(),"Check date"))</f>
        <v/>
      </c>
      <c r="L436" s="27">
        <f>IF(K436="","",IF(ISNUMBER(K436),IF(K436&lt;0,"Expired",IF(K436&lt;=30,"Due ≤30 days",IF(K436&lt;=90,"Due ≤90 days","OK"))),"Check date"))</f>
        <v/>
      </c>
      <c r="M436" s="21" t="n"/>
      <c r="N436" s="21" t="n"/>
      <c r="O436" s="21" t="n"/>
      <c r="P436" s="21" t="n"/>
    </row>
    <row r="437">
      <c r="A437" s="21" t="n"/>
      <c r="B437" s="21" t="n"/>
      <c r="C437" s="21" t="n"/>
      <c r="D437" s="21" t="n"/>
      <c r="E437" s="22" t="n"/>
      <c r="F437" s="21" t="n"/>
      <c r="G437" s="21" t="n"/>
      <c r="H437" s="23" t="n"/>
      <c r="I437" s="24" t="n"/>
      <c r="J437" s="25">
        <f>IF(ISNUMBER(H437),H437-IF(ISNUMBER(I437),I437,30),"")</f>
        <v/>
      </c>
      <c r="K437" s="26">
        <f>IF(H437="","",IF(ISNUMBER(H437),H437-TODAY(),"Check date"))</f>
        <v/>
      </c>
      <c r="L437" s="27">
        <f>IF(K437="","",IF(ISNUMBER(K437),IF(K437&lt;0,"Expired",IF(K437&lt;=30,"Due ≤30 days",IF(K437&lt;=90,"Due ≤90 days","OK"))),"Check date"))</f>
        <v/>
      </c>
      <c r="M437" s="21" t="n"/>
      <c r="N437" s="21" t="n"/>
      <c r="O437" s="21" t="n"/>
      <c r="P437" s="21" t="n"/>
    </row>
    <row r="438">
      <c r="A438" s="21" t="n"/>
      <c r="B438" s="21" t="n"/>
      <c r="C438" s="21" t="n"/>
      <c r="D438" s="21" t="n"/>
      <c r="E438" s="22" t="n"/>
      <c r="F438" s="21" t="n"/>
      <c r="G438" s="21" t="n"/>
      <c r="H438" s="23" t="n"/>
      <c r="I438" s="24" t="n"/>
      <c r="J438" s="25">
        <f>IF(ISNUMBER(H438),H438-IF(ISNUMBER(I438),I438,30),"")</f>
        <v/>
      </c>
      <c r="K438" s="26">
        <f>IF(H438="","",IF(ISNUMBER(H438),H438-TODAY(),"Check date"))</f>
        <v/>
      </c>
      <c r="L438" s="27">
        <f>IF(K438="","",IF(ISNUMBER(K438),IF(K438&lt;0,"Expired",IF(K438&lt;=30,"Due ≤30 days",IF(K438&lt;=90,"Due ≤90 days","OK"))),"Check date"))</f>
        <v/>
      </c>
      <c r="M438" s="21" t="n"/>
      <c r="N438" s="21" t="n"/>
      <c r="O438" s="21" t="n"/>
      <c r="P438" s="21" t="n"/>
    </row>
    <row r="439">
      <c r="A439" s="21" t="n"/>
      <c r="B439" s="21" t="n"/>
      <c r="C439" s="21" t="n"/>
      <c r="D439" s="21" t="n"/>
      <c r="E439" s="22" t="n"/>
      <c r="F439" s="21" t="n"/>
      <c r="G439" s="21" t="n"/>
      <c r="H439" s="23" t="n"/>
      <c r="I439" s="24" t="n"/>
      <c r="J439" s="25">
        <f>IF(ISNUMBER(H439),H439-IF(ISNUMBER(I439),I439,30),"")</f>
        <v/>
      </c>
      <c r="K439" s="26">
        <f>IF(H439="","",IF(ISNUMBER(H439),H439-TODAY(),"Check date"))</f>
        <v/>
      </c>
      <c r="L439" s="27">
        <f>IF(K439="","",IF(ISNUMBER(K439),IF(K439&lt;0,"Expired",IF(K439&lt;=30,"Due ≤30 days",IF(K439&lt;=90,"Due ≤90 days","OK"))),"Check date"))</f>
        <v/>
      </c>
      <c r="M439" s="21" t="n"/>
      <c r="N439" s="21" t="n"/>
      <c r="O439" s="21" t="n"/>
      <c r="P439" s="21" t="n"/>
    </row>
    <row r="440">
      <c r="A440" s="21" t="n"/>
      <c r="B440" s="21" t="n"/>
      <c r="C440" s="21" t="n"/>
      <c r="D440" s="21" t="n"/>
      <c r="E440" s="22" t="n"/>
      <c r="F440" s="21" t="n"/>
      <c r="G440" s="21" t="n"/>
      <c r="H440" s="23" t="n"/>
      <c r="I440" s="24" t="n"/>
      <c r="J440" s="25">
        <f>IF(ISNUMBER(H440),H440-IF(ISNUMBER(I440),I440,30),"")</f>
        <v/>
      </c>
      <c r="K440" s="26">
        <f>IF(H440="","",IF(ISNUMBER(H440),H440-TODAY(),"Check date"))</f>
        <v/>
      </c>
      <c r="L440" s="27">
        <f>IF(K440="","",IF(ISNUMBER(K440),IF(K440&lt;0,"Expired",IF(K440&lt;=30,"Due ≤30 days",IF(K440&lt;=90,"Due ≤90 days","OK"))),"Check date"))</f>
        <v/>
      </c>
      <c r="M440" s="21" t="n"/>
      <c r="N440" s="21" t="n"/>
      <c r="O440" s="21" t="n"/>
      <c r="P440" s="21" t="n"/>
    </row>
    <row r="441">
      <c r="A441" s="21" t="n"/>
      <c r="B441" s="21" t="n"/>
      <c r="C441" s="21" t="n"/>
      <c r="D441" s="21" t="n"/>
      <c r="E441" s="22" t="n"/>
      <c r="F441" s="21" t="n"/>
      <c r="G441" s="21" t="n"/>
      <c r="H441" s="23" t="n"/>
      <c r="I441" s="24" t="n"/>
      <c r="J441" s="25">
        <f>IF(ISNUMBER(H441),H441-IF(ISNUMBER(I441),I441,30),"")</f>
        <v/>
      </c>
      <c r="K441" s="26">
        <f>IF(H441="","",IF(ISNUMBER(H441),H441-TODAY(),"Check date"))</f>
        <v/>
      </c>
      <c r="L441" s="27">
        <f>IF(K441="","",IF(ISNUMBER(K441),IF(K441&lt;0,"Expired",IF(K441&lt;=30,"Due ≤30 days",IF(K441&lt;=90,"Due ≤90 days","OK"))),"Check date"))</f>
        <v/>
      </c>
      <c r="M441" s="21" t="n"/>
      <c r="N441" s="21" t="n"/>
      <c r="O441" s="21" t="n"/>
      <c r="P441" s="21" t="n"/>
    </row>
    <row r="442">
      <c r="A442" s="21" t="n"/>
      <c r="B442" s="21" t="n"/>
      <c r="C442" s="21" t="n"/>
      <c r="D442" s="21" t="n"/>
      <c r="E442" s="22" t="n"/>
      <c r="F442" s="21" t="n"/>
      <c r="G442" s="21" t="n"/>
      <c r="H442" s="23" t="n"/>
      <c r="I442" s="24" t="n"/>
      <c r="J442" s="25">
        <f>IF(ISNUMBER(H442),H442-IF(ISNUMBER(I442),I442,30),"")</f>
        <v/>
      </c>
      <c r="K442" s="26">
        <f>IF(H442="","",IF(ISNUMBER(H442),H442-TODAY(),"Check date"))</f>
        <v/>
      </c>
      <c r="L442" s="27">
        <f>IF(K442="","",IF(ISNUMBER(K442),IF(K442&lt;0,"Expired",IF(K442&lt;=30,"Due ≤30 days",IF(K442&lt;=90,"Due ≤90 days","OK"))),"Check date"))</f>
        <v/>
      </c>
      <c r="M442" s="21" t="n"/>
      <c r="N442" s="21" t="n"/>
      <c r="O442" s="21" t="n"/>
      <c r="P442" s="21" t="n"/>
    </row>
    <row r="443">
      <c r="A443" s="21" t="n"/>
      <c r="B443" s="21" t="n"/>
      <c r="C443" s="21" t="n"/>
      <c r="D443" s="21" t="n"/>
      <c r="E443" s="22" t="n"/>
      <c r="F443" s="21" t="n"/>
      <c r="G443" s="21" t="n"/>
      <c r="H443" s="23" t="n"/>
      <c r="I443" s="24" t="n"/>
      <c r="J443" s="25">
        <f>IF(ISNUMBER(H443),H443-IF(ISNUMBER(I443),I443,30),"")</f>
        <v/>
      </c>
      <c r="K443" s="26">
        <f>IF(H443="","",IF(ISNUMBER(H443),H443-TODAY(),"Check date"))</f>
        <v/>
      </c>
      <c r="L443" s="27">
        <f>IF(K443="","",IF(ISNUMBER(K443),IF(K443&lt;0,"Expired",IF(K443&lt;=30,"Due ≤30 days",IF(K443&lt;=90,"Due ≤90 days","OK"))),"Check date"))</f>
        <v/>
      </c>
      <c r="M443" s="21" t="n"/>
      <c r="N443" s="21" t="n"/>
      <c r="O443" s="21" t="n"/>
      <c r="P443" s="21" t="n"/>
    </row>
    <row r="444">
      <c r="A444" s="21" t="n"/>
      <c r="B444" s="21" t="n"/>
      <c r="C444" s="21" t="n"/>
      <c r="D444" s="21" t="n"/>
      <c r="E444" s="22" t="n"/>
      <c r="F444" s="21" t="n"/>
      <c r="G444" s="21" t="n"/>
      <c r="H444" s="23" t="n"/>
      <c r="I444" s="24" t="n"/>
      <c r="J444" s="25">
        <f>IF(ISNUMBER(H444),H444-IF(ISNUMBER(I444),I444,30),"")</f>
        <v/>
      </c>
      <c r="K444" s="26">
        <f>IF(H444="","",IF(ISNUMBER(H444),H444-TODAY(),"Check date"))</f>
        <v/>
      </c>
      <c r="L444" s="27">
        <f>IF(K444="","",IF(ISNUMBER(K444),IF(K444&lt;0,"Expired",IF(K444&lt;=30,"Due ≤30 days",IF(K444&lt;=90,"Due ≤90 days","OK"))),"Check date"))</f>
        <v/>
      </c>
      <c r="M444" s="21" t="n"/>
      <c r="N444" s="21" t="n"/>
      <c r="O444" s="21" t="n"/>
      <c r="P444" s="21" t="n"/>
    </row>
    <row r="445">
      <c r="A445" s="21" t="n"/>
      <c r="B445" s="21" t="n"/>
      <c r="C445" s="21" t="n"/>
      <c r="D445" s="21" t="n"/>
      <c r="E445" s="22" t="n"/>
      <c r="F445" s="21" t="n"/>
      <c r="G445" s="21" t="n"/>
      <c r="H445" s="23" t="n"/>
      <c r="I445" s="24" t="n"/>
      <c r="J445" s="25">
        <f>IF(ISNUMBER(H445),H445-IF(ISNUMBER(I445),I445,30),"")</f>
        <v/>
      </c>
      <c r="K445" s="26">
        <f>IF(H445="","",IF(ISNUMBER(H445),H445-TODAY(),"Check date"))</f>
        <v/>
      </c>
      <c r="L445" s="27">
        <f>IF(K445="","",IF(ISNUMBER(K445),IF(K445&lt;0,"Expired",IF(K445&lt;=30,"Due ≤30 days",IF(K445&lt;=90,"Due ≤90 days","OK"))),"Check date"))</f>
        <v/>
      </c>
      <c r="M445" s="21" t="n"/>
      <c r="N445" s="21" t="n"/>
      <c r="O445" s="21" t="n"/>
      <c r="P445" s="21" t="n"/>
    </row>
    <row r="446">
      <c r="A446" s="21" t="n"/>
      <c r="B446" s="21" t="n"/>
      <c r="C446" s="21" t="n"/>
      <c r="D446" s="21" t="n"/>
      <c r="E446" s="22" t="n"/>
      <c r="F446" s="21" t="n"/>
      <c r="G446" s="21" t="n"/>
      <c r="H446" s="23" t="n"/>
      <c r="I446" s="24" t="n"/>
      <c r="J446" s="25">
        <f>IF(ISNUMBER(H446),H446-IF(ISNUMBER(I446),I446,30),"")</f>
        <v/>
      </c>
      <c r="K446" s="26">
        <f>IF(H446="","",IF(ISNUMBER(H446),H446-TODAY(),"Check date"))</f>
        <v/>
      </c>
      <c r="L446" s="27">
        <f>IF(K446="","",IF(ISNUMBER(K446),IF(K446&lt;0,"Expired",IF(K446&lt;=30,"Due ≤30 days",IF(K446&lt;=90,"Due ≤90 days","OK"))),"Check date"))</f>
        <v/>
      </c>
      <c r="M446" s="21" t="n"/>
      <c r="N446" s="21" t="n"/>
      <c r="O446" s="21" t="n"/>
      <c r="P446" s="21" t="n"/>
    </row>
    <row r="447">
      <c r="A447" s="21" t="n"/>
      <c r="B447" s="21" t="n"/>
      <c r="C447" s="21" t="n"/>
      <c r="D447" s="21" t="n"/>
      <c r="E447" s="22" t="n"/>
      <c r="F447" s="21" t="n"/>
      <c r="G447" s="21" t="n"/>
      <c r="H447" s="23" t="n"/>
      <c r="I447" s="24" t="n"/>
      <c r="J447" s="25">
        <f>IF(ISNUMBER(H447),H447-IF(ISNUMBER(I447),I447,30),"")</f>
        <v/>
      </c>
      <c r="K447" s="26">
        <f>IF(H447="","",IF(ISNUMBER(H447),H447-TODAY(),"Check date"))</f>
        <v/>
      </c>
      <c r="L447" s="27">
        <f>IF(K447="","",IF(ISNUMBER(K447),IF(K447&lt;0,"Expired",IF(K447&lt;=30,"Due ≤30 days",IF(K447&lt;=90,"Due ≤90 days","OK"))),"Check date"))</f>
        <v/>
      </c>
      <c r="M447" s="21" t="n"/>
      <c r="N447" s="21" t="n"/>
      <c r="O447" s="21" t="n"/>
      <c r="P447" s="21" t="n"/>
    </row>
    <row r="448">
      <c r="A448" s="21" t="n"/>
      <c r="B448" s="21" t="n"/>
      <c r="C448" s="21" t="n"/>
      <c r="D448" s="21" t="n"/>
      <c r="E448" s="22" t="n"/>
      <c r="F448" s="21" t="n"/>
      <c r="G448" s="21" t="n"/>
      <c r="H448" s="23" t="n"/>
      <c r="I448" s="24" t="n"/>
      <c r="J448" s="25">
        <f>IF(ISNUMBER(H448),H448-IF(ISNUMBER(I448),I448,30),"")</f>
        <v/>
      </c>
      <c r="K448" s="26">
        <f>IF(H448="","",IF(ISNUMBER(H448),H448-TODAY(),"Check date"))</f>
        <v/>
      </c>
      <c r="L448" s="27">
        <f>IF(K448="","",IF(ISNUMBER(K448),IF(K448&lt;0,"Expired",IF(K448&lt;=30,"Due ≤30 days",IF(K448&lt;=90,"Due ≤90 days","OK"))),"Check date"))</f>
        <v/>
      </c>
      <c r="M448" s="21" t="n"/>
      <c r="N448" s="21" t="n"/>
      <c r="O448" s="21" t="n"/>
      <c r="P448" s="21" t="n"/>
    </row>
    <row r="449">
      <c r="A449" s="21" t="n"/>
      <c r="B449" s="21" t="n"/>
      <c r="C449" s="21" t="n"/>
      <c r="D449" s="21" t="n"/>
      <c r="E449" s="22" t="n"/>
      <c r="F449" s="21" t="n"/>
      <c r="G449" s="21" t="n"/>
      <c r="H449" s="23" t="n"/>
      <c r="I449" s="24" t="n"/>
      <c r="J449" s="25">
        <f>IF(ISNUMBER(H449),H449-IF(ISNUMBER(I449),I449,30),"")</f>
        <v/>
      </c>
      <c r="K449" s="26">
        <f>IF(H449="","",IF(ISNUMBER(H449),H449-TODAY(),"Check date"))</f>
        <v/>
      </c>
      <c r="L449" s="27">
        <f>IF(K449="","",IF(ISNUMBER(K449),IF(K449&lt;0,"Expired",IF(K449&lt;=30,"Due ≤30 days",IF(K449&lt;=90,"Due ≤90 days","OK"))),"Check date"))</f>
        <v/>
      </c>
      <c r="M449" s="21" t="n"/>
      <c r="N449" s="21" t="n"/>
      <c r="O449" s="21" t="n"/>
      <c r="P449" s="21" t="n"/>
    </row>
    <row r="450">
      <c r="A450" s="21" t="n"/>
      <c r="B450" s="21" t="n"/>
      <c r="C450" s="21" t="n"/>
      <c r="D450" s="21" t="n"/>
      <c r="E450" s="22" t="n"/>
      <c r="F450" s="21" t="n"/>
      <c r="G450" s="21" t="n"/>
      <c r="H450" s="23" t="n"/>
      <c r="I450" s="24" t="n"/>
      <c r="J450" s="25">
        <f>IF(ISNUMBER(H450),H450-IF(ISNUMBER(I450),I450,30),"")</f>
        <v/>
      </c>
      <c r="K450" s="26">
        <f>IF(H450="","",IF(ISNUMBER(H450),H450-TODAY(),"Check date"))</f>
        <v/>
      </c>
      <c r="L450" s="27">
        <f>IF(K450="","",IF(ISNUMBER(K450),IF(K450&lt;0,"Expired",IF(K450&lt;=30,"Due ≤30 days",IF(K450&lt;=90,"Due ≤90 days","OK"))),"Check date"))</f>
        <v/>
      </c>
      <c r="M450" s="21" t="n"/>
      <c r="N450" s="21" t="n"/>
      <c r="O450" s="21" t="n"/>
      <c r="P450" s="21" t="n"/>
    </row>
    <row r="451">
      <c r="A451" s="21" t="n"/>
      <c r="B451" s="21" t="n"/>
      <c r="C451" s="21" t="n"/>
      <c r="D451" s="21" t="n"/>
      <c r="E451" s="22" t="n"/>
      <c r="F451" s="21" t="n"/>
      <c r="G451" s="21" t="n"/>
      <c r="H451" s="23" t="n"/>
      <c r="I451" s="24" t="n"/>
      <c r="J451" s="25">
        <f>IF(ISNUMBER(H451),H451-IF(ISNUMBER(I451),I451,30),"")</f>
        <v/>
      </c>
      <c r="K451" s="26">
        <f>IF(H451="","",IF(ISNUMBER(H451),H451-TODAY(),"Check date"))</f>
        <v/>
      </c>
      <c r="L451" s="27">
        <f>IF(K451="","",IF(ISNUMBER(K451),IF(K451&lt;0,"Expired",IF(K451&lt;=30,"Due ≤30 days",IF(K451&lt;=90,"Due ≤90 days","OK"))),"Check date"))</f>
        <v/>
      </c>
      <c r="M451" s="21" t="n"/>
      <c r="N451" s="21" t="n"/>
      <c r="O451" s="21" t="n"/>
      <c r="P451" s="21" t="n"/>
    </row>
    <row r="452">
      <c r="A452" s="21" t="n"/>
      <c r="B452" s="21" t="n"/>
      <c r="C452" s="21" t="n"/>
      <c r="D452" s="21" t="n"/>
      <c r="E452" s="22" t="n"/>
      <c r="F452" s="21" t="n"/>
      <c r="G452" s="21" t="n"/>
      <c r="H452" s="23" t="n"/>
      <c r="I452" s="24" t="n"/>
      <c r="J452" s="25">
        <f>IF(ISNUMBER(H452),H452-IF(ISNUMBER(I452),I452,30),"")</f>
        <v/>
      </c>
      <c r="K452" s="26">
        <f>IF(H452="","",IF(ISNUMBER(H452),H452-TODAY(),"Check date"))</f>
        <v/>
      </c>
      <c r="L452" s="27">
        <f>IF(K452="","",IF(ISNUMBER(K452),IF(K452&lt;0,"Expired",IF(K452&lt;=30,"Due ≤30 days",IF(K452&lt;=90,"Due ≤90 days","OK"))),"Check date"))</f>
        <v/>
      </c>
      <c r="M452" s="21" t="n"/>
      <c r="N452" s="21" t="n"/>
      <c r="O452" s="21" t="n"/>
      <c r="P452" s="21" t="n"/>
    </row>
    <row r="453">
      <c r="A453" s="21" t="n"/>
      <c r="B453" s="21" t="n"/>
      <c r="C453" s="21" t="n"/>
      <c r="D453" s="21" t="n"/>
      <c r="E453" s="22" t="n"/>
      <c r="F453" s="21" t="n"/>
      <c r="G453" s="21" t="n"/>
      <c r="H453" s="23" t="n"/>
      <c r="I453" s="24" t="n"/>
      <c r="J453" s="25">
        <f>IF(ISNUMBER(H453),H453-IF(ISNUMBER(I453),I453,30),"")</f>
        <v/>
      </c>
      <c r="K453" s="26">
        <f>IF(H453="","",IF(ISNUMBER(H453),H453-TODAY(),"Check date"))</f>
        <v/>
      </c>
      <c r="L453" s="27">
        <f>IF(K453="","",IF(ISNUMBER(K453),IF(K453&lt;0,"Expired",IF(K453&lt;=30,"Due ≤30 days",IF(K453&lt;=90,"Due ≤90 days","OK"))),"Check date"))</f>
        <v/>
      </c>
      <c r="M453" s="21" t="n"/>
      <c r="N453" s="21" t="n"/>
      <c r="O453" s="21" t="n"/>
      <c r="P453" s="21" t="n"/>
    </row>
    <row r="454">
      <c r="A454" s="21" t="n"/>
      <c r="B454" s="21" t="n"/>
      <c r="C454" s="21" t="n"/>
      <c r="D454" s="21" t="n"/>
      <c r="E454" s="22" t="n"/>
      <c r="F454" s="21" t="n"/>
      <c r="G454" s="21" t="n"/>
      <c r="H454" s="23" t="n"/>
      <c r="I454" s="24" t="n"/>
      <c r="J454" s="25">
        <f>IF(ISNUMBER(H454),H454-IF(ISNUMBER(I454),I454,30),"")</f>
        <v/>
      </c>
      <c r="K454" s="26">
        <f>IF(H454="","",IF(ISNUMBER(H454),H454-TODAY(),"Check date"))</f>
        <v/>
      </c>
      <c r="L454" s="27">
        <f>IF(K454="","",IF(ISNUMBER(K454),IF(K454&lt;0,"Expired",IF(K454&lt;=30,"Due ≤30 days",IF(K454&lt;=90,"Due ≤90 days","OK"))),"Check date"))</f>
        <v/>
      </c>
      <c r="M454" s="21" t="n"/>
      <c r="N454" s="21" t="n"/>
      <c r="O454" s="21" t="n"/>
      <c r="P454" s="21" t="n"/>
    </row>
    <row r="455">
      <c r="A455" s="21" t="n"/>
      <c r="B455" s="21" t="n"/>
      <c r="C455" s="21" t="n"/>
      <c r="D455" s="21" t="n"/>
      <c r="E455" s="22" t="n"/>
      <c r="F455" s="21" t="n"/>
      <c r="G455" s="21" t="n"/>
      <c r="H455" s="23" t="n"/>
      <c r="I455" s="24" t="n"/>
      <c r="J455" s="25">
        <f>IF(ISNUMBER(H455),H455-IF(ISNUMBER(I455),I455,30),"")</f>
        <v/>
      </c>
      <c r="K455" s="26">
        <f>IF(H455="","",IF(ISNUMBER(H455),H455-TODAY(),"Check date"))</f>
        <v/>
      </c>
      <c r="L455" s="27">
        <f>IF(K455="","",IF(ISNUMBER(K455),IF(K455&lt;0,"Expired",IF(K455&lt;=30,"Due ≤30 days",IF(K455&lt;=90,"Due ≤90 days","OK"))),"Check date"))</f>
        <v/>
      </c>
      <c r="M455" s="21" t="n"/>
      <c r="N455" s="21" t="n"/>
      <c r="O455" s="21" t="n"/>
      <c r="P455" s="21" t="n"/>
    </row>
    <row r="456">
      <c r="A456" s="21" t="n"/>
      <c r="B456" s="21" t="n"/>
      <c r="C456" s="21" t="n"/>
      <c r="D456" s="21" t="n"/>
      <c r="E456" s="22" t="n"/>
      <c r="F456" s="21" t="n"/>
      <c r="G456" s="21" t="n"/>
      <c r="H456" s="23" t="n"/>
      <c r="I456" s="24" t="n"/>
      <c r="J456" s="25">
        <f>IF(ISNUMBER(H456),H456-IF(ISNUMBER(I456),I456,30),"")</f>
        <v/>
      </c>
      <c r="K456" s="26">
        <f>IF(H456="","",IF(ISNUMBER(H456),H456-TODAY(),"Check date"))</f>
        <v/>
      </c>
      <c r="L456" s="27">
        <f>IF(K456="","",IF(ISNUMBER(K456),IF(K456&lt;0,"Expired",IF(K456&lt;=30,"Due ≤30 days",IF(K456&lt;=90,"Due ≤90 days","OK"))),"Check date"))</f>
        <v/>
      </c>
      <c r="M456" s="21" t="n"/>
      <c r="N456" s="21" t="n"/>
      <c r="O456" s="21" t="n"/>
      <c r="P456" s="21" t="n"/>
    </row>
    <row r="457">
      <c r="A457" s="21" t="n"/>
      <c r="B457" s="21" t="n"/>
      <c r="C457" s="21" t="n"/>
      <c r="D457" s="21" t="n"/>
      <c r="E457" s="22" t="n"/>
      <c r="F457" s="21" t="n"/>
      <c r="G457" s="21" t="n"/>
      <c r="H457" s="23" t="n"/>
      <c r="I457" s="24" t="n"/>
      <c r="J457" s="25">
        <f>IF(ISNUMBER(H457),H457-IF(ISNUMBER(I457),I457,30),"")</f>
        <v/>
      </c>
      <c r="K457" s="26">
        <f>IF(H457="","",IF(ISNUMBER(H457),H457-TODAY(),"Check date"))</f>
        <v/>
      </c>
      <c r="L457" s="27">
        <f>IF(K457="","",IF(ISNUMBER(K457),IF(K457&lt;0,"Expired",IF(K457&lt;=30,"Due ≤30 days",IF(K457&lt;=90,"Due ≤90 days","OK"))),"Check date"))</f>
        <v/>
      </c>
      <c r="M457" s="21" t="n"/>
      <c r="N457" s="21" t="n"/>
      <c r="O457" s="21" t="n"/>
      <c r="P457" s="21" t="n"/>
    </row>
    <row r="458">
      <c r="A458" s="21" t="n"/>
      <c r="B458" s="21" t="n"/>
      <c r="C458" s="21" t="n"/>
      <c r="D458" s="21" t="n"/>
      <c r="E458" s="22" t="n"/>
      <c r="F458" s="21" t="n"/>
      <c r="G458" s="21" t="n"/>
      <c r="H458" s="23" t="n"/>
      <c r="I458" s="24" t="n"/>
      <c r="J458" s="25">
        <f>IF(ISNUMBER(H458),H458-IF(ISNUMBER(I458),I458,30),"")</f>
        <v/>
      </c>
      <c r="K458" s="26">
        <f>IF(H458="","",IF(ISNUMBER(H458),H458-TODAY(),"Check date"))</f>
        <v/>
      </c>
      <c r="L458" s="27">
        <f>IF(K458="","",IF(ISNUMBER(K458),IF(K458&lt;0,"Expired",IF(K458&lt;=30,"Due ≤30 days",IF(K458&lt;=90,"Due ≤90 days","OK"))),"Check date"))</f>
        <v/>
      </c>
      <c r="M458" s="21" t="n"/>
      <c r="N458" s="21" t="n"/>
      <c r="O458" s="21" t="n"/>
      <c r="P458" s="21" t="n"/>
    </row>
    <row r="459">
      <c r="A459" s="21" t="n"/>
      <c r="B459" s="21" t="n"/>
      <c r="C459" s="21" t="n"/>
      <c r="D459" s="21" t="n"/>
      <c r="E459" s="22" t="n"/>
      <c r="F459" s="21" t="n"/>
      <c r="G459" s="21" t="n"/>
      <c r="H459" s="23" t="n"/>
      <c r="I459" s="24" t="n"/>
      <c r="J459" s="25">
        <f>IF(ISNUMBER(H459),H459-IF(ISNUMBER(I459),I459,30),"")</f>
        <v/>
      </c>
      <c r="K459" s="26">
        <f>IF(H459="","",IF(ISNUMBER(H459),H459-TODAY(),"Check date"))</f>
        <v/>
      </c>
      <c r="L459" s="27">
        <f>IF(K459="","",IF(ISNUMBER(K459),IF(K459&lt;0,"Expired",IF(K459&lt;=30,"Due ≤30 days",IF(K459&lt;=90,"Due ≤90 days","OK"))),"Check date"))</f>
        <v/>
      </c>
      <c r="M459" s="21" t="n"/>
      <c r="N459" s="21" t="n"/>
      <c r="O459" s="21" t="n"/>
      <c r="P459" s="21" t="n"/>
    </row>
    <row r="460">
      <c r="A460" s="21" t="n"/>
      <c r="B460" s="21" t="n"/>
      <c r="C460" s="21" t="n"/>
      <c r="D460" s="21" t="n"/>
      <c r="E460" s="22" t="n"/>
      <c r="F460" s="21" t="n"/>
      <c r="G460" s="21" t="n"/>
      <c r="H460" s="23" t="n"/>
      <c r="I460" s="24" t="n"/>
      <c r="J460" s="25">
        <f>IF(ISNUMBER(H460),H460-IF(ISNUMBER(I460),I460,30),"")</f>
        <v/>
      </c>
      <c r="K460" s="26">
        <f>IF(H460="","",IF(ISNUMBER(H460),H460-TODAY(),"Check date"))</f>
        <v/>
      </c>
      <c r="L460" s="27">
        <f>IF(K460="","",IF(ISNUMBER(K460),IF(K460&lt;0,"Expired",IF(K460&lt;=30,"Due ≤30 days",IF(K460&lt;=90,"Due ≤90 days","OK"))),"Check date"))</f>
        <v/>
      </c>
      <c r="M460" s="21" t="n"/>
      <c r="N460" s="21" t="n"/>
      <c r="O460" s="21" t="n"/>
      <c r="P460" s="21" t="n"/>
    </row>
    <row r="461">
      <c r="A461" s="21" t="n"/>
      <c r="B461" s="21" t="n"/>
      <c r="C461" s="21" t="n"/>
      <c r="D461" s="21" t="n"/>
      <c r="E461" s="22" t="n"/>
      <c r="F461" s="21" t="n"/>
      <c r="G461" s="21" t="n"/>
      <c r="H461" s="23" t="n"/>
      <c r="I461" s="24" t="n"/>
      <c r="J461" s="25">
        <f>IF(ISNUMBER(H461),H461-IF(ISNUMBER(I461),I461,30),"")</f>
        <v/>
      </c>
      <c r="K461" s="26">
        <f>IF(H461="","",IF(ISNUMBER(H461),H461-TODAY(),"Check date"))</f>
        <v/>
      </c>
      <c r="L461" s="27">
        <f>IF(K461="","",IF(ISNUMBER(K461),IF(K461&lt;0,"Expired",IF(K461&lt;=30,"Due ≤30 days",IF(K461&lt;=90,"Due ≤90 days","OK"))),"Check date"))</f>
        <v/>
      </c>
      <c r="M461" s="21" t="n"/>
      <c r="N461" s="21" t="n"/>
      <c r="O461" s="21" t="n"/>
      <c r="P461" s="21" t="n"/>
    </row>
    <row r="462">
      <c r="A462" s="21" t="n"/>
      <c r="B462" s="21" t="n"/>
      <c r="C462" s="21" t="n"/>
      <c r="D462" s="21" t="n"/>
      <c r="E462" s="22" t="n"/>
      <c r="F462" s="21" t="n"/>
      <c r="G462" s="21" t="n"/>
      <c r="H462" s="23" t="n"/>
      <c r="I462" s="24" t="n"/>
      <c r="J462" s="25">
        <f>IF(ISNUMBER(H462),H462-IF(ISNUMBER(I462),I462,30),"")</f>
        <v/>
      </c>
      <c r="K462" s="26">
        <f>IF(H462="","",IF(ISNUMBER(H462),H462-TODAY(),"Check date"))</f>
        <v/>
      </c>
      <c r="L462" s="27">
        <f>IF(K462="","",IF(ISNUMBER(K462),IF(K462&lt;0,"Expired",IF(K462&lt;=30,"Due ≤30 days",IF(K462&lt;=90,"Due ≤90 days","OK"))),"Check date"))</f>
        <v/>
      </c>
      <c r="M462" s="21" t="n"/>
      <c r="N462" s="21" t="n"/>
      <c r="O462" s="21" t="n"/>
      <c r="P462" s="21" t="n"/>
    </row>
    <row r="463">
      <c r="A463" s="21" t="n"/>
      <c r="B463" s="21" t="n"/>
      <c r="C463" s="21" t="n"/>
      <c r="D463" s="21" t="n"/>
      <c r="E463" s="22" t="n"/>
      <c r="F463" s="21" t="n"/>
      <c r="G463" s="21" t="n"/>
      <c r="H463" s="23" t="n"/>
      <c r="I463" s="24" t="n"/>
      <c r="J463" s="25">
        <f>IF(ISNUMBER(H463),H463-IF(ISNUMBER(I463),I463,30),"")</f>
        <v/>
      </c>
      <c r="K463" s="26">
        <f>IF(H463="","",IF(ISNUMBER(H463),H463-TODAY(),"Check date"))</f>
        <v/>
      </c>
      <c r="L463" s="27">
        <f>IF(K463="","",IF(ISNUMBER(K463),IF(K463&lt;0,"Expired",IF(K463&lt;=30,"Due ≤30 days",IF(K463&lt;=90,"Due ≤90 days","OK"))),"Check date"))</f>
        <v/>
      </c>
      <c r="M463" s="21" t="n"/>
      <c r="N463" s="21" t="n"/>
      <c r="O463" s="21" t="n"/>
      <c r="P463" s="21" t="n"/>
    </row>
    <row r="464">
      <c r="A464" s="21" t="n"/>
      <c r="B464" s="21" t="n"/>
      <c r="C464" s="21" t="n"/>
      <c r="D464" s="21" t="n"/>
      <c r="E464" s="22" t="n"/>
      <c r="F464" s="21" t="n"/>
      <c r="G464" s="21" t="n"/>
      <c r="H464" s="23" t="n"/>
      <c r="I464" s="24" t="n"/>
      <c r="J464" s="25">
        <f>IF(ISNUMBER(H464),H464-IF(ISNUMBER(I464),I464,30),"")</f>
        <v/>
      </c>
      <c r="K464" s="26">
        <f>IF(H464="","",IF(ISNUMBER(H464),H464-TODAY(),"Check date"))</f>
        <v/>
      </c>
      <c r="L464" s="27">
        <f>IF(K464="","",IF(ISNUMBER(K464),IF(K464&lt;0,"Expired",IF(K464&lt;=30,"Due ≤30 days",IF(K464&lt;=90,"Due ≤90 days","OK"))),"Check date"))</f>
        <v/>
      </c>
      <c r="M464" s="21" t="n"/>
      <c r="N464" s="21" t="n"/>
      <c r="O464" s="21" t="n"/>
      <c r="P464" s="21" t="n"/>
    </row>
    <row r="465">
      <c r="A465" s="21" t="n"/>
      <c r="B465" s="21" t="n"/>
      <c r="C465" s="21" t="n"/>
      <c r="D465" s="21" t="n"/>
      <c r="E465" s="22" t="n"/>
      <c r="F465" s="21" t="n"/>
      <c r="G465" s="21" t="n"/>
      <c r="H465" s="23" t="n"/>
      <c r="I465" s="24" t="n"/>
      <c r="J465" s="25">
        <f>IF(ISNUMBER(H465),H465-IF(ISNUMBER(I465),I465,30),"")</f>
        <v/>
      </c>
      <c r="K465" s="26">
        <f>IF(H465="","",IF(ISNUMBER(H465),H465-TODAY(),"Check date"))</f>
        <v/>
      </c>
      <c r="L465" s="27">
        <f>IF(K465="","",IF(ISNUMBER(K465),IF(K465&lt;0,"Expired",IF(K465&lt;=30,"Due ≤30 days",IF(K465&lt;=90,"Due ≤90 days","OK"))),"Check date"))</f>
        <v/>
      </c>
      <c r="M465" s="21" t="n"/>
      <c r="N465" s="21" t="n"/>
      <c r="O465" s="21" t="n"/>
      <c r="P465" s="21" t="n"/>
    </row>
    <row r="466">
      <c r="A466" s="21" t="n"/>
      <c r="B466" s="21" t="n"/>
      <c r="C466" s="21" t="n"/>
      <c r="D466" s="21" t="n"/>
      <c r="E466" s="22" t="n"/>
      <c r="F466" s="21" t="n"/>
      <c r="G466" s="21" t="n"/>
      <c r="H466" s="23" t="n"/>
      <c r="I466" s="24" t="n"/>
      <c r="J466" s="25">
        <f>IF(ISNUMBER(H466),H466-IF(ISNUMBER(I466),I466,30),"")</f>
        <v/>
      </c>
      <c r="K466" s="26">
        <f>IF(H466="","",IF(ISNUMBER(H466),H466-TODAY(),"Check date"))</f>
        <v/>
      </c>
      <c r="L466" s="27">
        <f>IF(K466="","",IF(ISNUMBER(K466),IF(K466&lt;0,"Expired",IF(K466&lt;=30,"Due ≤30 days",IF(K466&lt;=90,"Due ≤90 days","OK"))),"Check date"))</f>
        <v/>
      </c>
      <c r="M466" s="21" t="n"/>
      <c r="N466" s="21" t="n"/>
      <c r="O466" s="21" t="n"/>
      <c r="P466" s="21" t="n"/>
    </row>
    <row r="467">
      <c r="A467" s="21" t="n"/>
      <c r="B467" s="21" t="n"/>
      <c r="C467" s="21" t="n"/>
      <c r="D467" s="21" t="n"/>
      <c r="E467" s="22" t="n"/>
      <c r="F467" s="21" t="n"/>
      <c r="G467" s="21" t="n"/>
      <c r="H467" s="23" t="n"/>
      <c r="I467" s="24" t="n"/>
      <c r="J467" s="25">
        <f>IF(ISNUMBER(H467),H467-IF(ISNUMBER(I467),I467,30),"")</f>
        <v/>
      </c>
      <c r="K467" s="26">
        <f>IF(H467="","",IF(ISNUMBER(H467),H467-TODAY(),"Check date"))</f>
        <v/>
      </c>
      <c r="L467" s="27">
        <f>IF(K467="","",IF(ISNUMBER(K467),IF(K467&lt;0,"Expired",IF(K467&lt;=30,"Due ≤30 days",IF(K467&lt;=90,"Due ≤90 days","OK"))),"Check date"))</f>
        <v/>
      </c>
      <c r="M467" s="21" t="n"/>
      <c r="N467" s="21" t="n"/>
      <c r="O467" s="21" t="n"/>
      <c r="P467" s="21" t="n"/>
    </row>
    <row r="468">
      <c r="A468" s="21" t="n"/>
      <c r="B468" s="21" t="n"/>
      <c r="C468" s="21" t="n"/>
      <c r="D468" s="21" t="n"/>
      <c r="E468" s="22" t="n"/>
      <c r="F468" s="21" t="n"/>
      <c r="G468" s="21" t="n"/>
      <c r="H468" s="23" t="n"/>
      <c r="I468" s="24" t="n"/>
      <c r="J468" s="25">
        <f>IF(ISNUMBER(H468),H468-IF(ISNUMBER(I468),I468,30),"")</f>
        <v/>
      </c>
      <c r="K468" s="26">
        <f>IF(H468="","",IF(ISNUMBER(H468),H468-TODAY(),"Check date"))</f>
        <v/>
      </c>
      <c r="L468" s="27">
        <f>IF(K468="","",IF(ISNUMBER(K468),IF(K468&lt;0,"Expired",IF(K468&lt;=30,"Due ≤30 days",IF(K468&lt;=90,"Due ≤90 days","OK"))),"Check date"))</f>
        <v/>
      </c>
      <c r="M468" s="21" t="n"/>
      <c r="N468" s="21" t="n"/>
      <c r="O468" s="21" t="n"/>
      <c r="P468" s="21" t="n"/>
    </row>
    <row r="469">
      <c r="A469" s="21" t="n"/>
      <c r="B469" s="21" t="n"/>
      <c r="C469" s="21" t="n"/>
      <c r="D469" s="21" t="n"/>
      <c r="E469" s="22" t="n"/>
      <c r="F469" s="21" t="n"/>
      <c r="G469" s="21" t="n"/>
      <c r="H469" s="23" t="n"/>
      <c r="I469" s="24" t="n"/>
      <c r="J469" s="25">
        <f>IF(ISNUMBER(H469),H469-IF(ISNUMBER(I469),I469,30),"")</f>
        <v/>
      </c>
      <c r="K469" s="26">
        <f>IF(H469="","",IF(ISNUMBER(H469),H469-TODAY(),"Check date"))</f>
        <v/>
      </c>
      <c r="L469" s="27">
        <f>IF(K469="","",IF(ISNUMBER(K469),IF(K469&lt;0,"Expired",IF(K469&lt;=30,"Due ≤30 days",IF(K469&lt;=90,"Due ≤90 days","OK"))),"Check date"))</f>
        <v/>
      </c>
      <c r="M469" s="21" t="n"/>
      <c r="N469" s="21" t="n"/>
      <c r="O469" s="21" t="n"/>
      <c r="P469" s="21" t="n"/>
    </row>
    <row r="470">
      <c r="A470" s="21" t="n"/>
      <c r="B470" s="21" t="n"/>
      <c r="C470" s="21" t="n"/>
      <c r="D470" s="21" t="n"/>
      <c r="E470" s="22" t="n"/>
      <c r="F470" s="21" t="n"/>
      <c r="G470" s="21" t="n"/>
      <c r="H470" s="23" t="n"/>
      <c r="I470" s="24" t="n"/>
      <c r="J470" s="25">
        <f>IF(ISNUMBER(H470),H470-IF(ISNUMBER(I470),I470,30),"")</f>
        <v/>
      </c>
      <c r="K470" s="26">
        <f>IF(H470="","",IF(ISNUMBER(H470),H470-TODAY(),"Check date"))</f>
        <v/>
      </c>
      <c r="L470" s="27">
        <f>IF(K470="","",IF(ISNUMBER(K470),IF(K470&lt;0,"Expired",IF(K470&lt;=30,"Due ≤30 days",IF(K470&lt;=90,"Due ≤90 days","OK"))),"Check date"))</f>
        <v/>
      </c>
      <c r="M470" s="21" t="n"/>
      <c r="N470" s="21" t="n"/>
      <c r="O470" s="21" t="n"/>
      <c r="P470" s="21" t="n"/>
    </row>
    <row r="471">
      <c r="A471" s="21" t="n"/>
      <c r="B471" s="21" t="n"/>
      <c r="C471" s="21" t="n"/>
      <c r="D471" s="21" t="n"/>
      <c r="E471" s="22" t="n"/>
      <c r="F471" s="21" t="n"/>
      <c r="G471" s="21" t="n"/>
      <c r="H471" s="23" t="n"/>
      <c r="I471" s="24" t="n"/>
      <c r="J471" s="25">
        <f>IF(ISNUMBER(H471),H471-IF(ISNUMBER(I471),I471,30),"")</f>
        <v/>
      </c>
      <c r="K471" s="26">
        <f>IF(H471="","",IF(ISNUMBER(H471),H471-TODAY(),"Check date"))</f>
        <v/>
      </c>
      <c r="L471" s="27">
        <f>IF(K471="","",IF(ISNUMBER(K471),IF(K471&lt;0,"Expired",IF(K471&lt;=30,"Due ≤30 days",IF(K471&lt;=90,"Due ≤90 days","OK"))),"Check date"))</f>
        <v/>
      </c>
      <c r="M471" s="21" t="n"/>
      <c r="N471" s="21" t="n"/>
      <c r="O471" s="21" t="n"/>
      <c r="P471" s="21" t="n"/>
    </row>
    <row r="472">
      <c r="A472" s="21" t="n"/>
      <c r="B472" s="21" t="n"/>
      <c r="C472" s="21" t="n"/>
      <c r="D472" s="21" t="n"/>
      <c r="E472" s="22" t="n"/>
      <c r="F472" s="21" t="n"/>
      <c r="G472" s="21" t="n"/>
      <c r="H472" s="23" t="n"/>
      <c r="I472" s="24" t="n"/>
      <c r="J472" s="25">
        <f>IF(ISNUMBER(H472),H472-IF(ISNUMBER(I472),I472,30),"")</f>
        <v/>
      </c>
      <c r="K472" s="26">
        <f>IF(H472="","",IF(ISNUMBER(H472),H472-TODAY(),"Check date"))</f>
        <v/>
      </c>
      <c r="L472" s="27">
        <f>IF(K472="","",IF(ISNUMBER(K472),IF(K472&lt;0,"Expired",IF(K472&lt;=30,"Due ≤30 days",IF(K472&lt;=90,"Due ≤90 days","OK"))),"Check date"))</f>
        <v/>
      </c>
      <c r="M472" s="21" t="n"/>
      <c r="N472" s="21" t="n"/>
      <c r="O472" s="21" t="n"/>
      <c r="P472" s="21" t="n"/>
    </row>
    <row r="473">
      <c r="A473" s="21" t="n"/>
      <c r="B473" s="21" t="n"/>
      <c r="C473" s="21" t="n"/>
      <c r="D473" s="21" t="n"/>
      <c r="E473" s="22" t="n"/>
      <c r="F473" s="21" t="n"/>
      <c r="G473" s="21" t="n"/>
      <c r="H473" s="23" t="n"/>
      <c r="I473" s="24" t="n"/>
      <c r="J473" s="25">
        <f>IF(ISNUMBER(H473),H473-IF(ISNUMBER(I473),I473,30),"")</f>
        <v/>
      </c>
      <c r="K473" s="26">
        <f>IF(H473="","",IF(ISNUMBER(H473),H473-TODAY(),"Check date"))</f>
        <v/>
      </c>
      <c r="L473" s="27">
        <f>IF(K473="","",IF(ISNUMBER(K473),IF(K473&lt;0,"Expired",IF(K473&lt;=30,"Due ≤30 days",IF(K473&lt;=90,"Due ≤90 days","OK"))),"Check date"))</f>
        <v/>
      </c>
      <c r="M473" s="21" t="n"/>
      <c r="N473" s="21" t="n"/>
      <c r="O473" s="21" t="n"/>
      <c r="P473" s="21" t="n"/>
    </row>
    <row r="474">
      <c r="A474" s="21" t="n"/>
      <c r="B474" s="21" t="n"/>
      <c r="C474" s="21" t="n"/>
      <c r="D474" s="21" t="n"/>
      <c r="E474" s="22" t="n"/>
      <c r="F474" s="21" t="n"/>
      <c r="G474" s="21" t="n"/>
      <c r="H474" s="23" t="n"/>
      <c r="I474" s="24" t="n"/>
      <c r="J474" s="25">
        <f>IF(ISNUMBER(H474),H474-IF(ISNUMBER(I474),I474,30),"")</f>
        <v/>
      </c>
      <c r="K474" s="26">
        <f>IF(H474="","",IF(ISNUMBER(H474),H474-TODAY(),"Check date"))</f>
        <v/>
      </c>
      <c r="L474" s="27">
        <f>IF(K474="","",IF(ISNUMBER(K474),IF(K474&lt;0,"Expired",IF(K474&lt;=30,"Due ≤30 days",IF(K474&lt;=90,"Due ≤90 days","OK"))),"Check date"))</f>
        <v/>
      </c>
      <c r="M474" s="21" t="n"/>
      <c r="N474" s="21" t="n"/>
      <c r="O474" s="21" t="n"/>
      <c r="P474" s="21" t="n"/>
    </row>
    <row r="475">
      <c r="A475" s="21" t="n"/>
      <c r="B475" s="21" t="n"/>
      <c r="C475" s="21" t="n"/>
      <c r="D475" s="21" t="n"/>
      <c r="E475" s="22" t="n"/>
      <c r="F475" s="21" t="n"/>
      <c r="G475" s="21" t="n"/>
      <c r="H475" s="23" t="n"/>
      <c r="I475" s="24" t="n"/>
      <c r="J475" s="25">
        <f>IF(ISNUMBER(H475),H475-IF(ISNUMBER(I475),I475,30),"")</f>
        <v/>
      </c>
      <c r="K475" s="26">
        <f>IF(H475="","",IF(ISNUMBER(H475),H475-TODAY(),"Check date"))</f>
        <v/>
      </c>
      <c r="L475" s="27">
        <f>IF(K475="","",IF(ISNUMBER(K475),IF(K475&lt;0,"Expired",IF(K475&lt;=30,"Due ≤30 days",IF(K475&lt;=90,"Due ≤90 days","OK"))),"Check date"))</f>
        <v/>
      </c>
      <c r="M475" s="21" t="n"/>
      <c r="N475" s="21" t="n"/>
      <c r="O475" s="21" t="n"/>
      <c r="P475" s="21" t="n"/>
    </row>
    <row r="476">
      <c r="A476" s="21" t="n"/>
      <c r="B476" s="21" t="n"/>
      <c r="C476" s="21" t="n"/>
      <c r="D476" s="21" t="n"/>
      <c r="E476" s="22" t="n"/>
      <c r="F476" s="21" t="n"/>
      <c r="G476" s="21" t="n"/>
      <c r="H476" s="23" t="n"/>
      <c r="I476" s="24" t="n"/>
      <c r="J476" s="25">
        <f>IF(ISNUMBER(H476),H476-IF(ISNUMBER(I476),I476,30),"")</f>
        <v/>
      </c>
      <c r="K476" s="26">
        <f>IF(H476="","",IF(ISNUMBER(H476),H476-TODAY(),"Check date"))</f>
        <v/>
      </c>
      <c r="L476" s="27">
        <f>IF(K476="","",IF(ISNUMBER(K476),IF(K476&lt;0,"Expired",IF(K476&lt;=30,"Due ≤30 days",IF(K476&lt;=90,"Due ≤90 days","OK"))),"Check date"))</f>
        <v/>
      </c>
      <c r="M476" s="21" t="n"/>
      <c r="N476" s="21" t="n"/>
      <c r="O476" s="21" t="n"/>
      <c r="P476" s="21" t="n"/>
    </row>
    <row r="477">
      <c r="A477" s="21" t="n"/>
      <c r="B477" s="21" t="n"/>
      <c r="C477" s="21" t="n"/>
      <c r="D477" s="21" t="n"/>
      <c r="E477" s="22" t="n"/>
      <c r="F477" s="21" t="n"/>
      <c r="G477" s="21" t="n"/>
      <c r="H477" s="23" t="n"/>
      <c r="I477" s="24" t="n"/>
      <c r="J477" s="25">
        <f>IF(ISNUMBER(H477),H477-IF(ISNUMBER(I477),I477,30),"")</f>
        <v/>
      </c>
      <c r="K477" s="26">
        <f>IF(H477="","",IF(ISNUMBER(H477),H477-TODAY(),"Check date"))</f>
        <v/>
      </c>
      <c r="L477" s="27">
        <f>IF(K477="","",IF(ISNUMBER(K477),IF(K477&lt;0,"Expired",IF(K477&lt;=30,"Due ≤30 days",IF(K477&lt;=90,"Due ≤90 days","OK"))),"Check date"))</f>
        <v/>
      </c>
      <c r="M477" s="21" t="n"/>
      <c r="N477" s="21" t="n"/>
      <c r="O477" s="21" t="n"/>
      <c r="P477" s="21" t="n"/>
    </row>
    <row r="478">
      <c r="A478" s="21" t="n"/>
      <c r="B478" s="21" t="n"/>
      <c r="C478" s="21" t="n"/>
      <c r="D478" s="21" t="n"/>
      <c r="E478" s="22" t="n"/>
      <c r="F478" s="21" t="n"/>
      <c r="G478" s="21" t="n"/>
      <c r="H478" s="23" t="n"/>
      <c r="I478" s="24" t="n"/>
      <c r="J478" s="25">
        <f>IF(ISNUMBER(H478),H478-IF(ISNUMBER(I478),I478,30),"")</f>
        <v/>
      </c>
      <c r="K478" s="26">
        <f>IF(H478="","",IF(ISNUMBER(H478),H478-TODAY(),"Check date"))</f>
        <v/>
      </c>
      <c r="L478" s="27">
        <f>IF(K478="","",IF(ISNUMBER(K478),IF(K478&lt;0,"Expired",IF(K478&lt;=30,"Due ≤30 days",IF(K478&lt;=90,"Due ≤90 days","OK"))),"Check date"))</f>
        <v/>
      </c>
      <c r="M478" s="21" t="n"/>
      <c r="N478" s="21" t="n"/>
      <c r="O478" s="21" t="n"/>
      <c r="P478" s="21" t="n"/>
    </row>
    <row r="479">
      <c r="A479" s="21" t="n"/>
      <c r="B479" s="21" t="n"/>
      <c r="C479" s="21" t="n"/>
      <c r="D479" s="21" t="n"/>
      <c r="E479" s="22" t="n"/>
      <c r="F479" s="21" t="n"/>
      <c r="G479" s="21" t="n"/>
      <c r="H479" s="23" t="n"/>
      <c r="I479" s="24" t="n"/>
      <c r="J479" s="25">
        <f>IF(ISNUMBER(H479),H479-IF(ISNUMBER(I479),I479,30),"")</f>
        <v/>
      </c>
      <c r="K479" s="26">
        <f>IF(H479="","",IF(ISNUMBER(H479),H479-TODAY(),"Check date"))</f>
        <v/>
      </c>
      <c r="L479" s="27">
        <f>IF(K479="","",IF(ISNUMBER(K479),IF(K479&lt;0,"Expired",IF(K479&lt;=30,"Due ≤30 days",IF(K479&lt;=90,"Due ≤90 days","OK"))),"Check date"))</f>
        <v/>
      </c>
      <c r="M479" s="21" t="n"/>
      <c r="N479" s="21" t="n"/>
      <c r="O479" s="21" t="n"/>
      <c r="P479" s="21" t="n"/>
    </row>
    <row r="480">
      <c r="A480" s="21" t="n"/>
      <c r="B480" s="21" t="n"/>
      <c r="C480" s="21" t="n"/>
      <c r="D480" s="21" t="n"/>
      <c r="E480" s="22" t="n"/>
      <c r="F480" s="21" t="n"/>
      <c r="G480" s="21" t="n"/>
      <c r="H480" s="23" t="n"/>
      <c r="I480" s="24" t="n"/>
      <c r="J480" s="25">
        <f>IF(ISNUMBER(H480),H480-IF(ISNUMBER(I480),I480,30),"")</f>
        <v/>
      </c>
      <c r="K480" s="26">
        <f>IF(H480="","",IF(ISNUMBER(H480),H480-TODAY(),"Check date"))</f>
        <v/>
      </c>
      <c r="L480" s="27">
        <f>IF(K480="","",IF(ISNUMBER(K480),IF(K480&lt;0,"Expired",IF(K480&lt;=30,"Due ≤30 days",IF(K480&lt;=90,"Due ≤90 days","OK"))),"Check date"))</f>
        <v/>
      </c>
      <c r="M480" s="21" t="n"/>
      <c r="N480" s="21" t="n"/>
      <c r="O480" s="21" t="n"/>
      <c r="P480" s="21" t="n"/>
    </row>
    <row r="481">
      <c r="A481" s="21" t="n"/>
      <c r="B481" s="21" t="n"/>
      <c r="C481" s="21" t="n"/>
      <c r="D481" s="21" t="n"/>
      <c r="E481" s="22" t="n"/>
      <c r="F481" s="21" t="n"/>
      <c r="G481" s="21" t="n"/>
      <c r="H481" s="23" t="n"/>
      <c r="I481" s="24" t="n"/>
      <c r="J481" s="25">
        <f>IF(ISNUMBER(H481),H481-IF(ISNUMBER(I481),I481,30),"")</f>
        <v/>
      </c>
      <c r="K481" s="26">
        <f>IF(H481="","",IF(ISNUMBER(H481),H481-TODAY(),"Check date"))</f>
        <v/>
      </c>
      <c r="L481" s="27">
        <f>IF(K481="","",IF(ISNUMBER(K481),IF(K481&lt;0,"Expired",IF(K481&lt;=30,"Due ≤30 days",IF(K481&lt;=90,"Due ≤90 days","OK"))),"Check date"))</f>
        <v/>
      </c>
      <c r="M481" s="21" t="n"/>
      <c r="N481" s="21" t="n"/>
      <c r="O481" s="21" t="n"/>
      <c r="P481" s="21" t="n"/>
    </row>
    <row r="482">
      <c r="A482" s="21" t="n"/>
      <c r="B482" s="21" t="n"/>
      <c r="C482" s="21" t="n"/>
      <c r="D482" s="21" t="n"/>
      <c r="E482" s="22" t="n"/>
      <c r="F482" s="21" t="n"/>
      <c r="G482" s="21" t="n"/>
      <c r="H482" s="23" t="n"/>
      <c r="I482" s="24" t="n"/>
      <c r="J482" s="25">
        <f>IF(ISNUMBER(H482),H482-IF(ISNUMBER(I482),I482,30),"")</f>
        <v/>
      </c>
      <c r="K482" s="26">
        <f>IF(H482="","",IF(ISNUMBER(H482),H482-TODAY(),"Check date"))</f>
        <v/>
      </c>
      <c r="L482" s="27">
        <f>IF(K482="","",IF(ISNUMBER(K482),IF(K482&lt;0,"Expired",IF(K482&lt;=30,"Due ≤30 days",IF(K482&lt;=90,"Due ≤90 days","OK"))),"Check date"))</f>
        <v/>
      </c>
      <c r="M482" s="21" t="n"/>
      <c r="N482" s="21" t="n"/>
      <c r="O482" s="21" t="n"/>
      <c r="P482" s="21" t="n"/>
    </row>
    <row r="483">
      <c r="A483" s="21" t="n"/>
      <c r="B483" s="21" t="n"/>
      <c r="C483" s="21" t="n"/>
      <c r="D483" s="21" t="n"/>
      <c r="E483" s="22" t="n"/>
      <c r="F483" s="21" t="n"/>
      <c r="G483" s="21" t="n"/>
      <c r="H483" s="23" t="n"/>
      <c r="I483" s="24" t="n"/>
      <c r="J483" s="25">
        <f>IF(ISNUMBER(H483),H483-IF(ISNUMBER(I483),I483,30),"")</f>
        <v/>
      </c>
      <c r="K483" s="26">
        <f>IF(H483="","",IF(ISNUMBER(H483),H483-TODAY(),"Check date"))</f>
        <v/>
      </c>
      <c r="L483" s="27">
        <f>IF(K483="","",IF(ISNUMBER(K483),IF(K483&lt;0,"Expired",IF(K483&lt;=30,"Due ≤30 days",IF(K483&lt;=90,"Due ≤90 days","OK"))),"Check date"))</f>
        <v/>
      </c>
      <c r="M483" s="21" t="n"/>
      <c r="N483" s="21" t="n"/>
      <c r="O483" s="21" t="n"/>
      <c r="P483" s="21" t="n"/>
    </row>
    <row r="484">
      <c r="A484" s="21" t="n"/>
      <c r="B484" s="21" t="n"/>
      <c r="C484" s="21" t="n"/>
      <c r="D484" s="21" t="n"/>
      <c r="E484" s="22" t="n"/>
      <c r="F484" s="21" t="n"/>
      <c r="G484" s="21" t="n"/>
      <c r="H484" s="23" t="n"/>
      <c r="I484" s="24" t="n"/>
      <c r="J484" s="25">
        <f>IF(ISNUMBER(H484),H484-IF(ISNUMBER(I484),I484,30),"")</f>
        <v/>
      </c>
      <c r="K484" s="26">
        <f>IF(H484="","",IF(ISNUMBER(H484),H484-TODAY(),"Check date"))</f>
        <v/>
      </c>
      <c r="L484" s="27">
        <f>IF(K484="","",IF(ISNUMBER(K484),IF(K484&lt;0,"Expired",IF(K484&lt;=30,"Due ≤30 days",IF(K484&lt;=90,"Due ≤90 days","OK"))),"Check date"))</f>
        <v/>
      </c>
      <c r="M484" s="21" t="n"/>
      <c r="N484" s="21" t="n"/>
      <c r="O484" s="21" t="n"/>
      <c r="P484" s="21" t="n"/>
    </row>
    <row r="485">
      <c r="A485" s="21" t="n"/>
      <c r="B485" s="21" t="n"/>
      <c r="C485" s="21" t="n"/>
      <c r="D485" s="21" t="n"/>
      <c r="E485" s="22" t="n"/>
      <c r="F485" s="21" t="n"/>
      <c r="G485" s="21" t="n"/>
      <c r="H485" s="23" t="n"/>
      <c r="I485" s="24" t="n"/>
      <c r="J485" s="25">
        <f>IF(ISNUMBER(H485),H485-IF(ISNUMBER(I485),I485,30),"")</f>
        <v/>
      </c>
      <c r="K485" s="26">
        <f>IF(H485="","",IF(ISNUMBER(H485),H485-TODAY(),"Check date"))</f>
        <v/>
      </c>
      <c r="L485" s="27">
        <f>IF(K485="","",IF(ISNUMBER(K485),IF(K485&lt;0,"Expired",IF(K485&lt;=30,"Due ≤30 days",IF(K485&lt;=90,"Due ≤90 days","OK"))),"Check date"))</f>
        <v/>
      </c>
      <c r="M485" s="21" t="n"/>
      <c r="N485" s="21" t="n"/>
      <c r="O485" s="21" t="n"/>
      <c r="P485" s="21" t="n"/>
    </row>
    <row r="486">
      <c r="A486" s="21" t="n"/>
      <c r="B486" s="21" t="n"/>
      <c r="C486" s="21" t="n"/>
      <c r="D486" s="21" t="n"/>
      <c r="E486" s="22" t="n"/>
      <c r="F486" s="21" t="n"/>
      <c r="G486" s="21" t="n"/>
      <c r="H486" s="23" t="n"/>
      <c r="I486" s="24" t="n"/>
      <c r="J486" s="25">
        <f>IF(ISNUMBER(H486),H486-IF(ISNUMBER(I486),I486,30),"")</f>
        <v/>
      </c>
      <c r="K486" s="26">
        <f>IF(H486="","",IF(ISNUMBER(H486),H486-TODAY(),"Check date"))</f>
        <v/>
      </c>
      <c r="L486" s="27">
        <f>IF(K486="","",IF(ISNUMBER(K486),IF(K486&lt;0,"Expired",IF(K486&lt;=30,"Due ≤30 days",IF(K486&lt;=90,"Due ≤90 days","OK"))),"Check date"))</f>
        <v/>
      </c>
      <c r="M486" s="21" t="n"/>
      <c r="N486" s="21" t="n"/>
      <c r="O486" s="21" t="n"/>
      <c r="P486" s="21" t="n"/>
    </row>
    <row r="487">
      <c r="A487" s="21" t="n"/>
      <c r="B487" s="21" t="n"/>
      <c r="C487" s="21" t="n"/>
      <c r="D487" s="21" t="n"/>
      <c r="E487" s="22" t="n"/>
      <c r="F487" s="21" t="n"/>
      <c r="G487" s="21" t="n"/>
      <c r="H487" s="23" t="n"/>
      <c r="I487" s="24" t="n"/>
      <c r="J487" s="25">
        <f>IF(ISNUMBER(H487),H487-IF(ISNUMBER(I487),I487,30),"")</f>
        <v/>
      </c>
      <c r="K487" s="26">
        <f>IF(H487="","",IF(ISNUMBER(H487),H487-TODAY(),"Check date"))</f>
        <v/>
      </c>
      <c r="L487" s="27">
        <f>IF(K487="","",IF(ISNUMBER(K487),IF(K487&lt;0,"Expired",IF(K487&lt;=30,"Due ≤30 days",IF(K487&lt;=90,"Due ≤90 days","OK"))),"Check date"))</f>
        <v/>
      </c>
      <c r="M487" s="21" t="n"/>
      <c r="N487" s="21" t="n"/>
      <c r="O487" s="21" t="n"/>
      <c r="P487" s="21" t="n"/>
    </row>
    <row r="488">
      <c r="A488" s="21" t="n"/>
      <c r="B488" s="21" t="n"/>
      <c r="C488" s="21" t="n"/>
      <c r="D488" s="21" t="n"/>
      <c r="E488" s="22" t="n"/>
      <c r="F488" s="21" t="n"/>
      <c r="G488" s="21" t="n"/>
      <c r="H488" s="23" t="n"/>
      <c r="I488" s="24" t="n"/>
      <c r="J488" s="25">
        <f>IF(ISNUMBER(H488),H488-IF(ISNUMBER(I488),I488,30),"")</f>
        <v/>
      </c>
      <c r="K488" s="26">
        <f>IF(H488="","",IF(ISNUMBER(H488),H488-TODAY(),"Check date"))</f>
        <v/>
      </c>
      <c r="L488" s="27">
        <f>IF(K488="","",IF(ISNUMBER(K488),IF(K488&lt;0,"Expired",IF(K488&lt;=30,"Due ≤30 days",IF(K488&lt;=90,"Due ≤90 days","OK"))),"Check date"))</f>
        <v/>
      </c>
      <c r="M488" s="21" t="n"/>
      <c r="N488" s="21" t="n"/>
      <c r="O488" s="21" t="n"/>
      <c r="P488" s="21" t="n"/>
    </row>
    <row r="489">
      <c r="A489" s="21" t="n"/>
      <c r="B489" s="21" t="n"/>
      <c r="C489" s="21" t="n"/>
      <c r="D489" s="21" t="n"/>
      <c r="E489" s="22" t="n"/>
      <c r="F489" s="21" t="n"/>
      <c r="G489" s="21" t="n"/>
      <c r="H489" s="23" t="n"/>
      <c r="I489" s="24" t="n"/>
      <c r="J489" s="25">
        <f>IF(ISNUMBER(H489),H489-IF(ISNUMBER(I489),I489,30),"")</f>
        <v/>
      </c>
      <c r="K489" s="26">
        <f>IF(H489="","",IF(ISNUMBER(H489),H489-TODAY(),"Check date"))</f>
        <v/>
      </c>
      <c r="L489" s="27">
        <f>IF(K489="","",IF(ISNUMBER(K489),IF(K489&lt;0,"Expired",IF(K489&lt;=30,"Due ≤30 days",IF(K489&lt;=90,"Due ≤90 days","OK"))),"Check date"))</f>
        <v/>
      </c>
      <c r="M489" s="21" t="n"/>
      <c r="N489" s="21" t="n"/>
      <c r="O489" s="21" t="n"/>
      <c r="P489" s="21" t="n"/>
    </row>
    <row r="490">
      <c r="A490" s="21" t="n"/>
      <c r="B490" s="21" t="n"/>
      <c r="C490" s="21" t="n"/>
      <c r="D490" s="21" t="n"/>
      <c r="E490" s="22" t="n"/>
      <c r="F490" s="21" t="n"/>
      <c r="G490" s="21" t="n"/>
      <c r="H490" s="23" t="n"/>
      <c r="I490" s="24" t="n"/>
      <c r="J490" s="25">
        <f>IF(ISNUMBER(H490),H490-IF(ISNUMBER(I490),I490,30),"")</f>
        <v/>
      </c>
      <c r="K490" s="26">
        <f>IF(H490="","",IF(ISNUMBER(H490),H490-TODAY(),"Check date"))</f>
        <v/>
      </c>
      <c r="L490" s="27">
        <f>IF(K490="","",IF(ISNUMBER(K490),IF(K490&lt;0,"Expired",IF(K490&lt;=30,"Due ≤30 days",IF(K490&lt;=90,"Due ≤90 days","OK"))),"Check date"))</f>
        <v/>
      </c>
      <c r="M490" s="21" t="n"/>
      <c r="N490" s="21" t="n"/>
      <c r="O490" s="21" t="n"/>
      <c r="P490" s="21" t="n"/>
    </row>
    <row r="491">
      <c r="A491" s="21" t="n"/>
      <c r="B491" s="21" t="n"/>
      <c r="C491" s="21" t="n"/>
      <c r="D491" s="21" t="n"/>
      <c r="E491" s="22" t="n"/>
      <c r="F491" s="21" t="n"/>
      <c r="G491" s="21" t="n"/>
      <c r="H491" s="23" t="n"/>
      <c r="I491" s="24" t="n"/>
      <c r="J491" s="25">
        <f>IF(ISNUMBER(H491),H491-IF(ISNUMBER(I491),I491,30),"")</f>
        <v/>
      </c>
      <c r="K491" s="26">
        <f>IF(H491="","",IF(ISNUMBER(H491),H491-TODAY(),"Check date"))</f>
        <v/>
      </c>
      <c r="L491" s="27">
        <f>IF(K491="","",IF(ISNUMBER(K491),IF(K491&lt;0,"Expired",IF(K491&lt;=30,"Due ≤30 days",IF(K491&lt;=90,"Due ≤90 days","OK"))),"Check date"))</f>
        <v/>
      </c>
      <c r="M491" s="21" t="n"/>
      <c r="N491" s="21" t="n"/>
      <c r="O491" s="21" t="n"/>
      <c r="P491" s="21" t="n"/>
    </row>
    <row r="492">
      <c r="A492" s="21" t="n"/>
      <c r="B492" s="21" t="n"/>
      <c r="C492" s="21" t="n"/>
      <c r="D492" s="21" t="n"/>
      <c r="E492" s="22" t="n"/>
      <c r="F492" s="21" t="n"/>
      <c r="G492" s="21" t="n"/>
      <c r="H492" s="23" t="n"/>
      <c r="I492" s="24" t="n"/>
      <c r="J492" s="25">
        <f>IF(ISNUMBER(H492),H492-IF(ISNUMBER(I492),I492,30),"")</f>
        <v/>
      </c>
      <c r="K492" s="26">
        <f>IF(H492="","",IF(ISNUMBER(H492),H492-TODAY(),"Check date"))</f>
        <v/>
      </c>
      <c r="L492" s="27">
        <f>IF(K492="","",IF(ISNUMBER(K492),IF(K492&lt;0,"Expired",IF(K492&lt;=30,"Due ≤30 days",IF(K492&lt;=90,"Due ≤90 days","OK"))),"Check date"))</f>
        <v/>
      </c>
      <c r="M492" s="21" t="n"/>
      <c r="N492" s="21" t="n"/>
      <c r="O492" s="21" t="n"/>
      <c r="P492" s="21" t="n"/>
    </row>
    <row r="493">
      <c r="A493" s="21" t="n"/>
      <c r="B493" s="21" t="n"/>
      <c r="C493" s="21" t="n"/>
      <c r="D493" s="21" t="n"/>
      <c r="E493" s="22" t="n"/>
      <c r="F493" s="21" t="n"/>
      <c r="G493" s="21" t="n"/>
      <c r="H493" s="23" t="n"/>
      <c r="I493" s="24" t="n"/>
      <c r="J493" s="25">
        <f>IF(ISNUMBER(H493),H493-IF(ISNUMBER(I493),I493,30),"")</f>
        <v/>
      </c>
      <c r="K493" s="26">
        <f>IF(H493="","",IF(ISNUMBER(H493),H493-TODAY(),"Check date"))</f>
        <v/>
      </c>
      <c r="L493" s="27">
        <f>IF(K493="","",IF(ISNUMBER(K493),IF(K493&lt;0,"Expired",IF(K493&lt;=30,"Due ≤30 days",IF(K493&lt;=90,"Due ≤90 days","OK"))),"Check date"))</f>
        <v/>
      </c>
      <c r="M493" s="21" t="n"/>
      <c r="N493" s="21" t="n"/>
      <c r="O493" s="21" t="n"/>
      <c r="P493" s="21" t="n"/>
    </row>
    <row r="494">
      <c r="A494" s="21" t="n"/>
      <c r="B494" s="21" t="n"/>
      <c r="C494" s="21" t="n"/>
      <c r="D494" s="21" t="n"/>
      <c r="E494" s="22" t="n"/>
      <c r="F494" s="21" t="n"/>
      <c r="G494" s="21" t="n"/>
      <c r="H494" s="23" t="n"/>
      <c r="I494" s="24" t="n"/>
      <c r="J494" s="25">
        <f>IF(ISNUMBER(H494),H494-IF(ISNUMBER(I494),I494,30),"")</f>
        <v/>
      </c>
      <c r="K494" s="26">
        <f>IF(H494="","",IF(ISNUMBER(H494),H494-TODAY(),"Check date"))</f>
        <v/>
      </c>
      <c r="L494" s="27">
        <f>IF(K494="","",IF(ISNUMBER(K494),IF(K494&lt;0,"Expired",IF(K494&lt;=30,"Due ≤30 days",IF(K494&lt;=90,"Due ≤90 days","OK"))),"Check date"))</f>
        <v/>
      </c>
      <c r="M494" s="21" t="n"/>
      <c r="N494" s="21" t="n"/>
      <c r="O494" s="21" t="n"/>
      <c r="P494" s="21" t="n"/>
    </row>
    <row r="495">
      <c r="A495" s="21" t="n"/>
      <c r="B495" s="21" t="n"/>
      <c r="C495" s="21" t="n"/>
      <c r="D495" s="21" t="n"/>
      <c r="E495" s="22" t="n"/>
      <c r="F495" s="21" t="n"/>
      <c r="G495" s="21" t="n"/>
      <c r="H495" s="23" t="n"/>
      <c r="I495" s="24" t="n"/>
      <c r="J495" s="25">
        <f>IF(ISNUMBER(H495),H495-IF(ISNUMBER(I495),I495,30),"")</f>
        <v/>
      </c>
      <c r="K495" s="26">
        <f>IF(H495="","",IF(ISNUMBER(H495),H495-TODAY(),"Check date"))</f>
        <v/>
      </c>
      <c r="L495" s="27">
        <f>IF(K495="","",IF(ISNUMBER(K495),IF(K495&lt;0,"Expired",IF(K495&lt;=30,"Due ≤30 days",IF(K495&lt;=90,"Due ≤90 days","OK"))),"Check date"))</f>
        <v/>
      </c>
      <c r="M495" s="21" t="n"/>
      <c r="N495" s="21" t="n"/>
      <c r="O495" s="21" t="n"/>
      <c r="P495" s="21" t="n"/>
    </row>
    <row r="496">
      <c r="A496" s="21" t="n"/>
      <c r="B496" s="21" t="n"/>
      <c r="C496" s="21" t="n"/>
      <c r="D496" s="21" t="n"/>
      <c r="E496" s="22" t="n"/>
      <c r="F496" s="21" t="n"/>
      <c r="G496" s="21" t="n"/>
      <c r="H496" s="23" t="n"/>
      <c r="I496" s="24" t="n"/>
      <c r="J496" s="25">
        <f>IF(ISNUMBER(H496),H496-IF(ISNUMBER(I496),I496,30),"")</f>
        <v/>
      </c>
      <c r="K496" s="26">
        <f>IF(H496="","",IF(ISNUMBER(H496),H496-TODAY(),"Check date"))</f>
        <v/>
      </c>
      <c r="L496" s="27">
        <f>IF(K496="","",IF(ISNUMBER(K496),IF(K496&lt;0,"Expired",IF(K496&lt;=30,"Due ≤30 days",IF(K496&lt;=90,"Due ≤90 days","OK"))),"Check date"))</f>
        <v/>
      </c>
      <c r="M496" s="21" t="n"/>
      <c r="N496" s="21" t="n"/>
      <c r="O496" s="21" t="n"/>
      <c r="P496" s="21" t="n"/>
    </row>
    <row r="497">
      <c r="A497" s="21" t="n"/>
      <c r="B497" s="21" t="n"/>
      <c r="C497" s="21" t="n"/>
      <c r="D497" s="21" t="n"/>
      <c r="E497" s="22" t="n"/>
      <c r="F497" s="21" t="n"/>
      <c r="G497" s="21" t="n"/>
      <c r="H497" s="23" t="n"/>
      <c r="I497" s="24" t="n"/>
      <c r="J497" s="25">
        <f>IF(ISNUMBER(H497),H497-IF(ISNUMBER(I497),I497,30),"")</f>
        <v/>
      </c>
      <c r="K497" s="26">
        <f>IF(H497="","",IF(ISNUMBER(H497),H497-TODAY(),"Check date"))</f>
        <v/>
      </c>
      <c r="L497" s="27">
        <f>IF(K497="","",IF(ISNUMBER(K497),IF(K497&lt;0,"Expired",IF(K497&lt;=30,"Due ≤30 days",IF(K497&lt;=90,"Due ≤90 days","OK"))),"Check date"))</f>
        <v/>
      </c>
      <c r="M497" s="21" t="n"/>
      <c r="N497" s="21" t="n"/>
      <c r="O497" s="21" t="n"/>
      <c r="P497" s="21" t="n"/>
    </row>
    <row r="498">
      <c r="A498" s="21" t="n"/>
      <c r="B498" s="21" t="n"/>
      <c r="C498" s="21" t="n"/>
      <c r="D498" s="21" t="n"/>
      <c r="E498" s="22" t="n"/>
      <c r="F498" s="21" t="n"/>
      <c r="G498" s="21" t="n"/>
      <c r="H498" s="23" t="n"/>
      <c r="I498" s="24" t="n"/>
      <c r="J498" s="25">
        <f>IF(ISNUMBER(H498),H498-IF(ISNUMBER(I498),I498,30),"")</f>
        <v/>
      </c>
      <c r="K498" s="26">
        <f>IF(H498="","",IF(ISNUMBER(H498),H498-TODAY(),"Check date"))</f>
        <v/>
      </c>
      <c r="L498" s="27">
        <f>IF(K498="","",IF(ISNUMBER(K498),IF(K498&lt;0,"Expired",IF(K498&lt;=30,"Due ≤30 days",IF(K498&lt;=90,"Due ≤90 days","OK"))),"Check date"))</f>
        <v/>
      </c>
      <c r="M498" s="21" t="n"/>
      <c r="N498" s="21" t="n"/>
      <c r="O498" s="21" t="n"/>
      <c r="P498" s="21" t="n"/>
    </row>
    <row r="499">
      <c r="A499" s="21" t="n"/>
      <c r="B499" s="21" t="n"/>
      <c r="C499" s="21" t="n"/>
      <c r="D499" s="21" t="n"/>
      <c r="E499" s="22" t="n"/>
      <c r="F499" s="21" t="n"/>
      <c r="G499" s="21" t="n"/>
      <c r="H499" s="23" t="n"/>
      <c r="I499" s="24" t="n"/>
      <c r="J499" s="25">
        <f>IF(ISNUMBER(H499),H499-IF(ISNUMBER(I499),I499,30),"")</f>
        <v/>
      </c>
      <c r="K499" s="26">
        <f>IF(H499="","",IF(ISNUMBER(H499),H499-TODAY(),"Check date"))</f>
        <v/>
      </c>
      <c r="L499" s="27">
        <f>IF(K499="","",IF(ISNUMBER(K499),IF(K499&lt;0,"Expired",IF(K499&lt;=30,"Due ≤30 days",IF(K499&lt;=90,"Due ≤90 days","OK"))),"Check date"))</f>
        <v/>
      </c>
      <c r="M499" s="21" t="n"/>
      <c r="N499" s="21" t="n"/>
      <c r="O499" s="21" t="n"/>
      <c r="P499" s="21" t="n"/>
    </row>
    <row r="500">
      <c r="A500" s="21" t="n"/>
      <c r="B500" s="21" t="n"/>
      <c r="C500" s="21" t="n"/>
      <c r="D500" s="21" t="n"/>
      <c r="E500" s="22" t="n"/>
      <c r="F500" s="21" t="n"/>
      <c r="G500" s="21" t="n"/>
      <c r="H500" s="23" t="n"/>
      <c r="I500" s="24" t="n"/>
      <c r="J500" s="25">
        <f>IF(ISNUMBER(H500),H500-IF(ISNUMBER(I500),I500,30),"")</f>
        <v/>
      </c>
      <c r="K500" s="26">
        <f>IF(H500="","",IF(ISNUMBER(H500),H500-TODAY(),"Check date"))</f>
        <v/>
      </c>
      <c r="L500" s="27">
        <f>IF(K500="","",IF(ISNUMBER(K500),IF(K500&lt;0,"Expired",IF(K500&lt;=30,"Due ≤30 days",IF(K500&lt;=90,"Due ≤90 days","OK"))),"Check date"))</f>
        <v/>
      </c>
      <c r="M500" s="21" t="n"/>
      <c r="N500" s="21" t="n"/>
      <c r="O500" s="21" t="n"/>
      <c r="P500" s="21" t="n"/>
    </row>
    <row r="501">
      <c r="A501" s="21" t="n"/>
      <c r="B501" s="21" t="n"/>
      <c r="C501" s="21" t="n"/>
      <c r="D501" s="21" t="n"/>
      <c r="E501" s="22" t="n"/>
      <c r="F501" s="21" t="n"/>
      <c r="G501" s="21" t="n"/>
      <c r="H501" s="23" t="n"/>
      <c r="I501" s="24" t="n"/>
      <c r="J501" s="25">
        <f>IF(ISNUMBER(H501),H501-IF(ISNUMBER(I501),I501,30),"")</f>
        <v/>
      </c>
      <c r="K501" s="26">
        <f>IF(H501="","",IF(ISNUMBER(H501),H501-TODAY(),"Check date"))</f>
        <v/>
      </c>
      <c r="L501" s="27">
        <f>IF(K501="","",IF(ISNUMBER(K501),IF(K501&lt;0,"Expired",IF(K501&lt;=30,"Due ≤30 days",IF(K501&lt;=90,"Due ≤90 days","OK"))),"Check date"))</f>
        <v/>
      </c>
      <c r="M501" s="21" t="n"/>
      <c r="N501" s="21" t="n"/>
      <c r="O501" s="21" t="n"/>
      <c r="P501" s="21" t="n"/>
    </row>
    <row r="502">
      <c r="A502" s="21" t="n"/>
      <c r="B502" s="21" t="n"/>
      <c r="C502" s="21" t="n"/>
      <c r="D502" s="21" t="n"/>
      <c r="E502" s="22" t="n"/>
      <c r="F502" s="21" t="n"/>
      <c r="G502" s="21" t="n"/>
      <c r="H502" s="23" t="n"/>
      <c r="I502" s="24" t="n"/>
      <c r="J502" s="25">
        <f>IF(ISNUMBER(H502),H502-IF(ISNUMBER(I502),I502,30),"")</f>
        <v/>
      </c>
      <c r="K502" s="26">
        <f>IF(H502="","",IF(ISNUMBER(H502),H502-TODAY(),"Check date"))</f>
        <v/>
      </c>
      <c r="L502" s="27">
        <f>IF(K502="","",IF(ISNUMBER(K502),IF(K502&lt;0,"Expired",IF(K502&lt;=30,"Due ≤30 days",IF(K502&lt;=90,"Due ≤90 days","OK"))),"Check date"))</f>
        <v/>
      </c>
      <c r="M502" s="21" t="n"/>
      <c r="N502" s="21" t="n"/>
      <c r="O502" s="21" t="n"/>
      <c r="P502" s="21" t="n"/>
    </row>
    <row r="503">
      <c r="A503" s="21" t="n"/>
      <c r="B503" s="21" t="n"/>
      <c r="C503" s="21" t="n"/>
      <c r="D503" s="21" t="n"/>
      <c r="E503" s="22" t="n"/>
      <c r="F503" s="21" t="n"/>
      <c r="G503" s="21" t="n"/>
      <c r="H503" s="23" t="n"/>
      <c r="I503" s="24" t="n"/>
      <c r="J503" s="25">
        <f>IF(ISNUMBER(H503),H503-IF(ISNUMBER(I503),I503,30),"")</f>
        <v/>
      </c>
      <c r="K503" s="26">
        <f>IF(H503="","",IF(ISNUMBER(H503),H503-TODAY(),"Check date"))</f>
        <v/>
      </c>
      <c r="L503" s="27">
        <f>IF(K503="","",IF(ISNUMBER(K503),IF(K503&lt;0,"Expired",IF(K503&lt;=30,"Due ≤30 days",IF(K503&lt;=90,"Due ≤90 days","OK"))),"Check date"))</f>
        <v/>
      </c>
      <c r="M503" s="21" t="n"/>
      <c r="N503" s="21" t="n"/>
      <c r="O503" s="21" t="n"/>
      <c r="P503" s="21" t="n"/>
    </row>
  </sheetData>
  <conditionalFormatting sqref="H4:H503 K4:K503 L4:L503">
    <cfRule type="expression" priority="1" dxfId="0" stopIfTrue="1">
      <formula>AND(ISNUMBER($K4),$K4&lt;0)</formula>
    </cfRule>
    <cfRule type="expression" priority="2" dxfId="1" stopIfTrue="1">
      <formula>AND(ISNUMBER($K4),$K4&lt;=30)</formula>
    </cfRule>
    <cfRule type="expression" priority="3" dxfId="2" stopIfTrue="1">
      <formula>AND(ISNUMBER($K4),$K4&lt;=90)</formula>
    </cfRule>
    <cfRule type="expression" priority="4" dxfId="3" stopIfTrue="1">
      <formula>ISNUMBER($K4)</formula>
    </cfRule>
  </conditionalFormatting>
  <conditionalFormatting sqref="A4:A503 B4:B503 C4:C503 D4:D503 E4:E503 F4:F503 G4:G503 H4:H503 I4:I503 M4:M503 N4:N503 O4:O503 P4:P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6">
    <dataValidation sqref="B4:B503" showDropDown="0" showInputMessage="0" showErrorMessage="1" allowBlank="1" errorTitle="Cover type" error="That is not on the list. Keep it anyway, or add it to the Lists sheet." type="list" errorStyle="warning">
      <formula1>=Lists!$A$2:$A$12</formula1>
    </dataValidation>
    <dataValidation sqref="E4:E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F4:F503" showDropDown="0" showInputMessage="0" showErrorMessage="1" allowBlank="1" errorTitle="Meets our minimum?" error="Pick one of: Yes, No, Checking." type="list" errorStyle="stop">
      <formula1>"Yes,No,Checking"</formula1>
    </dataValidation>
    <dataValidation sqref="G4:G503" showDropDown="0" showInputMessage="0" showErrorMessage="1" allowBlank="1" errorTitle="Additional insured?" error="Pick one of: Yes, No, n/a." type="list" errorStyle="stop">
      <formula1>"Yes,No,n/a"</formula1>
    </dataValidation>
    <dataValidation sqref="H4:H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I4:I503" showDropDown="0" showInputMessage="0" showErrorMessage="1" allowBlank="1" errorTitle="Number expected" error="Type a number (no currency symbol)." type="decimal" errorStyle="warning" operator="greaterThanOrEqual">
      <formula1>0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G3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8" t="inlineStr">
        <is>
          <t>Dashboard</t>
        </is>
      </c>
    </row>
    <row r="2">
      <c r="B2" s="3" t="inlineStr">
        <is>
          <t>As of</t>
        </is>
      </c>
      <c r="C2" s="29">
        <f>TODAY()</f>
        <v/>
      </c>
    </row>
    <row r="4">
      <c r="B4" s="30" t="inlineStr">
        <is>
          <t>Where things stand</t>
        </is>
      </c>
    </row>
    <row r="5">
      <c r="B5" s="31" t="n"/>
      <c r="C5" s="32" t="inlineStr">
        <is>
          <t>Status</t>
        </is>
      </c>
      <c r="D5" s="33" t="inlineStr">
        <is>
          <t>Our policies</t>
        </is>
      </c>
      <c r="E5" s="33" t="inlineStr">
        <is>
          <t>Vendor COIs</t>
        </is>
      </c>
      <c r="F5" s="33" t="inlineStr">
        <is>
          <t>Total</t>
        </is>
      </c>
    </row>
    <row r="6">
      <c r="C6" s="34" t="inlineStr">
        <is>
          <t>Expired</t>
        </is>
      </c>
      <c r="D6" s="35">
        <f>COUNTIF('Our policies'!$N$4:$N$503,"Expired")</f>
        <v/>
      </c>
      <c r="E6" s="35">
        <f>COUNTIF('Vendor COIs'!$L$4:$L$503,"Expired")</f>
        <v/>
      </c>
      <c r="F6" s="36">
        <f>SUM(D6:E6)</f>
        <v/>
      </c>
    </row>
    <row r="7">
      <c r="C7" s="37" t="inlineStr">
        <is>
          <t>Due ≤30 days</t>
        </is>
      </c>
      <c r="D7" s="35">
        <f>COUNTIF('Our policies'!$N$4:$N$503,"Due ≤30 days")</f>
        <v/>
      </c>
      <c r="E7" s="35">
        <f>COUNTIF('Vendor COIs'!$L$4:$L$503,"Due ≤30 days")</f>
        <v/>
      </c>
      <c r="F7" s="36">
        <f>SUM(D7:E7)</f>
        <v/>
      </c>
    </row>
    <row r="8">
      <c r="C8" s="38" t="inlineStr">
        <is>
          <t>Due ≤90 days</t>
        </is>
      </c>
      <c r="D8" s="35">
        <f>COUNTIF('Our policies'!$N$4:$N$503,"Due ≤90 days")</f>
        <v/>
      </c>
      <c r="E8" s="35">
        <f>COUNTIF('Vendor COIs'!$L$4:$L$503,"Due ≤90 days")</f>
        <v/>
      </c>
      <c r="F8" s="36">
        <f>SUM(D8:E8)</f>
        <v/>
      </c>
    </row>
    <row r="9">
      <c r="C9" s="39" t="inlineStr">
        <is>
          <t>OK</t>
        </is>
      </c>
      <c r="D9" s="35">
        <f>COUNTIF('Our policies'!$N$4:$N$503,"OK")</f>
        <v/>
      </c>
      <c r="E9" s="35">
        <f>COUNTIF('Vendor COIs'!$L$4:$L$503,"OK")</f>
        <v/>
      </c>
      <c r="F9" s="36">
        <f>SUM(D9:E9)</f>
        <v/>
      </c>
    </row>
    <row r="10">
      <c r="C10" s="40" t="inlineStr">
        <is>
          <t>Date missing or not a date</t>
        </is>
      </c>
      <c r="D10" s="35">
        <f>SUMPRODUCT((LEN('Our policies'!$A$4:$A$503)&gt;0)*(ISNUMBER('Our policies'!$J$4:$J$503)=FALSE))</f>
        <v/>
      </c>
      <c r="E10" s="35">
        <f>SUMPRODUCT((LEN('Vendor COIs'!$A$4:$A$503)&gt;0)*(ISNUMBER('Vendor COIs'!$H$4:$H$503)=FALSE))</f>
        <v/>
      </c>
      <c r="F10" s="36">
        <f>SUM(D10:E10)</f>
        <v/>
      </c>
    </row>
    <row r="11">
      <c r="C11" s="40" t="inlineStr">
        <is>
          <t>Total rows</t>
        </is>
      </c>
      <c r="D11" s="35">
        <f>COUNTIF('Our policies'!$A$4:$A$503,"?*")</f>
        <v/>
      </c>
      <c r="E11" s="35">
        <f>COUNTIF('Vendor COIs'!$A$4:$A$503,"?*")</f>
        <v/>
      </c>
      <c r="F11" s="36">
        <f>SUM(D11:E11)</f>
        <v/>
      </c>
    </row>
    <row r="12">
      <c r="C12" s="3" t="inlineStr">
        <is>
          <t>Status is calculated from the expiry date. Counts update every time the file recalculates.</t>
        </is>
      </c>
    </row>
    <row r="14">
      <c r="B14" s="30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Due date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Sheet</t>
        </is>
      </c>
    </row>
    <row r="16">
      <c r="B16" s="41" t="n">
        <v>1</v>
      </c>
      <c r="C16" s="42">
        <f>IF(_calc!$D$4="","",IF(_calc!$D$4&lt;=500,INDEX('Our policies'!$A$4:$A$503,_calc!$D$4),INDEX('Vendor COIs'!$A$4:$A$503,(_calc!$D$4-500))))</f>
        <v/>
      </c>
      <c r="D16" s="43">
        <f>IF(_calc!$C$4="","",INT(_calc!$C$4))</f>
        <v/>
      </c>
      <c r="E16" s="44">
        <f>IF(_calc!$C$4="","",INT(_calc!$C$4)-TODAY())</f>
        <v/>
      </c>
      <c r="F16" s="40">
        <f>IF(E16="","",IF(E16&lt;0,"Expired",IF(E16&lt;=30,"Due ≤30 days",IF(E16&lt;=90,"Due ≤90 days","OK"))))</f>
        <v/>
      </c>
      <c r="G16" s="42">
        <f>IF(_calc!$D$4="","",IF(_calc!$D$4&lt;=500,"Our policies","Vendor COIs"))</f>
        <v/>
      </c>
    </row>
    <row r="17">
      <c r="B17" s="41" t="n">
        <v>2</v>
      </c>
      <c r="C17" s="42">
        <f>IF(_calc!$D$5="","",IF(_calc!$D$5&lt;=500,INDEX('Our policies'!$A$4:$A$503,_calc!$D$5),INDEX('Vendor COIs'!$A$4:$A$503,(_calc!$D$5-500))))</f>
        <v/>
      </c>
      <c r="D17" s="43">
        <f>IF(_calc!$C$5="","",INT(_calc!$C$5))</f>
        <v/>
      </c>
      <c r="E17" s="44">
        <f>IF(_calc!$C$5="","",INT(_calc!$C$5)-TODAY())</f>
        <v/>
      </c>
      <c r="F17" s="40">
        <f>IF(E17="","",IF(E17&lt;0,"Expired",IF(E17&lt;=30,"Due ≤30 days",IF(E17&lt;=90,"Due ≤90 days","OK"))))</f>
        <v/>
      </c>
      <c r="G17" s="42">
        <f>IF(_calc!$D$5="","",IF(_calc!$D$5&lt;=500,"Our policies","Vendor COIs"))</f>
        <v/>
      </c>
    </row>
    <row r="18">
      <c r="B18" s="41" t="n">
        <v>3</v>
      </c>
      <c r="C18" s="42">
        <f>IF(_calc!$D$6="","",IF(_calc!$D$6&lt;=500,INDEX('Our policies'!$A$4:$A$503,_calc!$D$6),INDEX('Vendor COIs'!$A$4:$A$503,(_calc!$D$6-500))))</f>
        <v/>
      </c>
      <c r="D18" s="43">
        <f>IF(_calc!$C$6="","",INT(_calc!$C$6))</f>
        <v/>
      </c>
      <c r="E18" s="44">
        <f>IF(_calc!$C$6="","",INT(_calc!$C$6)-TODAY())</f>
        <v/>
      </c>
      <c r="F18" s="40">
        <f>IF(E18="","",IF(E18&lt;0,"Expired",IF(E18&lt;=30,"Due ≤30 days",IF(E18&lt;=90,"Due ≤90 days","OK"))))</f>
        <v/>
      </c>
      <c r="G18" s="42">
        <f>IF(_calc!$D$6="","",IF(_calc!$D$6&lt;=500,"Our policies","Vendor COIs"))</f>
        <v/>
      </c>
    </row>
    <row r="19">
      <c r="B19" s="41" t="n">
        <v>4</v>
      </c>
      <c r="C19" s="42">
        <f>IF(_calc!$D$7="","",IF(_calc!$D$7&lt;=500,INDEX('Our policies'!$A$4:$A$503,_calc!$D$7),INDEX('Vendor COIs'!$A$4:$A$503,(_calc!$D$7-500))))</f>
        <v/>
      </c>
      <c r="D19" s="43">
        <f>IF(_calc!$C$7="","",INT(_calc!$C$7))</f>
        <v/>
      </c>
      <c r="E19" s="44">
        <f>IF(_calc!$C$7="","",INT(_calc!$C$7)-TODAY())</f>
        <v/>
      </c>
      <c r="F19" s="40">
        <f>IF(E19="","",IF(E19&lt;0,"Expired",IF(E19&lt;=30,"Due ≤30 days",IF(E19&lt;=90,"Due ≤90 days","OK"))))</f>
        <v/>
      </c>
      <c r="G19" s="42">
        <f>IF(_calc!$D$7="","",IF(_calc!$D$7&lt;=500,"Our policies","Vendor COIs"))</f>
        <v/>
      </c>
    </row>
    <row r="20">
      <c r="B20" s="41" t="n">
        <v>5</v>
      </c>
      <c r="C20" s="42">
        <f>IF(_calc!$D$8="","",IF(_calc!$D$8&lt;=500,INDEX('Our policies'!$A$4:$A$503,_calc!$D$8),INDEX('Vendor COIs'!$A$4:$A$503,(_calc!$D$8-500))))</f>
        <v/>
      </c>
      <c r="D20" s="43">
        <f>IF(_calc!$C$8="","",INT(_calc!$C$8))</f>
        <v/>
      </c>
      <c r="E20" s="44">
        <f>IF(_calc!$C$8="","",INT(_calc!$C$8)-TODAY())</f>
        <v/>
      </c>
      <c r="F20" s="40">
        <f>IF(E20="","",IF(E20&lt;0,"Expired",IF(E20&lt;=30,"Due ≤30 days",IF(E20&lt;=90,"Due ≤90 days","OK"))))</f>
        <v/>
      </c>
      <c r="G20" s="42">
        <f>IF(_calc!$D$8="","",IF(_calc!$D$8&lt;=500,"Our policies","Vendor COIs"))</f>
        <v/>
      </c>
    </row>
    <row r="21">
      <c r="B21" s="41" t="n">
        <v>6</v>
      </c>
      <c r="C21" s="42">
        <f>IF(_calc!$D$9="","",IF(_calc!$D$9&lt;=500,INDEX('Our policies'!$A$4:$A$503,_calc!$D$9),INDEX('Vendor COIs'!$A$4:$A$503,(_calc!$D$9-500))))</f>
        <v/>
      </c>
      <c r="D21" s="43">
        <f>IF(_calc!$C$9="","",INT(_calc!$C$9))</f>
        <v/>
      </c>
      <c r="E21" s="44">
        <f>IF(_calc!$C$9="","",INT(_calc!$C$9)-TODAY())</f>
        <v/>
      </c>
      <c r="F21" s="40">
        <f>IF(E21="","",IF(E21&lt;0,"Expired",IF(E21&lt;=30,"Due ≤30 days",IF(E21&lt;=90,"Due ≤90 days","OK"))))</f>
        <v/>
      </c>
      <c r="G21" s="42">
        <f>IF(_calc!$D$9="","",IF(_calc!$D$9&lt;=500,"Our policies","Vendor COIs"))</f>
        <v/>
      </c>
    </row>
    <row r="22">
      <c r="B22" s="41" t="n">
        <v>7</v>
      </c>
      <c r="C22" s="42">
        <f>IF(_calc!$D$10="","",IF(_calc!$D$10&lt;=500,INDEX('Our policies'!$A$4:$A$503,_calc!$D$10),INDEX('Vendor COIs'!$A$4:$A$503,(_calc!$D$10-500))))</f>
        <v/>
      </c>
      <c r="D22" s="43">
        <f>IF(_calc!$C$10="","",INT(_calc!$C$10))</f>
        <v/>
      </c>
      <c r="E22" s="44">
        <f>IF(_calc!$C$10="","",INT(_calc!$C$10)-TODAY())</f>
        <v/>
      </c>
      <c r="F22" s="40">
        <f>IF(E22="","",IF(E22&lt;0,"Expired",IF(E22&lt;=30,"Due ≤30 days",IF(E22&lt;=90,"Due ≤90 days","OK"))))</f>
        <v/>
      </c>
      <c r="G22" s="42">
        <f>IF(_calc!$D$10="","",IF(_calc!$D$10&lt;=500,"Our policies","Vendor COIs"))</f>
        <v/>
      </c>
    </row>
    <row r="23">
      <c r="B23" s="41" t="n">
        <v>8</v>
      </c>
      <c r="C23" s="42">
        <f>IF(_calc!$D$11="","",IF(_calc!$D$11&lt;=500,INDEX('Our policies'!$A$4:$A$503,_calc!$D$11),INDEX('Vendor COIs'!$A$4:$A$503,(_calc!$D$11-500))))</f>
        <v/>
      </c>
      <c r="D23" s="43">
        <f>IF(_calc!$C$11="","",INT(_calc!$C$11))</f>
        <v/>
      </c>
      <c r="E23" s="44">
        <f>IF(_calc!$C$11="","",INT(_calc!$C$11)-TODAY())</f>
        <v/>
      </c>
      <c r="F23" s="40">
        <f>IF(E23="","",IF(E23&lt;0,"Expired",IF(E23&lt;=30,"Due ≤30 days",IF(E23&lt;=90,"Due ≤90 days","OK"))))</f>
        <v/>
      </c>
      <c r="G23" s="42">
        <f>IF(_calc!$D$11="","",IF(_calc!$D$11&lt;=500,"Our policies","Vendor COIs"))</f>
        <v/>
      </c>
    </row>
    <row r="24">
      <c r="B24" s="41" t="n">
        <v>9</v>
      </c>
      <c r="C24" s="42">
        <f>IF(_calc!$D$12="","",IF(_calc!$D$12&lt;=500,INDEX('Our policies'!$A$4:$A$503,_calc!$D$12),INDEX('Vendor COIs'!$A$4:$A$503,(_calc!$D$12-500))))</f>
        <v/>
      </c>
      <c r="D24" s="43">
        <f>IF(_calc!$C$12="","",INT(_calc!$C$12))</f>
        <v/>
      </c>
      <c r="E24" s="44">
        <f>IF(_calc!$C$12="","",INT(_calc!$C$12)-TODAY())</f>
        <v/>
      </c>
      <c r="F24" s="40">
        <f>IF(E24="","",IF(E24&lt;0,"Expired",IF(E24&lt;=30,"Due ≤30 days",IF(E24&lt;=90,"Due ≤90 days","OK"))))</f>
        <v/>
      </c>
      <c r="G24" s="42">
        <f>IF(_calc!$D$12="","",IF(_calc!$D$12&lt;=500,"Our policies","Vendor COIs"))</f>
        <v/>
      </c>
    </row>
    <row r="25">
      <c r="B25" s="41" t="n">
        <v>10</v>
      </c>
      <c r="C25" s="42">
        <f>IF(_calc!$D$13="","",IF(_calc!$D$13&lt;=500,INDEX('Our policies'!$A$4:$A$503,_calc!$D$13),INDEX('Vendor COIs'!$A$4:$A$503,(_calc!$D$13-500))))</f>
        <v/>
      </c>
      <c r="D25" s="43">
        <f>IF(_calc!$C$13="","",INT(_calc!$C$13))</f>
        <v/>
      </c>
      <c r="E25" s="44">
        <f>IF(_calc!$C$13="","",INT(_calc!$C$13)-TODAY())</f>
        <v/>
      </c>
      <c r="F25" s="40">
        <f>IF(E25="","",IF(E25&lt;0,"Expired",IF(E25&lt;=30,"Due ≤30 days",IF(E25&lt;=90,"Due ≤90 days","OK"))))</f>
        <v/>
      </c>
      <c r="G25" s="42">
        <f>IF(_calc!$D$13="","",IF(_calc!$D$13&lt;=500,"Our policies","Vendor COIs"))</f>
        <v/>
      </c>
    </row>
    <row r="26">
      <c r="C26" s="3" t="inlineStr">
        <is>
          <t>Earliest dates first, including anything already expired.</t>
        </is>
      </c>
    </row>
    <row r="28">
      <c r="B28" s="30" t="inlineStr">
        <is>
          <t>Annual premiums by currency</t>
        </is>
      </c>
    </row>
    <row r="29">
      <c r="C29" s="13" t="inlineStr">
        <is>
          <t>Currency</t>
        </is>
      </c>
      <c r="D29" s="13" t="inlineStr">
        <is>
          <t>Total per year</t>
        </is>
      </c>
    </row>
    <row r="30">
      <c r="C30" s="42" t="inlineStr">
        <is>
          <t>GBP</t>
        </is>
      </c>
      <c r="D30" s="45">
        <f>SUMIF('Our policies'!$H$4:$H$503,C30,'Our policies'!$G$4:$G$503)</f>
        <v/>
      </c>
    </row>
    <row r="31">
      <c r="C31" s="42" t="inlineStr">
        <is>
          <t>USD</t>
        </is>
      </c>
      <c r="D31" s="45">
        <f>SUMIF('Our policies'!$H$4:$H$503,C31,'Our policies'!$G$4:$G$503)</f>
        <v/>
      </c>
    </row>
    <row r="32">
      <c r="C32" s="42" t="inlineStr">
        <is>
          <t>EUR</t>
        </is>
      </c>
      <c r="D32" s="45">
        <f>SUMIF('Our policies'!$H$4:$H$503,C32,'Our policies'!$G$4:$G$503)</f>
        <v/>
      </c>
    </row>
    <row r="33">
      <c r="C33" s="42" t="inlineStr">
        <is>
          <t>CAD</t>
        </is>
      </c>
      <c r="D33" s="45">
        <f>SUMIF('Our policies'!$H$4:$H$503,C33,'Our policies'!$G$4:$G$503)</f>
        <v/>
      </c>
    </row>
    <row r="34">
      <c r="C34" s="42" t="inlineStr">
        <is>
          <t>AUD</t>
        </is>
      </c>
      <c r="D34" s="45">
        <f>SUMIF('Our policies'!$H$4:$H$503,C34,'Our policies'!$G$4:$G$503)</f>
        <v/>
      </c>
    </row>
    <row r="35">
      <c r="C35" s="42" t="inlineStr">
        <is>
          <t>NZD</t>
        </is>
      </c>
      <c r="D35" s="45">
        <f>SUMIF('Our policies'!$H$4:$H$503,C35,'Our policies'!$G$4:$G$503)</f>
        <v/>
      </c>
    </row>
    <row r="37">
      <c r="C3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10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6">
        <f>IF(_calc!$E$4="","",IF(_calc!$E$4&lt;=500,IF(LEN(INDEX('Our policies'!$A$4:$A$503,_calc!$E$4))=0,"",INDEX('Our policies'!$A$4:$A$503,_calc!$E$4)),"COI – "&amp;IF(LEN(INDEX('Vendor COIs'!$A$4:$A$503,(_calc!$E$4-500)))=0,"",INDEX('Vendor COIs'!$A$4:$A$503,(_calc!$E$4-500)))&amp;" – "&amp;IF(LEN(INDEX('Vendor COIs'!$B$4:$B$503,(_calc!$E$4-500)))=0,"",INDEX('Vendor COIs'!$B$4:$B$503,(_calc!$E$4-500)))))</f>
        <v/>
      </c>
      <c r="B2" s="46">
        <f>IF(_calc!$E$4="","",IF(_calc!$E$4&lt;=500,IF(ISNUMBER(INDEX('Our policies'!$J$4:$J$503,_calc!$E$4)),TEXT(INDEX('Our policies'!$J$4:$J$503,_calc!$E$4),"yyyy-mm-dd"),""),IF(ISNUMBER(INDEX('Vendor COIs'!$H$4:$H$503,(_calc!$E$4-500))),TEXT(INDEX('Vendor COIs'!$H$4:$H$503,(_calc!$E$4-500)),"yyyy-mm-dd"),"")))</f>
        <v/>
      </c>
      <c r="C2" s="46">
        <f>IF(_calc!$E$4="","",IF(_calc!$E$4&lt;=500,"Insurance","Certificate of insurance"))</f>
        <v/>
      </c>
      <c r="D2" s="46">
        <f>IF(_calc!$E$4="","",IF(_calc!$E$4&lt;=500,IF(ISNUMBER(INDEX('Our policies'!$I$4:$I$503,_calc!$E$4)),TEXT(INDEX('Our policies'!$I$4:$I$503,_calc!$E$4),"yyyy-mm-dd"),""),""))</f>
        <v/>
      </c>
      <c r="E2" s="46">
        <f>IF(_calc!$E$4="","",IF(_calc!$E$4&lt;=500,IF(LEN(INDEX('Our policies'!$Q$4:$Q$503,_calc!$E$4))=0,"",INDEX('Our policies'!$Q$4:$Q$503,_calc!$E$4)),"Medium"))</f>
        <v/>
      </c>
      <c r="F2" s="46">
        <f>IF(_calc!$E$4="","",IF(_calc!$E$4&lt;=500,TRIM(IF(LEN(IF(LEN(INDEX('Our policies'!$B$4:$B$503,_calc!$E$4))=0,"",INDEX('Our policies'!$B$4:$B$503,_calc!$E$4)))=0,"","Cover: "&amp;IF(LEN(INDEX('Our policies'!$B$4:$B$503,_calc!$E$4))=0,"",INDEX('Our policies'!$B$4:$B$503,_calc!$E$4))&amp;". ")&amp;IF(LEN(IF(LEN(INDEX('Our policies'!$C$4:$C$503,_calc!$E$4))=0,"",INDEX('Our policies'!$C$4:$C$503,_calc!$E$4)))=0,"","Insurer: "&amp;IF(LEN(INDEX('Our policies'!$C$4:$C$503,_calc!$E$4))=0,"",INDEX('Our policies'!$C$4:$C$503,_calc!$E$4))&amp;". ")&amp;IF(LEN(IF(LEN(INDEX('Our policies'!$D$4:$D$503,_calc!$E$4))=0,"",INDEX('Our policies'!$D$4:$D$503,_calc!$E$4)))=0,"","Broker: "&amp;IF(LEN(INDEX('Our policies'!$D$4:$D$503,_calc!$E$4))=0,"",INDEX('Our policies'!$D$4:$D$503,_calc!$E$4))&amp;". ")&amp;IF(LEN(IF(LEN(INDEX('Our policies'!$E$4:$E$503,_calc!$E$4))=0,"",INDEX('Our policies'!$E$4:$E$503,_calc!$E$4)))=0,"","Policy no.: "&amp;IF(LEN(INDEX('Our policies'!$E$4:$E$503,_calc!$E$4))=0,"",INDEX('Our policies'!$E$4:$E$503,_calc!$E$4))&amp;". ")&amp;IF(LEN(IF(LEN(INDEX('Our policies'!$S$4:$S$503,_calc!$E$4))=0,"",INDEX('Our policies'!$S$4:$S$503,_calc!$E$4)))=0,"",IF(LEN(INDEX('Our policies'!$S$4:$S$503,_calc!$E$4))=0,"",INDEX('Our policies'!$S$4:$S$503,_calc!$E$4)))),TRIM(IF(LEN(IF(LEN(INDEX('Vendor COIs'!$C$4:$C$503,(_calc!$E$4-500)))=0,"",INDEX('Vendor COIs'!$C$4:$C$503,(_calc!$E$4-500))))=0,"","Insurer: "&amp;IF(LEN(INDEX('Vendor COIs'!$C$4:$C$503,(_calc!$E$4-500)))=0,"",INDEX('Vendor COIs'!$C$4:$C$503,(_calc!$E$4-500)))&amp;". ")&amp;IF(LEN(IF(LEN(INDEX('Vendor COIs'!$D$4:$D$503,(_calc!$E$4-500)))=0,"",INDEX('Vendor COIs'!$D$4:$D$503,(_calc!$E$4-500))))=0,"","Policy no.: "&amp;IF(LEN(INDEX('Vendor COIs'!$D$4:$D$503,(_calc!$E$4-500)))=0,"",INDEX('Vendor COIs'!$D$4:$D$503,(_calc!$E$4-500)))&amp;". ")&amp;IF(LEN(IF(LEN(INDEX('Vendor COIs'!$F$4:$F$503,(_calc!$E$4-500)))=0,"",INDEX('Vendor COIs'!$F$4:$F$503,(_calc!$E$4-500))))=0,"","Meets minimum: "&amp;IF(LEN(INDEX('Vendor COIs'!$F$4:$F$503,(_calc!$E$4-500)))=0,"",INDEX('Vendor COIs'!$F$4:$F$503,(_calc!$E$4-500)))&amp;". ")&amp;IF(LEN(IF(LEN(INDEX('Vendor COIs'!$G$4:$G$503,(_calc!$E$4-500)))=0,"",INDEX('Vendor COIs'!$G$4:$G$503,(_calc!$E$4-500))))=0,"","Additional insured: "&amp;IF(LEN(INDEX('Vendor COIs'!$G$4:$G$503,(_calc!$E$4-500)))=0,"",INDEX('Vendor COIs'!$G$4:$G$503,(_calc!$E$4-500)))&amp;". ")&amp;IF(LEN(IF(LEN(INDEX('Vendor COIs'!$M$4:$M$503,(_calc!$E$4-500)))=0,"",INDEX('Vendor COIs'!$M$4:$M$503,(_calc!$E$4-500))))=0,"","Vendor contact: "&amp;IF(LEN(INDEX('Vendor COIs'!$M$4:$M$503,(_calc!$E$4-500)))=0,"",INDEX('Vendor COIs'!$M$4:$M$503,(_calc!$E$4-500)))&amp;". ")&amp;IF(LEN(IF(LEN(INDEX('Vendor COIs'!$P$4:$P$503,(_calc!$E$4-500)))=0,"",INDEX('Vendor COIs'!$P$4:$P$503,(_calc!$E$4-500))))=0,"",IF(LEN(INDEX('Vendor COIs'!$P$4:$P$503,(_calc!$E$4-500)))=0,"",INDEX('Vendor COIs'!$P$4:$P$503,(_calc!$E$4-500)))))))</f>
        <v/>
      </c>
      <c r="G2" s="46">
        <f>IF(_calc!$E$4="","",IF(_calc!$E$4&lt;=500,IF(LEN(INDEX('Our policies'!$R$4:$R$503,_calc!$E$4))=0,"",INDEX('Our policies'!$R$4:$R$503,_calc!$E$4)),IF(LEN(INDEX('Vendor COIs'!$O$4:$O$503,(_calc!$E$4-500)))=0,"",INDEX('Vendor COIs'!$O$4:$O$503,(_calc!$E$4-500)))))</f>
        <v/>
      </c>
      <c r="H2" s="46">
        <f>IF(_calc!$E$4="","",IF(_calc!$E$4&lt;=500,IF(LEN(INDEX('Our policies'!$G$4:$G$503,_calc!$E$4))=0,"",INDEX('Our policies'!$G$4:$G$503,_calc!$E$4)),""))</f>
        <v/>
      </c>
      <c r="I2" s="46">
        <f>IF(_calc!$E$4="","",IF(_calc!$E$4&lt;=500,IF(LEN(INDEX('Our policies'!$H$4:$H$503,_calc!$E$4))=0,"",INDEX('Our policies'!$H$4:$H$503,_calc!$E$4)),""))</f>
        <v/>
      </c>
      <c r="K2" s="46">
        <f>IF(_calc!$E$4="","",IF(_calc!$E$4&lt;=500,IF(LEN(INDEX('Our policies'!$P$4:$P$503,_calc!$E$4))=0,"",INDEX('Our policies'!$P$4:$P$503,_calc!$E$4)),IF(LEN(INDEX('Vendor COIs'!$N$4:$N$503,(_calc!$E$4-500)))=0,"",INDEX('Vendor COIs'!$N$4:$N$503,(_calc!$E$4-500)))))</f>
        <v/>
      </c>
    </row>
    <row r="3">
      <c r="A3" s="46">
        <f>IF(_calc!$E$5="","",IF(_calc!$E$5&lt;=500,IF(LEN(INDEX('Our policies'!$A$4:$A$503,_calc!$E$5))=0,"",INDEX('Our policies'!$A$4:$A$503,_calc!$E$5)),"COI – "&amp;IF(LEN(INDEX('Vendor COIs'!$A$4:$A$503,(_calc!$E$5-500)))=0,"",INDEX('Vendor COIs'!$A$4:$A$503,(_calc!$E$5-500)))&amp;" – "&amp;IF(LEN(INDEX('Vendor COIs'!$B$4:$B$503,(_calc!$E$5-500)))=0,"",INDEX('Vendor COIs'!$B$4:$B$503,(_calc!$E$5-500)))))</f>
        <v/>
      </c>
      <c r="B3" s="46">
        <f>IF(_calc!$E$5="","",IF(_calc!$E$5&lt;=500,IF(ISNUMBER(INDEX('Our policies'!$J$4:$J$503,_calc!$E$5)),TEXT(INDEX('Our policies'!$J$4:$J$503,_calc!$E$5),"yyyy-mm-dd"),""),IF(ISNUMBER(INDEX('Vendor COIs'!$H$4:$H$503,(_calc!$E$5-500))),TEXT(INDEX('Vendor COIs'!$H$4:$H$503,(_calc!$E$5-500)),"yyyy-mm-dd"),"")))</f>
        <v/>
      </c>
      <c r="C3" s="46">
        <f>IF(_calc!$E$5="","",IF(_calc!$E$5&lt;=500,"Insurance","Certificate of insurance"))</f>
        <v/>
      </c>
      <c r="D3" s="46">
        <f>IF(_calc!$E$5="","",IF(_calc!$E$5&lt;=500,IF(ISNUMBER(INDEX('Our policies'!$I$4:$I$503,_calc!$E$5)),TEXT(INDEX('Our policies'!$I$4:$I$503,_calc!$E$5),"yyyy-mm-dd"),""),""))</f>
        <v/>
      </c>
      <c r="E3" s="46">
        <f>IF(_calc!$E$5="","",IF(_calc!$E$5&lt;=500,IF(LEN(INDEX('Our policies'!$Q$4:$Q$503,_calc!$E$5))=0,"",INDEX('Our policies'!$Q$4:$Q$503,_calc!$E$5)),"Medium"))</f>
        <v/>
      </c>
      <c r="F3" s="46">
        <f>IF(_calc!$E$5="","",IF(_calc!$E$5&lt;=500,TRIM(IF(LEN(IF(LEN(INDEX('Our policies'!$B$4:$B$503,_calc!$E$5))=0,"",INDEX('Our policies'!$B$4:$B$503,_calc!$E$5)))=0,"","Cover: "&amp;IF(LEN(INDEX('Our policies'!$B$4:$B$503,_calc!$E$5))=0,"",INDEX('Our policies'!$B$4:$B$503,_calc!$E$5))&amp;". ")&amp;IF(LEN(IF(LEN(INDEX('Our policies'!$C$4:$C$503,_calc!$E$5))=0,"",INDEX('Our policies'!$C$4:$C$503,_calc!$E$5)))=0,"","Insurer: "&amp;IF(LEN(INDEX('Our policies'!$C$4:$C$503,_calc!$E$5))=0,"",INDEX('Our policies'!$C$4:$C$503,_calc!$E$5))&amp;". ")&amp;IF(LEN(IF(LEN(INDEX('Our policies'!$D$4:$D$503,_calc!$E$5))=0,"",INDEX('Our policies'!$D$4:$D$503,_calc!$E$5)))=0,"","Broker: "&amp;IF(LEN(INDEX('Our policies'!$D$4:$D$503,_calc!$E$5))=0,"",INDEX('Our policies'!$D$4:$D$503,_calc!$E$5))&amp;". ")&amp;IF(LEN(IF(LEN(INDEX('Our policies'!$E$4:$E$503,_calc!$E$5))=0,"",INDEX('Our policies'!$E$4:$E$503,_calc!$E$5)))=0,"","Policy no.: "&amp;IF(LEN(INDEX('Our policies'!$E$4:$E$503,_calc!$E$5))=0,"",INDEX('Our policies'!$E$4:$E$503,_calc!$E$5))&amp;". ")&amp;IF(LEN(IF(LEN(INDEX('Our policies'!$S$4:$S$503,_calc!$E$5))=0,"",INDEX('Our policies'!$S$4:$S$503,_calc!$E$5)))=0,"",IF(LEN(INDEX('Our policies'!$S$4:$S$503,_calc!$E$5))=0,"",INDEX('Our policies'!$S$4:$S$503,_calc!$E$5)))),TRIM(IF(LEN(IF(LEN(INDEX('Vendor COIs'!$C$4:$C$503,(_calc!$E$5-500)))=0,"",INDEX('Vendor COIs'!$C$4:$C$503,(_calc!$E$5-500))))=0,"","Insurer: "&amp;IF(LEN(INDEX('Vendor COIs'!$C$4:$C$503,(_calc!$E$5-500)))=0,"",INDEX('Vendor COIs'!$C$4:$C$503,(_calc!$E$5-500)))&amp;". ")&amp;IF(LEN(IF(LEN(INDEX('Vendor COIs'!$D$4:$D$503,(_calc!$E$5-500)))=0,"",INDEX('Vendor COIs'!$D$4:$D$503,(_calc!$E$5-500))))=0,"","Policy no.: "&amp;IF(LEN(INDEX('Vendor COIs'!$D$4:$D$503,(_calc!$E$5-500)))=0,"",INDEX('Vendor COIs'!$D$4:$D$503,(_calc!$E$5-500)))&amp;". ")&amp;IF(LEN(IF(LEN(INDEX('Vendor COIs'!$F$4:$F$503,(_calc!$E$5-500)))=0,"",INDEX('Vendor COIs'!$F$4:$F$503,(_calc!$E$5-500))))=0,"","Meets minimum: "&amp;IF(LEN(INDEX('Vendor COIs'!$F$4:$F$503,(_calc!$E$5-500)))=0,"",INDEX('Vendor COIs'!$F$4:$F$503,(_calc!$E$5-500)))&amp;". ")&amp;IF(LEN(IF(LEN(INDEX('Vendor COIs'!$G$4:$G$503,(_calc!$E$5-500)))=0,"",INDEX('Vendor COIs'!$G$4:$G$503,(_calc!$E$5-500))))=0,"","Additional insured: "&amp;IF(LEN(INDEX('Vendor COIs'!$G$4:$G$503,(_calc!$E$5-500)))=0,"",INDEX('Vendor COIs'!$G$4:$G$503,(_calc!$E$5-500)))&amp;". ")&amp;IF(LEN(IF(LEN(INDEX('Vendor COIs'!$M$4:$M$503,(_calc!$E$5-500)))=0,"",INDEX('Vendor COIs'!$M$4:$M$503,(_calc!$E$5-500))))=0,"","Vendor contact: "&amp;IF(LEN(INDEX('Vendor COIs'!$M$4:$M$503,(_calc!$E$5-500)))=0,"",INDEX('Vendor COIs'!$M$4:$M$503,(_calc!$E$5-500)))&amp;". ")&amp;IF(LEN(IF(LEN(INDEX('Vendor COIs'!$P$4:$P$503,(_calc!$E$5-500)))=0,"",INDEX('Vendor COIs'!$P$4:$P$503,(_calc!$E$5-500))))=0,"",IF(LEN(INDEX('Vendor COIs'!$P$4:$P$503,(_calc!$E$5-500)))=0,"",INDEX('Vendor COIs'!$P$4:$P$503,(_calc!$E$5-500)))))))</f>
        <v/>
      </c>
      <c r="G3" s="46">
        <f>IF(_calc!$E$5="","",IF(_calc!$E$5&lt;=500,IF(LEN(INDEX('Our policies'!$R$4:$R$503,_calc!$E$5))=0,"",INDEX('Our policies'!$R$4:$R$503,_calc!$E$5)),IF(LEN(INDEX('Vendor COIs'!$O$4:$O$503,(_calc!$E$5-500)))=0,"",INDEX('Vendor COIs'!$O$4:$O$503,(_calc!$E$5-500)))))</f>
        <v/>
      </c>
      <c r="H3" s="46">
        <f>IF(_calc!$E$5="","",IF(_calc!$E$5&lt;=500,IF(LEN(INDEX('Our policies'!$G$4:$G$503,_calc!$E$5))=0,"",INDEX('Our policies'!$G$4:$G$503,_calc!$E$5)),""))</f>
        <v/>
      </c>
      <c r="I3" s="46">
        <f>IF(_calc!$E$5="","",IF(_calc!$E$5&lt;=500,IF(LEN(INDEX('Our policies'!$H$4:$H$503,_calc!$E$5))=0,"",INDEX('Our policies'!$H$4:$H$503,_calc!$E$5)),""))</f>
        <v/>
      </c>
      <c r="K3" s="46">
        <f>IF(_calc!$E$5="","",IF(_calc!$E$5&lt;=500,IF(LEN(INDEX('Our policies'!$P$4:$P$503,_calc!$E$5))=0,"",INDEX('Our policies'!$P$4:$P$503,_calc!$E$5)),IF(LEN(INDEX('Vendor COIs'!$N$4:$N$503,(_calc!$E$5-500)))=0,"",INDEX('Vendor COIs'!$N$4:$N$503,(_calc!$E$5-500)))))</f>
        <v/>
      </c>
    </row>
    <row r="4">
      <c r="A4" s="46">
        <f>IF(_calc!$E$6="","",IF(_calc!$E$6&lt;=500,IF(LEN(INDEX('Our policies'!$A$4:$A$503,_calc!$E$6))=0,"",INDEX('Our policies'!$A$4:$A$503,_calc!$E$6)),"COI – "&amp;IF(LEN(INDEX('Vendor COIs'!$A$4:$A$503,(_calc!$E$6-500)))=0,"",INDEX('Vendor COIs'!$A$4:$A$503,(_calc!$E$6-500)))&amp;" – "&amp;IF(LEN(INDEX('Vendor COIs'!$B$4:$B$503,(_calc!$E$6-500)))=0,"",INDEX('Vendor COIs'!$B$4:$B$503,(_calc!$E$6-500)))))</f>
        <v/>
      </c>
      <c r="B4" s="46">
        <f>IF(_calc!$E$6="","",IF(_calc!$E$6&lt;=500,IF(ISNUMBER(INDEX('Our policies'!$J$4:$J$503,_calc!$E$6)),TEXT(INDEX('Our policies'!$J$4:$J$503,_calc!$E$6),"yyyy-mm-dd"),""),IF(ISNUMBER(INDEX('Vendor COIs'!$H$4:$H$503,(_calc!$E$6-500))),TEXT(INDEX('Vendor COIs'!$H$4:$H$503,(_calc!$E$6-500)),"yyyy-mm-dd"),"")))</f>
        <v/>
      </c>
      <c r="C4" s="46">
        <f>IF(_calc!$E$6="","",IF(_calc!$E$6&lt;=500,"Insurance","Certificate of insurance"))</f>
        <v/>
      </c>
      <c r="D4" s="46">
        <f>IF(_calc!$E$6="","",IF(_calc!$E$6&lt;=500,IF(ISNUMBER(INDEX('Our policies'!$I$4:$I$503,_calc!$E$6)),TEXT(INDEX('Our policies'!$I$4:$I$503,_calc!$E$6),"yyyy-mm-dd"),""),""))</f>
        <v/>
      </c>
      <c r="E4" s="46">
        <f>IF(_calc!$E$6="","",IF(_calc!$E$6&lt;=500,IF(LEN(INDEX('Our policies'!$Q$4:$Q$503,_calc!$E$6))=0,"",INDEX('Our policies'!$Q$4:$Q$503,_calc!$E$6)),"Medium"))</f>
        <v/>
      </c>
      <c r="F4" s="46">
        <f>IF(_calc!$E$6="","",IF(_calc!$E$6&lt;=500,TRIM(IF(LEN(IF(LEN(INDEX('Our policies'!$B$4:$B$503,_calc!$E$6))=0,"",INDEX('Our policies'!$B$4:$B$503,_calc!$E$6)))=0,"","Cover: "&amp;IF(LEN(INDEX('Our policies'!$B$4:$B$503,_calc!$E$6))=0,"",INDEX('Our policies'!$B$4:$B$503,_calc!$E$6))&amp;". ")&amp;IF(LEN(IF(LEN(INDEX('Our policies'!$C$4:$C$503,_calc!$E$6))=0,"",INDEX('Our policies'!$C$4:$C$503,_calc!$E$6)))=0,"","Insurer: "&amp;IF(LEN(INDEX('Our policies'!$C$4:$C$503,_calc!$E$6))=0,"",INDEX('Our policies'!$C$4:$C$503,_calc!$E$6))&amp;". ")&amp;IF(LEN(IF(LEN(INDEX('Our policies'!$D$4:$D$503,_calc!$E$6))=0,"",INDEX('Our policies'!$D$4:$D$503,_calc!$E$6)))=0,"","Broker: "&amp;IF(LEN(INDEX('Our policies'!$D$4:$D$503,_calc!$E$6))=0,"",INDEX('Our policies'!$D$4:$D$503,_calc!$E$6))&amp;". ")&amp;IF(LEN(IF(LEN(INDEX('Our policies'!$E$4:$E$503,_calc!$E$6))=0,"",INDEX('Our policies'!$E$4:$E$503,_calc!$E$6)))=0,"","Policy no.: "&amp;IF(LEN(INDEX('Our policies'!$E$4:$E$503,_calc!$E$6))=0,"",INDEX('Our policies'!$E$4:$E$503,_calc!$E$6))&amp;". ")&amp;IF(LEN(IF(LEN(INDEX('Our policies'!$S$4:$S$503,_calc!$E$6))=0,"",INDEX('Our policies'!$S$4:$S$503,_calc!$E$6)))=0,"",IF(LEN(INDEX('Our policies'!$S$4:$S$503,_calc!$E$6))=0,"",INDEX('Our policies'!$S$4:$S$503,_calc!$E$6)))),TRIM(IF(LEN(IF(LEN(INDEX('Vendor COIs'!$C$4:$C$503,(_calc!$E$6-500)))=0,"",INDEX('Vendor COIs'!$C$4:$C$503,(_calc!$E$6-500))))=0,"","Insurer: "&amp;IF(LEN(INDEX('Vendor COIs'!$C$4:$C$503,(_calc!$E$6-500)))=0,"",INDEX('Vendor COIs'!$C$4:$C$503,(_calc!$E$6-500)))&amp;". ")&amp;IF(LEN(IF(LEN(INDEX('Vendor COIs'!$D$4:$D$503,(_calc!$E$6-500)))=0,"",INDEX('Vendor COIs'!$D$4:$D$503,(_calc!$E$6-500))))=0,"","Policy no.: "&amp;IF(LEN(INDEX('Vendor COIs'!$D$4:$D$503,(_calc!$E$6-500)))=0,"",INDEX('Vendor COIs'!$D$4:$D$503,(_calc!$E$6-500)))&amp;". ")&amp;IF(LEN(IF(LEN(INDEX('Vendor COIs'!$F$4:$F$503,(_calc!$E$6-500)))=0,"",INDEX('Vendor COIs'!$F$4:$F$503,(_calc!$E$6-500))))=0,"","Meets minimum: "&amp;IF(LEN(INDEX('Vendor COIs'!$F$4:$F$503,(_calc!$E$6-500)))=0,"",INDEX('Vendor COIs'!$F$4:$F$503,(_calc!$E$6-500)))&amp;". ")&amp;IF(LEN(IF(LEN(INDEX('Vendor COIs'!$G$4:$G$503,(_calc!$E$6-500)))=0,"",INDEX('Vendor COIs'!$G$4:$G$503,(_calc!$E$6-500))))=0,"","Additional insured: "&amp;IF(LEN(INDEX('Vendor COIs'!$G$4:$G$503,(_calc!$E$6-500)))=0,"",INDEX('Vendor COIs'!$G$4:$G$503,(_calc!$E$6-500)))&amp;". ")&amp;IF(LEN(IF(LEN(INDEX('Vendor COIs'!$M$4:$M$503,(_calc!$E$6-500)))=0,"",INDEX('Vendor COIs'!$M$4:$M$503,(_calc!$E$6-500))))=0,"","Vendor contact: "&amp;IF(LEN(INDEX('Vendor COIs'!$M$4:$M$503,(_calc!$E$6-500)))=0,"",INDEX('Vendor COIs'!$M$4:$M$503,(_calc!$E$6-500)))&amp;". ")&amp;IF(LEN(IF(LEN(INDEX('Vendor COIs'!$P$4:$P$503,(_calc!$E$6-500)))=0,"",INDEX('Vendor COIs'!$P$4:$P$503,(_calc!$E$6-500))))=0,"",IF(LEN(INDEX('Vendor COIs'!$P$4:$P$503,(_calc!$E$6-500)))=0,"",INDEX('Vendor COIs'!$P$4:$P$503,(_calc!$E$6-500)))))))</f>
        <v/>
      </c>
      <c r="G4" s="46">
        <f>IF(_calc!$E$6="","",IF(_calc!$E$6&lt;=500,IF(LEN(INDEX('Our policies'!$R$4:$R$503,_calc!$E$6))=0,"",INDEX('Our policies'!$R$4:$R$503,_calc!$E$6)),IF(LEN(INDEX('Vendor COIs'!$O$4:$O$503,(_calc!$E$6-500)))=0,"",INDEX('Vendor COIs'!$O$4:$O$503,(_calc!$E$6-500)))))</f>
        <v/>
      </c>
      <c r="H4" s="46">
        <f>IF(_calc!$E$6="","",IF(_calc!$E$6&lt;=500,IF(LEN(INDEX('Our policies'!$G$4:$G$503,_calc!$E$6))=0,"",INDEX('Our policies'!$G$4:$G$503,_calc!$E$6)),""))</f>
        <v/>
      </c>
      <c r="I4" s="46">
        <f>IF(_calc!$E$6="","",IF(_calc!$E$6&lt;=500,IF(LEN(INDEX('Our policies'!$H$4:$H$503,_calc!$E$6))=0,"",INDEX('Our policies'!$H$4:$H$503,_calc!$E$6)),""))</f>
        <v/>
      </c>
      <c r="K4" s="46">
        <f>IF(_calc!$E$6="","",IF(_calc!$E$6&lt;=500,IF(LEN(INDEX('Our policies'!$P$4:$P$503,_calc!$E$6))=0,"",INDEX('Our policies'!$P$4:$P$503,_calc!$E$6)),IF(LEN(INDEX('Vendor COIs'!$N$4:$N$503,(_calc!$E$6-500)))=0,"",INDEX('Vendor COIs'!$N$4:$N$503,(_calc!$E$6-500)))))</f>
        <v/>
      </c>
    </row>
    <row r="5">
      <c r="A5" s="46">
        <f>IF(_calc!$E$7="","",IF(_calc!$E$7&lt;=500,IF(LEN(INDEX('Our policies'!$A$4:$A$503,_calc!$E$7))=0,"",INDEX('Our policies'!$A$4:$A$503,_calc!$E$7)),"COI – "&amp;IF(LEN(INDEX('Vendor COIs'!$A$4:$A$503,(_calc!$E$7-500)))=0,"",INDEX('Vendor COIs'!$A$4:$A$503,(_calc!$E$7-500)))&amp;" – "&amp;IF(LEN(INDEX('Vendor COIs'!$B$4:$B$503,(_calc!$E$7-500)))=0,"",INDEX('Vendor COIs'!$B$4:$B$503,(_calc!$E$7-500)))))</f>
        <v/>
      </c>
      <c r="B5" s="46">
        <f>IF(_calc!$E$7="","",IF(_calc!$E$7&lt;=500,IF(ISNUMBER(INDEX('Our policies'!$J$4:$J$503,_calc!$E$7)),TEXT(INDEX('Our policies'!$J$4:$J$503,_calc!$E$7),"yyyy-mm-dd"),""),IF(ISNUMBER(INDEX('Vendor COIs'!$H$4:$H$503,(_calc!$E$7-500))),TEXT(INDEX('Vendor COIs'!$H$4:$H$503,(_calc!$E$7-500)),"yyyy-mm-dd"),"")))</f>
        <v/>
      </c>
      <c r="C5" s="46">
        <f>IF(_calc!$E$7="","",IF(_calc!$E$7&lt;=500,"Insurance","Certificate of insurance"))</f>
        <v/>
      </c>
      <c r="D5" s="46">
        <f>IF(_calc!$E$7="","",IF(_calc!$E$7&lt;=500,IF(ISNUMBER(INDEX('Our policies'!$I$4:$I$503,_calc!$E$7)),TEXT(INDEX('Our policies'!$I$4:$I$503,_calc!$E$7),"yyyy-mm-dd"),""),""))</f>
        <v/>
      </c>
      <c r="E5" s="46">
        <f>IF(_calc!$E$7="","",IF(_calc!$E$7&lt;=500,IF(LEN(INDEX('Our policies'!$Q$4:$Q$503,_calc!$E$7))=0,"",INDEX('Our policies'!$Q$4:$Q$503,_calc!$E$7)),"Medium"))</f>
        <v/>
      </c>
      <c r="F5" s="46">
        <f>IF(_calc!$E$7="","",IF(_calc!$E$7&lt;=500,TRIM(IF(LEN(IF(LEN(INDEX('Our policies'!$B$4:$B$503,_calc!$E$7))=0,"",INDEX('Our policies'!$B$4:$B$503,_calc!$E$7)))=0,"","Cover: "&amp;IF(LEN(INDEX('Our policies'!$B$4:$B$503,_calc!$E$7))=0,"",INDEX('Our policies'!$B$4:$B$503,_calc!$E$7))&amp;". ")&amp;IF(LEN(IF(LEN(INDEX('Our policies'!$C$4:$C$503,_calc!$E$7))=0,"",INDEX('Our policies'!$C$4:$C$503,_calc!$E$7)))=0,"","Insurer: "&amp;IF(LEN(INDEX('Our policies'!$C$4:$C$503,_calc!$E$7))=0,"",INDEX('Our policies'!$C$4:$C$503,_calc!$E$7))&amp;". ")&amp;IF(LEN(IF(LEN(INDEX('Our policies'!$D$4:$D$503,_calc!$E$7))=0,"",INDEX('Our policies'!$D$4:$D$503,_calc!$E$7)))=0,"","Broker: "&amp;IF(LEN(INDEX('Our policies'!$D$4:$D$503,_calc!$E$7))=0,"",INDEX('Our policies'!$D$4:$D$503,_calc!$E$7))&amp;". ")&amp;IF(LEN(IF(LEN(INDEX('Our policies'!$E$4:$E$503,_calc!$E$7))=0,"",INDEX('Our policies'!$E$4:$E$503,_calc!$E$7)))=0,"","Policy no.: "&amp;IF(LEN(INDEX('Our policies'!$E$4:$E$503,_calc!$E$7))=0,"",INDEX('Our policies'!$E$4:$E$503,_calc!$E$7))&amp;". ")&amp;IF(LEN(IF(LEN(INDEX('Our policies'!$S$4:$S$503,_calc!$E$7))=0,"",INDEX('Our policies'!$S$4:$S$503,_calc!$E$7)))=0,"",IF(LEN(INDEX('Our policies'!$S$4:$S$503,_calc!$E$7))=0,"",INDEX('Our policies'!$S$4:$S$503,_calc!$E$7)))),TRIM(IF(LEN(IF(LEN(INDEX('Vendor COIs'!$C$4:$C$503,(_calc!$E$7-500)))=0,"",INDEX('Vendor COIs'!$C$4:$C$503,(_calc!$E$7-500))))=0,"","Insurer: "&amp;IF(LEN(INDEX('Vendor COIs'!$C$4:$C$503,(_calc!$E$7-500)))=0,"",INDEX('Vendor COIs'!$C$4:$C$503,(_calc!$E$7-500)))&amp;". ")&amp;IF(LEN(IF(LEN(INDEX('Vendor COIs'!$D$4:$D$503,(_calc!$E$7-500)))=0,"",INDEX('Vendor COIs'!$D$4:$D$503,(_calc!$E$7-500))))=0,"","Policy no.: "&amp;IF(LEN(INDEX('Vendor COIs'!$D$4:$D$503,(_calc!$E$7-500)))=0,"",INDEX('Vendor COIs'!$D$4:$D$503,(_calc!$E$7-500)))&amp;". ")&amp;IF(LEN(IF(LEN(INDEX('Vendor COIs'!$F$4:$F$503,(_calc!$E$7-500)))=0,"",INDEX('Vendor COIs'!$F$4:$F$503,(_calc!$E$7-500))))=0,"","Meets minimum: "&amp;IF(LEN(INDEX('Vendor COIs'!$F$4:$F$503,(_calc!$E$7-500)))=0,"",INDEX('Vendor COIs'!$F$4:$F$503,(_calc!$E$7-500)))&amp;". ")&amp;IF(LEN(IF(LEN(INDEX('Vendor COIs'!$G$4:$G$503,(_calc!$E$7-500)))=0,"",INDEX('Vendor COIs'!$G$4:$G$503,(_calc!$E$7-500))))=0,"","Additional insured: "&amp;IF(LEN(INDEX('Vendor COIs'!$G$4:$G$503,(_calc!$E$7-500)))=0,"",INDEX('Vendor COIs'!$G$4:$G$503,(_calc!$E$7-500)))&amp;". ")&amp;IF(LEN(IF(LEN(INDEX('Vendor COIs'!$M$4:$M$503,(_calc!$E$7-500)))=0,"",INDEX('Vendor COIs'!$M$4:$M$503,(_calc!$E$7-500))))=0,"","Vendor contact: "&amp;IF(LEN(INDEX('Vendor COIs'!$M$4:$M$503,(_calc!$E$7-500)))=0,"",INDEX('Vendor COIs'!$M$4:$M$503,(_calc!$E$7-500)))&amp;". ")&amp;IF(LEN(IF(LEN(INDEX('Vendor COIs'!$P$4:$P$503,(_calc!$E$7-500)))=0,"",INDEX('Vendor COIs'!$P$4:$P$503,(_calc!$E$7-500))))=0,"",IF(LEN(INDEX('Vendor COIs'!$P$4:$P$503,(_calc!$E$7-500)))=0,"",INDEX('Vendor COIs'!$P$4:$P$503,(_calc!$E$7-500)))))))</f>
        <v/>
      </c>
      <c r="G5" s="46">
        <f>IF(_calc!$E$7="","",IF(_calc!$E$7&lt;=500,IF(LEN(INDEX('Our policies'!$R$4:$R$503,_calc!$E$7))=0,"",INDEX('Our policies'!$R$4:$R$503,_calc!$E$7)),IF(LEN(INDEX('Vendor COIs'!$O$4:$O$503,(_calc!$E$7-500)))=0,"",INDEX('Vendor COIs'!$O$4:$O$503,(_calc!$E$7-500)))))</f>
        <v/>
      </c>
      <c r="H5" s="46">
        <f>IF(_calc!$E$7="","",IF(_calc!$E$7&lt;=500,IF(LEN(INDEX('Our policies'!$G$4:$G$503,_calc!$E$7))=0,"",INDEX('Our policies'!$G$4:$G$503,_calc!$E$7)),""))</f>
        <v/>
      </c>
      <c r="I5" s="46">
        <f>IF(_calc!$E$7="","",IF(_calc!$E$7&lt;=500,IF(LEN(INDEX('Our policies'!$H$4:$H$503,_calc!$E$7))=0,"",INDEX('Our policies'!$H$4:$H$503,_calc!$E$7)),""))</f>
        <v/>
      </c>
      <c r="K5" s="46">
        <f>IF(_calc!$E$7="","",IF(_calc!$E$7&lt;=500,IF(LEN(INDEX('Our policies'!$P$4:$P$503,_calc!$E$7))=0,"",INDEX('Our policies'!$P$4:$P$503,_calc!$E$7)),IF(LEN(INDEX('Vendor COIs'!$N$4:$N$503,(_calc!$E$7-500)))=0,"",INDEX('Vendor COIs'!$N$4:$N$503,(_calc!$E$7-500)))))</f>
        <v/>
      </c>
    </row>
    <row r="6">
      <c r="A6" s="46">
        <f>IF(_calc!$E$8="","",IF(_calc!$E$8&lt;=500,IF(LEN(INDEX('Our policies'!$A$4:$A$503,_calc!$E$8))=0,"",INDEX('Our policies'!$A$4:$A$503,_calc!$E$8)),"COI – "&amp;IF(LEN(INDEX('Vendor COIs'!$A$4:$A$503,(_calc!$E$8-500)))=0,"",INDEX('Vendor COIs'!$A$4:$A$503,(_calc!$E$8-500)))&amp;" – "&amp;IF(LEN(INDEX('Vendor COIs'!$B$4:$B$503,(_calc!$E$8-500)))=0,"",INDEX('Vendor COIs'!$B$4:$B$503,(_calc!$E$8-500)))))</f>
        <v/>
      </c>
      <c r="B6" s="46">
        <f>IF(_calc!$E$8="","",IF(_calc!$E$8&lt;=500,IF(ISNUMBER(INDEX('Our policies'!$J$4:$J$503,_calc!$E$8)),TEXT(INDEX('Our policies'!$J$4:$J$503,_calc!$E$8),"yyyy-mm-dd"),""),IF(ISNUMBER(INDEX('Vendor COIs'!$H$4:$H$503,(_calc!$E$8-500))),TEXT(INDEX('Vendor COIs'!$H$4:$H$503,(_calc!$E$8-500)),"yyyy-mm-dd"),"")))</f>
        <v/>
      </c>
      <c r="C6" s="46">
        <f>IF(_calc!$E$8="","",IF(_calc!$E$8&lt;=500,"Insurance","Certificate of insurance"))</f>
        <v/>
      </c>
      <c r="D6" s="46">
        <f>IF(_calc!$E$8="","",IF(_calc!$E$8&lt;=500,IF(ISNUMBER(INDEX('Our policies'!$I$4:$I$503,_calc!$E$8)),TEXT(INDEX('Our policies'!$I$4:$I$503,_calc!$E$8),"yyyy-mm-dd"),""),""))</f>
        <v/>
      </c>
      <c r="E6" s="46">
        <f>IF(_calc!$E$8="","",IF(_calc!$E$8&lt;=500,IF(LEN(INDEX('Our policies'!$Q$4:$Q$503,_calc!$E$8))=0,"",INDEX('Our policies'!$Q$4:$Q$503,_calc!$E$8)),"Medium"))</f>
        <v/>
      </c>
      <c r="F6" s="46">
        <f>IF(_calc!$E$8="","",IF(_calc!$E$8&lt;=500,TRIM(IF(LEN(IF(LEN(INDEX('Our policies'!$B$4:$B$503,_calc!$E$8))=0,"",INDEX('Our policies'!$B$4:$B$503,_calc!$E$8)))=0,"","Cover: "&amp;IF(LEN(INDEX('Our policies'!$B$4:$B$503,_calc!$E$8))=0,"",INDEX('Our policies'!$B$4:$B$503,_calc!$E$8))&amp;". ")&amp;IF(LEN(IF(LEN(INDEX('Our policies'!$C$4:$C$503,_calc!$E$8))=0,"",INDEX('Our policies'!$C$4:$C$503,_calc!$E$8)))=0,"","Insurer: "&amp;IF(LEN(INDEX('Our policies'!$C$4:$C$503,_calc!$E$8))=0,"",INDEX('Our policies'!$C$4:$C$503,_calc!$E$8))&amp;". ")&amp;IF(LEN(IF(LEN(INDEX('Our policies'!$D$4:$D$503,_calc!$E$8))=0,"",INDEX('Our policies'!$D$4:$D$503,_calc!$E$8)))=0,"","Broker: "&amp;IF(LEN(INDEX('Our policies'!$D$4:$D$503,_calc!$E$8))=0,"",INDEX('Our policies'!$D$4:$D$503,_calc!$E$8))&amp;". ")&amp;IF(LEN(IF(LEN(INDEX('Our policies'!$E$4:$E$503,_calc!$E$8))=0,"",INDEX('Our policies'!$E$4:$E$503,_calc!$E$8)))=0,"","Policy no.: "&amp;IF(LEN(INDEX('Our policies'!$E$4:$E$503,_calc!$E$8))=0,"",INDEX('Our policies'!$E$4:$E$503,_calc!$E$8))&amp;". ")&amp;IF(LEN(IF(LEN(INDEX('Our policies'!$S$4:$S$503,_calc!$E$8))=0,"",INDEX('Our policies'!$S$4:$S$503,_calc!$E$8)))=0,"",IF(LEN(INDEX('Our policies'!$S$4:$S$503,_calc!$E$8))=0,"",INDEX('Our policies'!$S$4:$S$503,_calc!$E$8)))),TRIM(IF(LEN(IF(LEN(INDEX('Vendor COIs'!$C$4:$C$503,(_calc!$E$8-500)))=0,"",INDEX('Vendor COIs'!$C$4:$C$503,(_calc!$E$8-500))))=0,"","Insurer: "&amp;IF(LEN(INDEX('Vendor COIs'!$C$4:$C$503,(_calc!$E$8-500)))=0,"",INDEX('Vendor COIs'!$C$4:$C$503,(_calc!$E$8-500)))&amp;". ")&amp;IF(LEN(IF(LEN(INDEX('Vendor COIs'!$D$4:$D$503,(_calc!$E$8-500)))=0,"",INDEX('Vendor COIs'!$D$4:$D$503,(_calc!$E$8-500))))=0,"","Policy no.: "&amp;IF(LEN(INDEX('Vendor COIs'!$D$4:$D$503,(_calc!$E$8-500)))=0,"",INDEX('Vendor COIs'!$D$4:$D$503,(_calc!$E$8-500)))&amp;". ")&amp;IF(LEN(IF(LEN(INDEX('Vendor COIs'!$F$4:$F$503,(_calc!$E$8-500)))=0,"",INDEX('Vendor COIs'!$F$4:$F$503,(_calc!$E$8-500))))=0,"","Meets minimum: "&amp;IF(LEN(INDEX('Vendor COIs'!$F$4:$F$503,(_calc!$E$8-500)))=0,"",INDEX('Vendor COIs'!$F$4:$F$503,(_calc!$E$8-500)))&amp;". ")&amp;IF(LEN(IF(LEN(INDEX('Vendor COIs'!$G$4:$G$503,(_calc!$E$8-500)))=0,"",INDEX('Vendor COIs'!$G$4:$G$503,(_calc!$E$8-500))))=0,"","Additional insured: "&amp;IF(LEN(INDEX('Vendor COIs'!$G$4:$G$503,(_calc!$E$8-500)))=0,"",INDEX('Vendor COIs'!$G$4:$G$503,(_calc!$E$8-500)))&amp;". ")&amp;IF(LEN(IF(LEN(INDEX('Vendor COIs'!$M$4:$M$503,(_calc!$E$8-500)))=0,"",INDEX('Vendor COIs'!$M$4:$M$503,(_calc!$E$8-500))))=0,"","Vendor contact: "&amp;IF(LEN(INDEX('Vendor COIs'!$M$4:$M$503,(_calc!$E$8-500)))=0,"",INDEX('Vendor COIs'!$M$4:$M$503,(_calc!$E$8-500)))&amp;". ")&amp;IF(LEN(IF(LEN(INDEX('Vendor COIs'!$P$4:$P$503,(_calc!$E$8-500)))=0,"",INDEX('Vendor COIs'!$P$4:$P$503,(_calc!$E$8-500))))=0,"",IF(LEN(INDEX('Vendor COIs'!$P$4:$P$503,(_calc!$E$8-500)))=0,"",INDEX('Vendor COIs'!$P$4:$P$503,(_calc!$E$8-500)))))))</f>
        <v/>
      </c>
      <c r="G6" s="46">
        <f>IF(_calc!$E$8="","",IF(_calc!$E$8&lt;=500,IF(LEN(INDEX('Our policies'!$R$4:$R$503,_calc!$E$8))=0,"",INDEX('Our policies'!$R$4:$R$503,_calc!$E$8)),IF(LEN(INDEX('Vendor COIs'!$O$4:$O$503,(_calc!$E$8-500)))=0,"",INDEX('Vendor COIs'!$O$4:$O$503,(_calc!$E$8-500)))))</f>
        <v/>
      </c>
      <c r="H6" s="46">
        <f>IF(_calc!$E$8="","",IF(_calc!$E$8&lt;=500,IF(LEN(INDEX('Our policies'!$G$4:$G$503,_calc!$E$8))=0,"",INDEX('Our policies'!$G$4:$G$503,_calc!$E$8)),""))</f>
        <v/>
      </c>
      <c r="I6" s="46">
        <f>IF(_calc!$E$8="","",IF(_calc!$E$8&lt;=500,IF(LEN(INDEX('Our policies'!$H$4:$H$503,_calc!$E$8))=0,"",INDEX('Our policies'!$H$4:$H$503,_calc!$E$8)),""))</f>
        <v/>
      </c>
      <c r="K6" s="46">
        <f>IF(_calc!$E$8="","",IF(_calc!$E$8&lt;=500,IF(LEN(INDEX('Our policies'!$P$4:$P$503,_calc!$E$8))=0,"",INDEX('Our policies'!$P$4:$P$503,_calc!$E$8)),IF(LEN(INDEX('Vendor COIs'!$N$4:$N$503,(_calc!$E$8-500)))=0,"",INDEX('Vendor COIs'!$N$4:$N$503,(_calc!$E$8-500)))))</f>
        <v/>
      </c>
    </row>
    <row r="7">
      <c r="A7" s="46">
        <f>IF(_calc!$E$9="","",IF(_calc!$E$9&lt;=500,IF(LEN(INDEX('Our policies'!$A$4:$A$503,_calc!$E$9))=0,"",INDEX('Our policies'!$A$4:$A$503,_calc!$E$9)),"COI – "&amp;IF(LEN(INDEX('Vendor COIs'!$A$4:$A$503,(_calc!$E$9-500)))=0,"",INDEX('Vendor COIs'!$A$4:$A$503,(_calc!$E$9-500)))&amp;" – "&amp;IF(LEN(INDEX('Vendor COIs'!$B$4:$B$503,(_calc!$E$9-500)))=0,"",INDEX('Vendor COIs'!$B$4:$B$503,(_calc!$E$9-500)))))</f>
        <v/>
      </c>
      <c r="B7" s="46">
        <f>IF(_calc!$E$9="","",IF(_calc!$E$9&lt;=500,IF(ISNUMBER(INDEX('Our policies'!$J$4:$J$503,_calc!$E$9)),TEXT(INDEX('Our policies'!$J$4:$J$503,_calc!$E$9),"yyyy-mm-dd"),""),IF(ISNUMBER(INDEX('Vendor COIs'!$H$4:$H$503,(_calc!$E$9-500))),TEXT(INDEX('Vendor COIs'!$H$4:$H$503,(_calc!$E$9-500)),"yyyy-mm-dd"),"")))</f>
        <v/>
      </c>
      <c r="C7" s="46">
        <f>IF(_calc!$E$9="","",IF(_calc!$E$9&lt;=500,"Insurance","Certificate of insurance"))</f>
        <v/>
      </c>
      <c r="D7" s="46">
        <f>IF(_calc!$E$9="","",IF(_calc!$E$9&lt;=500,IF(ISNUMBER(INDEX('Our policies'!$I$4:$I$503,_calc!$E$9)),TEXT(INDEX('Our policies'!$I$4:$I$503,_calc!$E$9),"yyyy-mm-dd"),""),""))</f>
        <v/>
      </c>
      <c r="E7" s="46">
        <f>IF(_calc!$E$9="","",IF(_calc!$E$9&lt;=500,IF(LEN(INDEX('Our policies'!$Q$4:$Q$503,_calc!$E$9))=0,"",INDEX('Our policies'!$Q$4:$Q$503,_calc!$E$9)),"Medium"))</f>
        <v/>
      </c>
      <c r="F7" s="46">
        <f>IF(_calc!$E$9="","",IF(_calc!$E$9&lt;=500,TRIM(IF(LEN(IF(LEN(INDEX('Our policies'!$B$4:$B$503,_calc!$E$9))=0,"",INDEX('Our policies'!$B$4:$B$503,_calc!$E$9)))=0,"","Cover: "&amp;IF(LEN(INDEX('Our policies'!$B$4:$B$503,_calc!$E$9))=0,"",INDEX('Our policies'!$B$4:$B$503,_calc!$E$9))&amp;". ")&amp;IF(LEN(IF(LEN(INDEX('Our policies'!$C$4:$C$503,_calc!$E$9))=0,"",INDEX('Our policies'!$C$4:$C$503,_calc!$E$9)))=0,"","Insurer: "&amp;IF(LEN(INDEX('Our policies'!$C$4:$C$503,_calc!$E$9))=0,"",INDEX('Our policies'!$C$4:$C$503,_calc!$E$9))&amp;". ")&amp;IF(LEN(IF(LEN(INDEX('Our policies'!$D$4:$D$503,_calc!$E$9))=0,"",INDEX('Our policies'!$D$4:$D$503,_calc!$E$9)))=0,"","Broker: "&amp;IF(LEN(INDEX('Our policies'!$D$4:$D$503,_calc!$E$9))=0,"",INDEX('Our policies'!$D$4:$D$503,_calc!$E$9))&amp;". ")&amp;IF(LEN(IF(LEN(INDEX('Our policies'!$E$4:$E$503,_calc!$E$9))=0,"",INDEX('Our policies'!$E$4:$E$503,_calc!$E$9)))=0,"","Policy no.: "&amp;IF(LEN(INDEX('Our policies'!$E$4:$E$503,_calc!$E$9))=0,"",INDEX('Our policies'!$E$4:$E$503,_calc!$E$9))&amp;". ")&amp;IF(LEN(IF(LEN(INDEX('Our policies'!$S$4:$S$503,_calc!$E$9))=0,"",INDEX('Our policies'!$S$4:$S$503,_calc!$E$9)))=0,"",IF(LEN(INDEX('Our policies'!$S$4:$S$503,_calc!$E$9))=0,"",INDEX('Our policies'!$S$4:$S$503,_calc!$E$9)))),TRIM(IF(LEN(IF(LEN(INDEX('Vendor COIs'!$C$4:$C$503,(_calc!$E$9-500)))=0,"",INDEX('Vendor COIs'!$C$4:$C$503,(_calc!$E$9-500))))=0,"","Insurer: "&amp;IF(LEN(INDEX('Vendor COIs'!$C$4:$C$503,(_calc!$E$9-500)))=0,"",INDEX('Vendor COIs'!$C$4:$C$503,(_calc!$E$9-500)))&amp;". ")&amp;IF(LEN(IF(LEN(INDEX('Vendor COIs'!$D$4:$D$503,(_calc!$E$9-500)))=0,"",INDEX('Vendor COIs'!$D$4:$D$503,(_calc!$E$9-500))))=0,"","Policy no.: "&amp;IF(LEN(INDEX('Vendor COIs'!$D$4:$D$503,(_calc!$E$9-500)))=0,"",INDEX('Vendor COIs'!$D$4:$D$503,(_calc!$E$9-500)))&amp;". ")&amp;IF(LEN(IF(LEN(INDEX('Vendor COIs'!$F$4:$F$503,(_calc!$E$9-500)))=0,"",INDEX('Vendor COIs'!$F$4:$F$503,(_calc!$E$9-500))))=0,"","Meets minimum: "&amp;IF(LEN(INDEX('Vendor COIs'!$F$4:$F$503,(_calc!$E$9-500)))=0,"",INDEX('Vendor COIs'!$F$4:$F$503,(_calc!$E$9-500)))&amp;". ")&amp;IF(LEN(IF(LEN(INDEX('Vendor COIs'!$G$4:$G$503,(_calc!$E$9-500)))=0,"",INDEX('Vendor COIs'!$G$4:$G$503,(_calc!$E$9-500))))=0,"","Additional insured: "&amp;IF(LEN(INDEX('Vendor COIs'!$G$4:$G$503,(_calc!$E$9-500)))=0,"",INDEX('Vendor COIs'!$G$4:$G$503,(_calc!$E$9-500)))&amp;". ")&amp;IF(LEN(IF(LEN(INDEX('Vendor COIs'!$M$4:$M$503,(_calc!$E$9-500)))=0,"",INDEX('Vendor COIs'!$M$4:$M$503,(_calc!$E$9-500))))=0,"","Vendor contact: "&amp;IF(LEN(INDEX('Vendor COIs'!$M$4:$M$503,(_calc!$E$9-500)))=0,"",INDEX('Vendor COIs'!$M$4:$M$503,(_calc!$E$9-500)))&amp;". ")&amp;IF(LEN(IF(LEN(INDEX('Vendor COIs'!$P$4:$P$503,(_calc!$E$9-500)))=0,"",INDEX('Vendor COIs'!$P$4:$P$503,(_calc!$E$9-500))))=0,"",IF(LEN(INDEX('Vendor COIs'!$P$4:$P$503,(_calc!$E$9-500)))=0,"",INDEX('Vendor COIs'!$P$4:$P$503,(_calc!$E$9-500)))))))</f>
        <v/>
      </c>
      <c r="G7" s="46">
        <f>IF(_calc!$E$9="","",IF(_calc!$E$9&lt;=500,IF(LEN(INDEX('Our policies'!$R$4:$R$503,_calc!$E$9))=0,"",INDEX('Our policies'!$R$4:$R$503,_calc!$E$9)),IF(LEN(INDEX('Vendor COIs'!$O$4:$O$503,(_calc!$E$9-500)))=0,"",INDEX('Vendor COIs'!$O$4:$O$503,(_calc!$E$9-500)))))</f>
        <v/>
      </c>
      <c r="H7" s="46">
        <f>IF(_calc!$E$9="","",IF(_calc!$E$9&lt;=500,IF(LEN(INDEX('Our policies'!$G$4:$G$503,_calc!$E$9))=0,"",INDEX('Our policies'!$G$4:$G$503,_calc!$E$9)),""))</f>
        <v/>
      </c>
      <c r="I7" s="46">
        <f>IF(_calc!$E$9="","",IF(_calc!$E$9&lt;=500,IF(LEN(INDEX('Our policies'!$H$4:$H$503,_calc!$E$9))=0,"",INDEX('Our policies'!$H$4:$H$503,_calc!$E$9)),""))</f>
        <v/>
      </c>
      <c r="K7" s="46">
        <f>IF(_calc!$E$9="","",IF(_calc!$E$9&lt;=500,IF(LEN(INDEX('Our policies'!$P$4:$P$503,_calc!$E$9))=0,"",INDEX('Our policies'!$P$4:$P$503,_calc!$E$9)),IF(LEN(INDEX('Vendor COIs'!$N$4:$N$503,(_calc!$E$9-500)))=0,"",INDEX('Vendor COIs'!$N$4:$N$503,(_calc!$E$9-500)))))</f>
        <v/>
      </c>
    </row>
    <row r="8">
      <c r="A8" s="46">
        <f>IF(_calc!$E$10="","",IF(_calc!$E$10&lt;=500,IF(LEN(INDEX('Our policies'!$A$4:$A$503,_calc!$E$10))=0,"",INDEX('Our policies'!$A$4:$A$503,_calc!$E$10)),"COI – "&amp;IF(LEN(INDEX('Vendor COIs'!$A$4:$A$503,(_calc!$E$10-500)))=0,"",INDEX('Vendor COIs'!$A$4:$A$503,(_calc!$E$10-500)))&amp;" – "&amp;IF(LEN(INDEX('Vendor COIs'!$B$4:$B$503,(_calc!$E$10-500)))=0,"",INDEX('Vendor COIs'!$B$4:$B$503,(_calc!$E$10-500)))))</f>
        <v/>
      </c>
      <c r="B8" s="46">
        <f>IF(_calc!$E$10="","",IF(_calc!$E$10&lt;=500,IF(ISNUMBER(INDEX('Our policies'!$J$4:$J$503,_calc!$E$10)),TEXT(INDEX('Our policies'!$J$4:$J$503,_calc!$E$10),"yyyy-mm-dd"),""),IF(ISNUMBER(INDEX('Vendor COIs'!$H$4:$H$503,(_calc!$E$10-500))),TEXT(INDEX('Vendor COIs'!$H$4:$H$503,(_calc!$E$10-500)),"yyyy-mm-dd"),"")))</f>
        <v/>
      </c>
      <c r="C8" s="46">
        <f>IF(_calc!$E$10="","",IF(_calc!$E$10&lt;=500,"Insurance","Certificate of insurance"))</f>
        <v/>
      </c>
      <c r="D8" s="46">
        <f>IF(_calc!$E$10="","",IF(_calc!$E$10&lt;=500,IF(ISNUMBER(INDEX('Our policies'!$I$4:$I$503,_calc!$E$10)),TEXT(INDEX('Our policies'!$I$4:$I$503,_calc!$E$10),"yyyy-mm-dd"),""),""))</f>
        <v/>
      </c>
      <c r="E8" s="46">
        <f>IF(_calc!$E$10="","",IF(_calc!$E$10&lt;=500,IF(LEN(INDEX('Our policies'!$Q$4:$Q$503,_calc!$E$10))=0,"",INDEX('Our policies'!$Q$4:$Q$503,_calc!$E$10)),"Medium"))</f>
        <v/>
      </c>
      <c r="F8" s="46">
        <f>IF(_calc!$E$10="","",IF(_calc!$E$10&lt;=500,TRIM(IF(LEN(IF(LEN(INDEX('Our policies'!$B$4:$B$503,_calc!$E$10))=0,"",INDEX('Our policies'!$B$4:$B$503,_calc!$E$10)))=0,"","Cover: "&amp;IF(LEN(INDEX('Our policies'!$B$4:$B$503,_calc!$E$10))=0,"",INDEX('Our policies'!$B$4:$B$503,_calc!$E$10))&amp;". ")&amp;IF(LEN(IF(LEN(INDEX('Our policies'!$C$4:$C$503,_calc!$E$10))=0,"",INDEX('Our policies'!$C$4:$C$503,_calc!$E$10)))=0,"","Insurer: "&amp;IF(LEN(INDEX('Our policies'!$C$4:$C$503,_calc!$E$10))=0,"",INDEX('Our policies'!$C$4:$C$503,_calc!$E$10))&amp;". ")&amp;IF(LEN(IF(LEN(INDEX('Our policies'!$D$4:$D$503,_calc!$E$10))=0,"",INDEX('Our policies'!$D$4:$D$503,_calc!$E$10)))=0,"","Broker: "&amp;IF(LEN(INDEX('Our policies'!$D$4:$D$503,_calc!$E$10))=0,"",INDEX('Our policies'!$D$4:$D$503,_calc!$E$10))&amp;". ")&amp;IF(LEN(IF(LEN(INDEX('Our policies'!$E$4:$E$503,_calc!$E$10))=0,"",INDEX('Our policies'!$E$4:$E$503,_calc!$E$10)))=0,"","Policy no.: "&amp;IF(LEN(INDEX('Our policies'!$E$4:$E$503,_calc!$E$10))=0,"",INDEX('Our policies'!$E$4:$E$503,_calc!$E$10))&amp;". ")&amp;IF(LEN(IF(LEN(INDEX('Our policies'!$S$4:$S$503,_calc!$E$10))=0,"",INDEX('Our policies'!$S$4:$S$503,_calc!$E$10)))=0,"",IF(LEN(INDEX('Our policies'!$S$4:$S$503,_calc!$E$10))=0,"",INDEX('Our policies'!$S$4:$S$503,_calc!$E$10)))),TRIM(IF(LEN(IF(LEN(INDEX('Vendor COIs'!$C$4:$C$503,(_calc!$E$10-500)))=0,"",INDEX('Vendor COIs'!$C$4:$C$503,(_calc!$E$10-500))))=0,"","Insurer: "&amp;IF(LEN(INDEX('Vendor COIs'!$C$4:$C$503,(_calc!$E$10-500)))=0,"",INDEX('Vendor COIs'!$C$4:$C$503,(_calc!$E$10-500)))&amp;". ")&amp;IF(LEN(IF(LEN(INDEX('Vendor COIs'!$D$4:$D$503,(_calc!$E$10-500)))=0,"",INDEX('Vendor COIs'!$D$4:$D$503,(_calc!$E$10-500))))=0,"","Policy no.: "&amp;IF(LEN(INDEX('Vendor COIs'!$D$4:$D$503,(_calc!$E$10-500)))=0,"",INDEX('Vendor COIs'!$D$4:$D$503,(_calc!$E$10-500)))&amp;". ")&amp;IF(LEN(IF(LEN(INDEX('Vendor COIs'!$F$4:$F$503,(_calc!$E$10-500)))=0,"",INDEX('Vendor COIs'!$F$4:$F$503,(_calc!$E$10-500))))=0,"","Meets minimum: "&amp;IF(LEN(INDEX('Vendor COIs'!$F$4:$F$503,(_calc!$E$10-500)))=0,"",INDEX('Vendor COIs'!$F$4:$F$503,(_calc!$E$10-500)))&amp;". ")&amp;IF(LEN(IF(LEN(INDEX('Vendor COIs'!$G$4:$G$503,(_calc!$E$10-500)))=0,"",INDEX('Vendor COIs'!$G$4:$G$503,(_calc!$E$10-500))))=0,"","Additional insured: "&amp;IF(LEN(INDEX('Vendor COIs'!$G$4:$G$503,(_calc!$E$10-500)))=0,"",INDEX('Vendor COIs'!$G$4:$G$503,(_calc!$E$10-500)))&amp;". ")&amp;IF(LEN(IF(LEN(INDEX('Vendor COIs'!$M$4:$M$503,(_calc!$E$10-500)))=0,"",INDEX('Vendor COIs'!$M$4:$M$503,(_calc!$E$10-500))))=0,"","Vendor contact: "&amp;IF(LEN(INDEX('Vendor COIs'!$M$4:$M$503,(_calc!$E$10-500)))=0,"",INDEX('Vendor COIs'!$M$4:$M$503,(_calc!$E$10-500)))&amp;". ")&amp;IF(LEN(IF(LEN(INDEX('Vendor COIs'!$P$4:$P$503,(_calc!$E$10-500)))=0,"",INDEX('Vendor COIs'!$P$4:$P$503,(_calc!$E$10-500))))=0,"",IF(LEN(INDEX('Vendor COIs'!$P$4:$P$503,(_calc!$E$10-500)))=0,"",INDEX('Vendor COIs'!$P$4:$P$503,(_calc!$E$10-500)))))))</f>
        <v/>
      </c>
      <c r="G8" s="46">
        <f>IF(_calc!$E$10="","",IF(_calc!$E$10&lt;=500,IF(LEN(INDEX('Our policies'!$R$4:$R$503,_calc!$E$10))=0,"",INDEX('Our policies'!$R$4:$R$503,_calc!$E$10)),IF(LEN(INDEX('Vendor COIs'!$O$4:$O$503,(_calc!$E$10-500)))=0,"",INDEX('Vendor COIs'!$O$4:$O$503,(_calc!$E$10-500)))))</f>
        <v/>
      </c>
      <c r="H8" s="46">
        <f>IF(_calc!$E$10="","",IF(_calc!$E$10&lt;=500,IF(LEN(INDEX('Our policies'!$G$4:$G$503,_calc!$E$10))=0,"",INDEX('Our policies'!$G$4:$G$503,_calc!$E$10)),""))</f>
        <v/>
      </c>
      <c r="I8" s="46">
        <f>IF(_calc!$E$10="","",IF(_calc!$E$10&lt;=500,IF(LEN(INDEX('Our policies'!$H$4:$H$503,_calc!$E$10))=0,"",INDEX('Our policies'!$H$4:$H$503,_calc!$E$10)),""))</f>
        <v/>
      </c>
      <c r="K8" s="46">
        <f>IF(_calc!$E$10="","",IF(_calc!$E$10&lt;=500,IF(LEN(INDEX('Our policies'!$P$4:$P$503,_calc!$E$10))=0,"",INDEX('Our policies'!$P$4:$P$503,_calc!$E$10)),IF(LEN(INDEX('Vendor COIs'!$N$4:$N$503,(_calc!$E$10-500)))=0,"",INDEX('Vendor COIs'!$N$4:$N$503,(_calc!$E$10-500)))))</f>
        <v/>
      </c>
    </row>
    <row r="9">
      <c r="A9" s="46">
        <f>IF(_calc!$E$11="","",IF(_calc!$E$11&lt;=500,IF(LEN(INDEX('Our policies'!$A$4:$A$503,_calc!$E$11))=0,"",INDEX('Our policies'!$A$4:$A$503,_calc!$E$11)),"COI – "&amp;IF(LEN(INDEX('Vendor COIs'!$A$4:$A$503,(_calc!$E$11-500)))=0,"",INDEX('Vendor COIs'!$A$4:$A$503,(_calc!$E$11-500)))&amp;" – "&amp;IF(LEN(INDEX('Vendor COIs'!$B$4:$B$503,(_calc!$E$11-500)))=0,"",INDEX('Vendor COIs'!$B$4:$B$503,(_calc!$E$11-500)))))</f>
        <v/>
      </c>
      <c r="B9" s="46">
        <f>IF(_calc!$E$11="","",IF(_calc!$E$11&lt;=500,IF(ISNUMBER(INDEX('Our policies'!$J$4:$J$503,_calc!$E$11)),TEXT(INDEX('Our policies'!$J$4:$J$503,_calc!$E$11),"yyyy-mm-dd"),""),IF(ISNUMBER(INDEX('Vendor COIs'!$H$4:$H$503,(_calc!$E$11-500))),TEXT(INDEX('Vendor COIs'!$H$4:$H$503,(_calc!$E$11-500)),"yyyy-mm-dd"),"")))</f>
        <v/>
      </c>
      <c r="C9" s="46">
        <f>IF(_calc!$E$11="","",IF(_calc!$E$11&lt;=500,"Insurance","Certificate of insurance"))</f>
        <v/>
      </c>
      <c r="D9" s="46">
        <f>IF(_calc!$E$11="","",IF(_calc!$E$11&lt;=500,IF(ISNUMBER(INDEX('Our policies'!$I$4:$I$503,_calc!$E$11)),TEXT(INDEX('Our policies'!$I$4:$I$503,_calc!$E$11),"yyyy-mm-dd"),""),""))</f>
        <v/>
      </c>
      <c r="E9" s="46">
        <f>IF(_calc!$E$11="","",IF(_calc!$E$11&lt;=500,IF(LEN(INDEX('Our policies'!$Q$4:$Q$503,_calc!$E$11))=0,"",INDEX('Our policies'!$Q$4:$Q$503,_calc!$E$11)),"Medium"))</f>
        <v/>
      </c>
      <c r="F9" s="46">
        <f>IF(_calc!$E$11="","",IF(_calc!$E$11&lt;=500,TRIM(IF(LEN(IF(LEN(INDEX('Our policies'!$B$4:$B$503,_calc!$E$11))=0,"",INDEX('Our policies'!$B$4:$B$503,_calc!$E$11)))=0,"","Cover: "&amp;IF(LEN(INDEX('Our policies'!$B$4:$B$503,_calc!$E$11))=0,"",INDEX('Our policies'!$B$4:$B$503,_calc!$E$11))&amp;". ")&amp;IF(LEN(IF(LEN(INDEX('Our policies'!$C$4:$C$503,_calc!$E$11))=0,"",INDEX('Our policies'!$C$4:$C$503,_calc!$E$11)))=0,"","Insurer: "&amp;IF(LEN(INDEX('Our policies'!$C$4:$C$503,_calc!$E$11))=0,"",INDEX('Our policies'!$C$4:$C$503,_calc!$E$11))&amp;". ")&amp;IF(LEN(IF(LEN(INDEX('Our policies'!$D$4:$D$503,_calc!$E$11))=0,"",INDEX('Our policies'!$D$4:$D$503,_calc!$E$11)))=0,"","Broker: "&amp;IF(LEN(INDEX('Our policies'!$D$4:$D$503,_calc!$E$11))=0,"",INDEX('Our policies'!$D$4:$D$503,_calc!$E$11))&amp;". ")&amp;IF(LEN(IF(LEN(INDEX('Our policies'!$E$4:$E$503,_calc!$E$11))=0,"",INDEX('Our policies'!$E$4:$E$503,_calc!$E$11)))=0,"","Policy no.: "&amp;IF(LEN(INDEX('Our policies'!$E$4:$E$503,_calc!$E$11))=0,"",INDEX('Our policies'!$E$4:$E$503,_calc!$E$11))&amp;". ")&amp;IF(LEN(IF(LEN(INDEX('Our policies'!$S$4:$S$503,_calc!$E$11))=0,"",INDEX('Our policies'!$S$4:$S$503,_calc!$E$11)))=0,"",IF(LEN(INDEX('Our policies'!$S$4:$S$503,_calc!$E$11))=0,"",INDEX('Our policies'!$S$4:$S$503,_calc!$E$11)))),TRIM(IF(LEN(IF(LEN(INDEX('Vendor COIs'!$C$4:$C$503,(_calc!$E$11-500)))=0,"",INDEX('Vendor COIs'!$C$4:$C$503,(_calc!$E$11-500))))=0,"","Insurer: "&amp;IF(LEN(INDEX('Vendor COIs'!$C$4:$C$503,(_calc!$E$11-500)))=0,"",INDEX('Vendor COIs'!$C$4:$C$503,(_calc!$E$11-500)))&amp;". ")&amp;IF(LEN(IF(LEN(INDEX('Vendor COIs'!$D$4:$D$503,(_calc!$E$11-500)))=0,"",INDEX('Vendor COIs'!$D$4:$D$503,(_calc!$E$11-500))))=0,"","Policy no.: "&amp;IF(LEN(INDEX('Vendor COIs'!$D$4:$D$503,(_calc!$E$11-500)))=0,"",INDEX('Vendor COIs'!$D$4:$D$503,(_calc!$E$11-500)))&amp;". ")&amp;IF(LEN(IF(LEN(INDEX('Vendor COIs'!$F$4:$F$503,(_calc!$E$11-500)))=0,"",INDEX('Vendor COIs'!$F$4:$F$503,(_calc!$E$11-500))))=0,"","Meets minimum: "&amp;IF(LEN(INDEX('Vendor COIs'!$F$4:$F$503,(_calc!$E$11-500)))=0,"",INDEX('Vendor COIs'!$F$4:$F$503,(_calc!$E$11-500)))&amp;". ")&amp;IF(LEN(IF(LEN(INDEX('Vendor COIs'!$G$4:$G$503,(_calc!$E$11-500)))=0,"",INDEX('Vendor COIs'!$G$4:$G$503,(_calc!$E$11-500))))=0,"","Additional insured: "&amp;IF(LEN(INDEX('Vendor COIs'!$G$4:$G$503,(_calc!$E$11-500)))=0,"",INDEX('Vendor COIs'!$G$4:$G$503,(_calc!$E$11-500)))&amp;". ")&amp;IF(LEN(IF(LEN(INDEX('Vendor COIs'!$M$4:$M$503,(_calc!$E$11-500)))=0,"",INDEX('Vendor COIs'!$M$4:$M$503,(_calc!$E$11-500))))=0,"","Vendor contact: "&amp;IF(LEN(INDEX('Vendor COIs'!$M$4:$M$503,(_calc!$E$11-500)))=0,"",INDEX('Vendor COIs'!$M$4:$M$503,(_calc!$E$11-500)))&amp;". ")&amp;IF(LEN(IF(LEN(INDEX('Vendor COIs'!$P$4:$P$503,(_calc!$E$11-500)))=0,"",INDEX('Vendor COIs'!$P$4:$P$503,(_calc!$E$11-500))))=0,"",IF(LEN(INDEX('Vendor COIs'!$P$4:$P$503,(_calc!$E$11-500)))=0,"",INDEX('Vendor COIs'!$P$4:$P$503,(_calc!$E$11-500)))))))</f>
        <v/>
      </c>
      <c r="G9" s="46">
        <f>IF(_calc!$E$11="","",IF(_calc!$E$11&lt;=500,IF(LEN(INDEX('Our policies'!$R$4:$R$503,_calc!$E$11))=0,"",INDEX('Our policies'!$R$4:$R$503,_calc!$E$11)),IF(LEN(INDEX('Vendor COIs'!$O$4:$O$503,(_calc!$E$11-500)))=0,"",INDEX('Vendor COIs'!$O$4:$O$503,(_calc!$E$11-500)))))</f>
        <v/>
      </c>
      <c r="H9" s="46">
        <f>IF(_calc!$E$11="","",IF(_calc!$E$11&lt;=500,IF(LEN(INDEX('Our policies'!$G$4:$G$503,_calc!$E$11))=0,"",INDEX('Our policies'!$G$4:$G$503,_calc!$E$11)),""))</f>
        <v/>
      </c>
      <c r="I9" s="46">
        <f>IF(_calc!$E$11="","",IF(_calc!$E$11&lt;=500,IF(LEN(INDEX('Our policies'!$H$4:$H$503,_calc!$E$11))=0,"",INDEX('Our policies'!$H$4:$H$503,_calc!$E$11)),""))</f>
        <v/>
      </c>
      <c r="K9" s="46">
        <f>IF(_calc!$E$11="","",IF(_calc!$E$11&lt;=500,IF(LEN(INDEX('Our policies'!$P$4:$P$503,_calc!$E$11))=0,"",INDEX('Our policies'!$P$4:$P$503,_calc!$E$11)),IF(LEN(INDEX('Vendor COIs'!$N$4:$N$503,(_calc!$E$11-500)))=0,"",INDEX('Vendor COIs'!$N$4:$N$503,(_calc!$E$11-500)))))</f>
        <v/>
      </c>
    </row>
    <row r="10">
      <c r="A10" s="46">
        <f>IF(_calc!$E$12="","",IF(_calc!$E$12&lt;=500,IF(LEN(INDEX('Our policies'!$A$4:$A$503,_calc!$E$12))=0,"",INDEX('Our policies'!$A$4:$A$503,_calc!$E$12)),"COI – "&amp;IF(LEN(INDEX('Vendor COIs'!$A$4:$A$503,(_calc!$E$12-500)))=0,"",INDEX('Vendor COIs'!$A$4:$A$503,(_calc!$E$12-500)))&amp;" – "&amp;IF(LEN(INDEX('Vendor COIs'!$B$4:$B$503,(_calc!$E$12-500)))=0,"",INDEX('Vendor COIs'!$B$4:$B$503,(_calc!$E$12-500)))))</f>
        <v/>
      </c>
      <c r="B10" s="46">
        <f>IF(_calc!$E$12="","",IF(_calc!$E$12&lt;=500,IF(ISNUMBER(INDEX('Our policies'!$J$4:$J$503,_calc!$E$12)),TEXT(INDEX('Our policies'!$J$4:$J$503,_calc!$E$12),"yyyy-mm-dd"),""),IF(ISNUMBER(INDEX('Vendor COIs'!$H$4:$H$503,(_calc!$E$12-500))),TEXT(INDEX('Vendor COIs'!$H$4:$H$503,(_calc!$E$12-500)),"yyyy-mm-dd"),"")))</f>
        <v/>
      </c>
      <c r="C10" s="46">
        <f>IF(_calc!$E$12="","",IF(_calc!$E$12&lt;=500,"Insurance","Certificate of insurance"))</f>
        <v/>
      </c>
      <c r="D10" s="46">
        <f>IF(_calc!$E$12="","",IF(_calc!$E$12&lt;=500,IF(ISNUMBER(INDEX('Our policies'!$I$4:$I$503,_calc!$E$12)),TEXT(INDEX('Our policies'!$I$4:$I$503,_calc!$E$12),"yyyy-mm-dd"),""),""))</f>
        <v/>
      </c>
      <c r="E10" s="46">
        <f>IF(_calc!$E$12="","",IF(_calc!$E$12&lt;=500,IF(LEN(INDEX('Our policies'!$Q$4:$Q$503,_calc!$E$12))=0,"",INDEX('Our policies'!$Q$4:$Q$503,_calc!$E$12)),"Medium"))</f>
        <v/>
      </c>
      <c r="F10" s="46">
        <f>IF(_calc!$E$12="","",IF(_calc!$E$12&lt;=500,TRIM(IF(LEN(IF(LEN(INDEX('Our policies'!$B$4:$B$503,_calc!$E$12))=0,"",INDEX('Our policies'!$B$4:$B$503,_calc!$E$12)))=0,"","Cover: "&amp;IF(LEN(INDEX('Our policies'!$B$4:$B$503,_calc!$E$12))=0,"",INDEX('Our policies'!$B$4:$B$503,_calc!$E$12))&amp;". ")&amp;IF(LEN(IF(LEN(INDEX('Our policies'!$C$4:$C$503,_calc!$E$12))=0,"",INDEX('Our policies'!$C$4:$C$503,_calc!$E$12)))=0,"","Insurer: "&amp;IF(LEN(INDEX('Our policies'!$C$4:$C$503,_calc!$E$12))=0,"",INDEX('Our policies'!$C$4:$C$503,_calc!$E$12))&amp;". ")&amp;IF(LEN(IF(LEN(INDEX('Our policies'!$D$4:$D$503,_calc!$E$12))=0,"",INDEX('Our policies'!$D$4:$D$503,_calc!$E$12)))=0,"","Broker: "&amp;IF(LEN(INDEX('Our policies'!$D$4:$D$503,_calc!$E$12))=0,"",INDEX('Our policies'!$D$4:$D$503,_calc!$E$12))&amp;". ")&amp;IF(LEN(IF(LEN(INDEX('Our policies'!$E$4:$E$503,_calc!$E$12))=0,"",INDEX('Our policies'!$E$4:$E$503,_calc!$E$12)))=0,"","Policy no.: "&amp;IF(LEN(INDEX('Our policies'!$E$4:$E$503,_calc!$E$12))=0,"",INDEX('Our policies'!$E$4:$E$503,_calc!$E$12))&amp;". ")&amp;IF(LEN(IF(LEN(INDEX('Our policies'!$S$4:$S$503,_calc!$E$12))=0,"",INDEX('Our policies'!$S$4:$S$503,_calc!$E$12)))=0,"",IF(LEN(INDEX('Our policies'!$S$4:$S$503,_calc!$E$12))=0,"",INDEX('Our policies'!$S$4:$S$503,_calc!$E$12)))),TRIM(IF(LEN(IF(LEN(INDEX('Vendor COIs'!$C$4:$C$503,(_calc!$E$12-500)))=0,"",INDEX('Vendor COIs'!$C$4:$C$503,(_calc!$E$12-500))))=0,"","Insurer: "&amp;IF(LEN(INDEX('Vendor COIs'!$C$4:$C$503,(_calc!$E$12-500)))=0,"",INDEX('Vendor COIs'!$C$4:$C$503,(_calc!$E$12-500)))&amp;". ")&amp;IF(LEN(IF(LEN(INDEX('Vendor COIs'!$D$4:$D$503,(_calc!$E$12-500)))=0,"",INDEX('Vendor COIs'!$D$4:$D$503,(_calc!$E$12-500))))=0,"","Policy no.: "&amp;IF(LEN(INDEX('Vendor COIs'!$D$4:$D$503,(_calc!$E$12-500)))=0,"",INDEX('Vendor COIs'!$D$4:$D$503,(_calc!$E$12-500)))&amp;". ")&amp;IF(LEN(IF(LEN(INDEX('Vendor COIs'!$F$4:$F$503,(_calc!$E$12-500)))=0,"",INDEX('Vendor COIs'!$F$4:$F$503,(_calc!$E$12-500))))=0,"","Meets minimum: "&amp;IF(LEN(INDEX('Vendor COIs'!$F$4:$F$503,(_calc!$E$12-500)))=0,"",INDEX('Vendor COIs'!$F$4:$F$503,(_calc!$E$12-500)))&amp;". ")&amp;IF(LEN(IF(LEN(INDEX('Vendor COIs'!$G$4:$G$503,(_calc!$E$12-500)))=0,"",INDEX('Vendor COIs'!$G$4:$G$503,(_calc!$E$12-500))))=0,"","Additional insured: "&amp;IF(LEN(INDEX('Vendor COIs'!$G$4:$G$503,(_calc!$E$12-500)))=0,"",INDEX('Vendor COIs'!$G$4:$G$503,(_calc!$E$12-500)))&amp;". ")&amp;IF(LEN(IF(LEN(INDEX('Vendor COIs'!$M$4:$M$503,(_calc!$E$12-500)))=0,"",INDEX('Vendor COIs'!$M$4:$M$503,(_calc!$E$12-500))))=0,"","Vendor contact: "&amp;IF(LEN(INDEX('Vendor COIs'!$M$4:$M$503,(_calc!$E$12-500)))=0,"",INDEX('Vendor COIs'!$M$4:$M$503,(_calc!$E$12-500)))&amp;". ")&amp;IF(LEN(IF(LEN(INDEX('Vendor COIs'!$P$4:$P$503,(_calc!$E$12-500)))=0,"",INDEX('Vendor COIs'!$P$4:$P$503,(_calc!$E$12-500))))=0,"",IF(LEN(INDEX('Vendor COIs'!$P$4:$P$503,(_calc!$E$12-500)))=0,"",INDEX('Vendor COIs'!$P$4:$P$503,(_calc!$E$12-500)))))))</f>
        <v/>
      </c>
      <c r="G10" s="46">
        <f>IF(_calc!$E$12="","",IF(_calc!$E$12&lt;=500,IF(LEN(INDEX('Our policies'!$R$4:$R$503,_calc!$E$12))=0,"",INDEX('Our policies'!$R$4:$R$503,_calc!$E$12)),IF(LEN(INDEX('Vendor COIs'!$O$4:$O$503,(_calc!$E$12-500)))=0,"",INDEX('Vendor COIs'!$O$4:$O$503,(_calc!$E$12-500)))))</f>
        <v/>
      </c>
      <c r="H10" s="46">
        <f>IF(_calc!$E$12="","",IF(_calc!$E$12&lt;=500,IF(LEN(INDEX('Our policies'!$G$4:$G$503,_calc!$E$12))=0,"",INDEX('Our policies'!$G$4:$G$503,_calc!$E$12)),""))</f>
        <v/>
      </c>
      <c r="I10" s="46">
        <f>IF(_calc!$E$12="","",IF(_calc!$E$12&lt;=500,IF(LEN(INDEX('Our policies'!$H$4:$H$503,_calc!$E$12))=0,"",INDEX('Our policies'!$H$4:$H$503,_calc!$E$12)),""))</f>
        <v/>
      </c>
      <c r="K10" s="46">
        <f>IF(_calc!$E$12="","",IF(_calc!$E$12&lt;=500,IF(LEN(INDEX('Our policies'!$P$4:$P$503,_calc!$E$12))=0,"",INDEX('Our policies'!$P$4:$P$503,_calc!$E$12)),IF(LEN(INDEX('Vendor COIs'!$N$4:$N$503,(_calc!$E$12-500)))=0,"",INDEX('Vendor COIs'!$N$4:$N$503,(_calc!$E$12-500)))))</f>
        <v/>
      </c>
    </row>
    <row r="11">
      <c r="A11" s="46">
        <f>IF(_calc!$E$13="","",IF(_calc!$E$13&lt;=500,IF(LEN(INDEX('Our policies'!$A$4:$A$503,_calc!$E$13))=0,"",INDEX('Our policies'!$A$4:$A$503,_calc!$E$13)),"COI – "&amp;IF(LEN(INDEX('Vendor COIs'!$A$4:$A$503,(_calc!$E$13-500)))=0,"",INDEX('Vendor COIs'!$A$4:$A$503,(_calc!$E$13-500)))&amp;" – "&amp;IF(LEN(INDEX('Vendor COIs'!$B$4:$B$503,(_calc!$E$13-500)))=0,"",INDEX('Vendor COIs'!$B$4:$B$503,(_calc!$E$13-500)))))</f>
        <v/>
      </c>
      <c r="B11" s="46">
        <f>IF(_calc!$E$13="","",IF(_calc!$E$13&lt;=500,IF(ISNUMBER(INDEX('Our policies'!$J$4:$J$503,_calc!$E$13)),TEXT(INDEX('Our policies'!$J$4:$J$503,_calc!$E$13),"yyyy-mm-dd"),""),IF(ISNUMBER(INDEX('Vendor COIs'!$H$4:$H$503,(_calc!$E$13-500))),TEXT(INDEX('Vendor COIs'!$H$4:$H$503,(_calc!$E$13-500)),"yyyy-mm-dd"),"")))</f>
        <v/>
      </c>
      <c r="C11" s="46">
        <f>IF(_calc!$E$13="","",IF(_calc!$E$13&lt;=500,"Insurance","Certificate of insurance"))</f>
        <v/>
      </c>
      <c r="D11" s="46">
        <f>IF(_calc!$E$13="","",IF(_calc!$E$13&lt;=500,IF(ISNUMBER(INDEX('Our policies'!$I$4:$I$503,_calc!$E$13)),TEXT(INDEX('Our policies'!$I$4:$I$503,_calc!$E$13),"yyyy-mm-dd"),""),""))</f>
        <v/>
      </c>
      <c r="E11" s="46">
        <f>IF(_calc!$E$13="","",IF(_calc!$E$13&lt;=500,IF(LEN(INDEX('Our policies'!$Q$4:$Q$503,_calc!$E$13))=0,"",INDEX('Our policies'!$Q$4:$Q$503,_calc!$E$13)),"Medium"))</f>
        <v/>
      </c>
      <c r="F11" s="46">
        <f>IF(_calc!$E$13="","",IF(_calc!$E$13&lt;=500,TRIM(IF(LEN(IF(LEN(INDEX('Our policies'!$B$4:$B$503,_calc!$E$13))=0,"",INDEX('Our policies'!$B$4:$B$503,_calc!$E$13)))=0,"","Cover: "&amp;IF(LEN(INDEX('Our policies'!$B$4:$B$503,_calc!$E$13))=0,"",INDEX('Our policies'!$B$4:$B$503,_calc!$E$13))&amp;". ")&amp;IF(LEN(IF(LEN(INDEX('Our policies'!$C$4:$C$503,_calc!$E$13))=0,"",INDEX('Our policies'!$C$4:$C$503,_calc!$E$13)))=0,"","Insurer: "&amp;IF(LEN(INDEX('Our policies'!$C$4:$C$503,_calc!$E$13))=0,"",INDEX('Our policies'!$C$4:$C$503,_calc!$E$13))&amp;". ")&amp;IF(LEN(IF(LEN(INDEX('Our policies'!$D$4:$D$503,_calc!$E$13))=0,"",INDEX('Our policies'!$D$4:$D$503,_calc!$E$13)))=0,"","Broker: "&amp;IF(LEN(INDEX('Our policies'!$D$4:$D$503,_calc!$E$13))=0,"",INDEX('Our policies'!$D$4:$D$503,_calc!$E$13))&amp;". ")&amp;IF(LEN(IF(LEN(INDEX('Our policies'!$E$4:$E$503,_calc!$E$13))=0,"",INDEX('Our policies'!$E$4:$E$503,_calc!$E$13)))=0,"","Policy no.: "&amp;IF(LEN(INDEX('Our policies'!$E$4:$E$503,_calc!$E$13))=0,"",INDEX('Our policies'!$E$4:$E$503,_calc!$E$13))&amp;". ")&amp;IF(LEN(IF(LEN(INDEX('Our policies'!$S$4:$S$503,_calc!$E$13))=0,"",INDEX('Our policies'!$S$4:$S$503,_calc!$E$13)))=0,"",IF(LEN(INDEX('Our policies'!$S$4:$S$503,_calc!$E$13))=0,"",INDEX('Our policies'!$S$4:$S$503,_calc!$E$13)))),TRIM(IF(LEN(IF(LEN(INDEX('Vendor COIs'!$C$4:$C$503,(_calc!$E$13-500)))=0,"",INDEX('Vendor COIs'!$C$4:$C$503,(_calc!$E$13-500))))=0,"","Insurer: "&amp;IF(LEN(INDEX('Vendor COIs'!$C$4:$C$503,(_calc!$E$13-500)))=0,"",INDEX('Vendor COIs'!$C$4:$C$503,(_calc!$E$13-500)))&amp;". ")&amp;IF(LEN(IF(LEN(INDEX('Vendor COIs'!$D$4:$D$503,(_calc!$E$13-500)))=0,"",INDEX('Vendor COIs'!$D$4:$D$503,(_calc!$E$13-500))))=0,"","Policy no.: "&amp;IF(LEN(INDEX('Vendor COIs'!$D$4:$D$503,(_calc!$E$13-500)))=0,"",INDEX('Vendor COIs'!$D$4:$D$503,(_calc!$E$13-500)))&amp;". ")&amp;IF(LEN(IF(LEN(INDEX('Vendor COIs'!$F$4:$F$503,(_calc!$E$13-500)))=0,"",INDEX('Vendor COIs'!$F$4:$F$503,(_calc!$E$13-500))))=0,"","Meets minimum: "&amp;IF(LEN(INDEX('Vendor COIs'!$F$4:$F$503,(_calc!$E$13-500)))=0,"",INDEX('Vendor COIs'!$F$4:$F$503,(_calc!$E$13-500)))&amp;". ")&amp;IF(LEN(IF(LEN(INDEX('Vendor COIs'!$G$4:$G$503,(_calc!$E$13-500)))=0,"",INDEX('Vendor COIs'!$G$4:$G$503,(_calc!$E$13-500))))=0,"","Additional insured: "&amp;IF(LEN(INDEX('Vendor COIs'!$G$4:$G$503,(_calc!$E$13-500)))=0,"",INDEX('Vendor COIs'!$G$4:$G$503,(_calc!$E$13-500)))&amp;". ")&amp;IF(LEN(IF(LEN(INDEX('Vendor COIs'!$M$4:$M$503,(_calc!$E$13-500)))=0,"",INDEX('Vendor COIs'!$M$4:$M$503,(_calc!$E$13-500))))=0,"","Vendor contact: "&amp;IF(LEN(INDEX('Vendor COIs'!$M$4:$M$503,(_calc!$E$13-500)))=0,"",INDEX('Vendor COIs'!$M$4:$M$503,(_calc!$E$13-500)))&amp;". ")&amp;IF(LEN(IF(LEN(INDEX('Vendor COIs'!$P$4:$P$503,(_calc!$E$13-500)))=0,"",INDEX('Vendor COIs'!$P$4:$P$503,(_calc!$E$13-500))))=0,"",IF(LEN(INDEX('Vendor COIs'!$P$4:$P$503,(_calc!$E$13-500)))=0,"",INDEX('Vendor COIs'!$P$4:$P$503,(_calc!$E$13-500)))))))</f>
        <v/>
      </c>
      <c r="G11" s="46">
        <f>IF(_calc!$E$13="","",IF(_calc!$E$13&lt;=500,IF(LEN(INDEX('Our policies'!$R$4:$R$503,_calc!$E$13))=0,"",INDEX('Our policies'!$R$4:$R$503,_calc!$E$13)),IF(LEN(INDEX('Vendor COIs'!$O$4:$O$503,(_calc!$E$13-500)))=0,"",INDEX('Vendor COIs'!$O$4:$O$503,(_calc!$E$13-500)))))</f>
        <v/>
      </c>
      <c r="H11" s="46">
        <f>IF(_calc!$E$13="","",IF(_calc!$E$13&lt;=500,IF(LEN(INDEX('Our policies'!$G$4:$G$503,_calc!$E$13))=0,"",INDEX('Our policies'!$G$4:$G$503,_calc!$E$13)),""))</f>
        <v/>
      </c>
      <c r="I11" s="46">
        <f>IF(_calc!$E$13="","",IF(_calc!$E$13&lt;=500,IF(LEN(INDEX('Our policies'!$H$4:$H$503,_calc!$E$13))=0,"",INDEX('Our policies'!$H$4:$H$503,_calc!$E$13)),""))</f>
        <v/>
      </c>
      <c r="K11" s="46">
        <f>IF(_calc!$E$13="","",IF(_calc!$E$13&lt;=500,IF(LEN(INDEX('Our policies'!$P$4:$P$503,_calc!$E$13))=0,"",INDEX('Our policies'!$P$4:$P$503,_calc!$E$13)),IF(LEN(INDEX('Vendor COIs'!$N$4:$N$503,(_calc!$E$13-500)))=0,"",INDEX('Vendor COIs'!$N$4:$N$503,(_calc!$E$13-500)))))</f>
        <v/>
      </c>
    </row>
    <row r="12">
      <c r="A12" s="46">
        <f>IF(_calc!$E$14="","",IF(_calc!$E$14&lt;=500,IF(LEN(INDEX('Our policies'!$A$4:$A$503,_calc!$E$14))=0,"",INDEX('Our policies'!$A$4:$A$503,_calc!$E$14)),"COI – "&amp;IF(LEN(INDEX('Vendor COIs'!$A$4:$A$503,(_calc!$E$14-500)))=0,"",INDEX('Vendor COIs'!$A$4:$A$503,(_calc!$E$14-500)))&amp;" – "&amp;IF(LEN(INDEX('Vendor COIs'!$B$4:$B$503,(_calc!$E$14-500)))=0,"",INDEX('Vendor COIs'!$B$4:$B$503,(_calc!$E$14-500)))))</f>
        <v/>
      </c>
      <c r="B12" s="46">
        <f>IF(_calc!$E$14="","",IF(_calc!$E$14&lt;=500,IF(ISNUMBER(INDEX('Our policies'!$J$4:$J$503,_calc!$E$14)),TEXT(INDEX('Our policies'!$J$4:$J$503,_calc!$E$14),"yyyy-mm-dd"),""),IF(ISNUMBER(INDEX('Vendor COIs'!$H$4:$H$503,(_calc!$E$14-500))),TEXT(INDEX('Vendor COIs'!$H$4:$H$503,(_calc!$E$14-500)),"yyyy-mm-dd"),"")))</f>
        <v/>
      </c>
      <c r="C12" s="46">
        <f>IF(_calc!$E$14="","",IF(_calc!$E$14&lt;=500,"Insurance","Certificate of insurance"))</f>
        <v/>
      </c>
      <c r="D12" s="46">
        <f>IF(_calc!$E$14="","",IF(_calc!$E$14&lt;=500,IF(ISNUMBER(INDEX('Our policies'!$I$4:$I$503,_calc!$E$14)),TEXT(INDEX('Our policies'!$I$4:$I$503,_calc!$E$14),"yyyy-mm-dd"),""),""))</f>
        <v/>
      </c>
      <c r="E12" s="46">
        <f>IF(_calc!$E$14="","",IF(_calc!$E$14&lt;=500,IF(LEN(INDEX('Our policies'!$Q$4:$Q$503,_calc!$E$14))=0,"",INDEX('Our policies'!$Q$4:$Q$503,_calc!$E$14)),"Medium"))</f>
        <v/>
      </c>
      <c r="F12" s="46">
        <f>IF(_calc!$E$14="","",IF(_calc!$E$14&lt;=500,TRIM(IF(LEN(IF(LEN(INDEX('Our policies'!$B$4:$B$503,_calc!$E$14))=0,"",INDEX('Our policies'!$B$4:$B$503,_calc!$E$14)))=0,"","Cover: "&amp;IF(LEN(INDEX('Our policies'!$B$4:$B$503,_calc!$E$14))=0,"",INDEX('Our policies'!$B$4:$B$503,_calc!$E$14))&amp;". ")&amp;IF(LEN(IF(LEN(INDEX('Our policies'!$C$4:$C$503,_calc!$E$14))=0,"",INDEX('Our policies'!$C$4:$C$503,_calc!$E$14)))=0,"","Insurer: "&amp;IF(LEN(INDEX('Our policies'!$C$4:$C$503,_calc!$E$14))=0,"",INDEX('Our policies'!$C$4:$C$503,_calc!$E$14))&amp;". ")&amp;IF(LEN(IF(LEN(INDEX('Our policies'!$D$4:$D$503,_calc!$E$14))=0,"",INDEX('Our policies'!$D$4:$D$503,_calc!$E$14)))=0,"","Broker: "&amp;IF(LEN(INDEX('Our policies'!$D$4:$D$503,_calc!$E$14))=0,"",INDEX('Our policies'!$D$4:$D$503,_calc!$E$14))&amp;". ")&amp;IF(LEN(IF(LEN(INDEX('Our policies'!$E$4:$E$503,_calc!$E$14))=0,"",INDEX('Our policies'!$E$4:$E$503,_calc!$E$14)))=0,"","Policy no.: "&amp;IF(LEN(INDEX('Our policies'!$E$4:$E$503,_calc!$E$14))=0,"",INDEX('Our policies'!$E$4:$E$503,_calc!$E$14))&amp;". ")&amp;IF(LEN(IF(LEN(INDEX('Our policies'!$S$4:$S$503,_calc!$E$14))=0,"",INDEX('Our policies'!$S$4:$S$503,_calc!$E$14)))=0,"",IF(LEN(INDEX('Our policies'!$S$4:$S$503,_calc!$E$14))=0,"",INDEX('Our policies'!$S$4:$S$503,_calc!$E$14)))),TRIM(IF(LEN(IF(LEN(INDEX('Vendor COIs'!$C$4:$C$503,(_calc!$E$14-500)))=0,"",INDEX('Vendor COIs'!$C$4:$C$503,(_calc!$E$14-500))))=0,"","Insurer: "&amp;IF(LEN(INDEX('Vendor COIs'!$C$4:$C$503,(_calc!$E$14-500)))=0,"",INDEX('Vendor COIs'!$C$4:$C$503,(_calc!$E$14-500)))&amp;". ")&amp;IF(LEN(IF(LEN(INDEX('Vendor COIs'!$D$4:$D$503,(_calc!$E$14-500)))=0,"",INDEX('Vendor COIs'!$D$4:$D$503,(_calc!$E$14-500))))=0,"","Policy no.: "&amp;IF(LEN(INDEX('Vendor COIs'!$D$4:$D$503,(_calc!$E$14-500)))=0,"",INDEX('Vendor COIs'!$D$4:$D$503,(_calc!$E$14-500)))&amp;". ")&amp;IF(LEN(IF(LEN(INDEX('Vendor COIs'!$F$4:$F$503,(_calc!$E$14-500)))=0,"",INDEX('Vendor COIs'!$F$4:$F$503,(_calc!$E$14-500))))=0,"","Meets minimum: "&amp;IF(LEN(INDEX('Vendor COIs'!$F$4:$F$503,(_calc!$E$14-500)))=0,"",INDEX('Vendor COIs'!$F$4:$F$503,(_calc!$E$14-500)))&amp;". ")&amp;IF(LEN(IF(LEN(INDEX('Vendor COIs'!$G$4:$G$503,(_calc!$E$14-500)))=0,"",INDEX('Vendor COIs'!$G$4:$G$503,(_calc!$E$14-500))))=0,"","Additional insured: "&amp;IF(LEN(INDEX('Vendor COIs'!$G$4:$G$503,(_calc!$E$14-500)))=0,"",INDEX('Vendor COIs'!$G$4:$G$503,(_calc!$E$14-500)))&amp;". ")&amp;IF(LEN(IF(LEN(INDEX('Vendor COIs'!$M$4:$M$503,(_calc!$E$14-500)))=0,"",INDEX('Vendor COIs'!$M$4:$M$503,(_calc!$E$14-500))))=0,"","Vendor contact: "&amp;IF(LEN(INDEX('Vendor COIs'!$M$4:$M$503,(_calc!$E$14-500)))=0,"",INDEX('Vendor COIs'!$M$4:$M$503,(_calc!$E$14-500)))&amp;". ")&amp;IF(LEN(IF(LEN(INDEX('Vendor COIs'!$P$4:$P$503,(_calc!$E$14-500)))=0,"",INDEX('Vendor COIs'!$P$4:$P$503,(_calc!$E$14-500))))=0,"",IF(LEN(INDEX('Vendor COIs'!$P$4:$P$503,(_calc!$E$14-500)))=0,"",INDEX('Vendor COIs'!$P$4:$P$503,(_calc!$E$14-500)))))))</f>
        <v/>
      </c>
      <c r="G12" s="46">
        <f>IF(_calc!$E$14="","",IF(_calc!$E$14&lt;=500,IF(LEN(INDEX('Our policies'!$R$4:$R$503,_calc!$E$14))=0,"",INDEX('Our policies'!$R$4:$R$503,_calc!$E$14)),IF(LEN(INDEX('Vendor COIs'!$O$4:$O$503,(_calc!$E$14-500)))=0,"",INDEX('Vendor COIs'!$O$4:$O$503,(_calc!$E$14-500)))))</f>
        <v/>
      </c>
      <c r="H12" s="46">
        <f>IF(_calc!$E$14="","",IF(_calc!$E$14&lt;=500,IF(LEN(INDEX('Our policies'!$G$4:$G$503,_calc!$E$14))=0,"",INDEX('Our policies'!$G$4:$G$503,_calc!$E$14)),""))</f>
        <v/>
      </c>
      <c r="I12" s="46">
        <f>IF(_calc!$E$14="","",IF(_calc!$E$14&lt;=500,IF(LEN(INDEX('Our policies'!$H$4:$H$503,_calc!$E$14))=0,"",INDEX('Our policies'!$H$4:$H$503,_calc!$E$14)),""))</f>
        <v/>
      </c>
      <c r="K12" s="46">
        <f>IF(_calc!$E$14="","",IF(_calc!$E$14&lt;=500,IF(LEN(INDEX('Our policies'!$P$4:$P$503,_calc!$E$14))=0,"",INDEX('Our policies'!$P$4:$P$503,_calc!$E$14)),IF(LEN(INDEX('Vendor COIs'!$N$4:$N$503,(_calc!$E$14-500)))=0,"",INDEX('Vendor COIs'!$N$4:$N$503,(_calc!$E$14-500)))))</f>
        <v/>
      </c>
    </row>
    <row r="13">
      <c r="A13" s="46">
        <f>IF(_calc!$E$15="","",IF(_calc!$E$15&lt;=500,IF(LEN(INDEX('Our policies'!$A$4:$A$503,_calc!$E$15))=0,"",INDEX('Our policies'!$A$4:$A$503,_calc!$E$15)),"COI – "&amp;IF(LEN(INDEX('Vendor COIs'!$A$4:$A$503,(_calc!$E$15-500)))=0,"",INDEX('Vendor COIs'!$A$4:$A$503,(_calc!$E$15-500)))&amp;" – "&amp;IF(LEN(INDEX('Vendor COIs'!$B$4:$B$503,(_calc!$E$15-500)))=0,"",INDEX('Vendor COIs'!$B$4:$B$503,(_calc!$E$15-500)))))</f>
        <v/>
      </c>
      <c r="B13" s="46">
        <f>IF(_calc!$E$15="","",IF(_calc!$E$15&lt;=500,IF(ISNUMBER(INDEX('Our policies'!$J$4:$J$503,_calc!$E$15)),TEXT(INDEX('Our policies'!$J$4:$J$503,_calc!$E$15),"yyyy-mm-dd"),""),IF(ISNUMBER(INDEX('Vendor COIs'!$H$4:$H$503,(_calc!$E$15-500))),TEXT(INDEX('Vendor COIs'!$H$4:$H$503,(_calc!$E$15-500)),"yyyy-mm-dd"),"")))</f>
        <v/>
      </c>
      <c r="C13" s="46">
        <f>IF(_calc!$E$15="","",IF(_calc!$E$15&lt;=500,"Insurance","Certificate of insurance"))</f>
        <v/>
      </c>
      <c r="D13" s="46">
        <f>IF(_calc!$E$15="","",IF(_calc!$E$15&lt;=500,IF(ISNUMBER(INDEX('Our policies'!$I$4:$I$503,_calc!$E$15)),TEXT(INDEX('Our policies'!$I$4:$I$503,_calc!$E$15),"yyyy-mm-dd"),""),""))</f>
        <v/>
      </c>
      <c r="E13" s="46">
        <f>IF(_calc!$E$15="","",IF(_calc!$E$15&lt;=500,IF(LEN(INDEX('Our policies'!$Q$4:$Q$503,_calc!$E$15))=0,"",INDEX('Our policies'!$Q$4:$Q$503,_calc!$E$15)),"Medium"))</f>
        <v/>
      </c>
      <c r="F13" s="46">
        <f>IF(_calc!$E$15="","",IF(_calc!$E$15&lt;=500,TRIM(IF(LEN(IF(LEN(INDEX('Our policies'!$B$4:$B$503,_calc!$E$15))=0,"",INDEX('Our policies'!$B$4:$B$503,_calc!$E$15)))=0,"","Cover: "&amp;IF(LEN(INDEX('Our policies'!$B$4:$B$503,_calc!$E$15))=0,"",INDEX('Our policies'!$B$4:$B$503,_calc!$E$15))&amp;". ")&amp;IF(LEN(IF(LEN(INDEX('Our policies'!$C$4:$C$503,_calc!$E$15))=0,"",INDEX('Our policies'!$C$4:$C$503,_calc!$E$15)))=0,"","Insurer: "&amp;IF(LEN(INDEX('Our policies'!$C$4:$C$503,_calc!$E$15))=0,"",INDEX('Our policies'!$C$4:$C$503,_calc!$E$15))&amp;". ")&amp;IF(LEN(IF(LEN(INDEX('Our policies'!$D$4:$D$503,_calc!$E$15))=0,"",INDEX('Our policies'!$D$4:$D$503,_calc!$E$15)))=0,"","Broker: "&amp;IF(LEN(INDEX('Our policies'!$D$4:$D$503,_calc!$E$15))=0,"",INDEX('Our policies'!$D$4:$D$503,_calc!$E$15))&amp;". ")&amp;IF(LEN(IF(LEN(INDEX('Our policies'!$E$4:$E$503,_calc!$E$15))=0,"",INDEX('Our policies'!$E$4:$E$503,_calc!$E$15)))=0,"","Policy no.: "&amp;IF(LEN(INDEX('Our policies'!$E$4:$E$503,_calc!$E$15))=0,"",INDEX('Our policies'!$E$4:$E$503,_calc!$E$15))&amp;". ")&amp;IF(LEN(IF(LEN(INDEX('Our policies'!$S$4:$S$503,_calc!$E$15))=0,"",INDEX('Our policies'!$S$4:$S$503,_calc!$E$15)))=0,"",IF(LEN(INDEX('Our policies'!$S$4:$S$503,_calc!$E$15))=0,"",INDEX('Our policies'!$S$4:$S$503,_calc!$E$15)))),TRIM(IF(LEN(IF(LEN(INDEX('Vendor COIs'!$C$4:$C$503,(_calc!$E$15-500)))=0,"",INDEX('Vendor COIs'!$C$4:$C$503,(_calc!$E$15-500))))=0,"","Insurer: "&amp;IF(LEN(INDEX('Vendor COIs'!$C$4:$C$503,(_calc!$E$15-500)))=0,"",INDEX('Vendor COIs'!$C$4:$C$503,(_calc!$E$15-500)))&amp;". ")&amp;IF(LEN(IF(LEN(INDEX('Vendor COIs'!$D$4:$D$503,(_calc!$E$15-500)))=0,"",INDEX('Vendor COIs'!$D$4:$D$503,(_calc!$E$15-500))))=0,"","Policy no.: "&amp;IF(LEN(INDEX('Vendor COIs'!$D$4:$D$503,(_calc!$E$15-500)))=0,"",INDEX('Vendor COIs'!$D$4:$D$503,(_calc!$E$15-500)))&amp;". ")&amp;IF(LEN(IF(LEN(INDEX('Vendor COIs'!$F$4:$F$503,(_calc!$E$15-500)))=0,"",INDEX('Vendor COIs'!$F$4:$F$503,(_calc!$E$15-500))))=0,"","Meets minimum: "&amp;IF(LEN(INDEX('Vendor COIs'!$F$4:$F$503,(_calc!$E$15-500)))=0,"",INDEX('Vendor COIs'!$F$4:$F$503,(_calc!$E$15-500)))&amp;". ")&amp;IF(LEN(IF(LEN(INDEX('Vendor COIs'!$G$4:$G$503,(_calc!$E$15-500)))=0,"",INDEX('Vendor COIs'!$G$4:$G$503,(_calc!$E$15-500))))=0,"","Additional insured: "&amp;IF(LEN(INDEX('Vendor COIs'!$G$4:$G$503,(_calc!$E$15-500)))=0,"",INDEX('Vendor COIs'!$G$4:$G$503,(_calc!$E$15-500)))&amp;". ")&amp;IF(LEN(IF(LEN(INDEX('Vendor COIs'!$M$4:$M$503,(_calc!$E$15-500)))=0,"",INDEX('Vendor COIs'!$M$4:$M$503,(_calc!$E$15-500))))=0,"","Vendor contact: "&amp;IF(LEN(INDEX('Vendor COIs'!$M$4:$M$503,(_calc!$E$15-500)))=0,"",INDEX('Vendor COIs'!$M$4:$M$503,(_calc!$E$15-500)))&amp;". ")&amp;IF(LEN(IF(LEN(INDEX('Vendor COIs'!$P$4:$P$503,(_calc!$E$15-500)))=0,"",INDEX('Vendor COIs'!$P$4:$P$503,(_calc!$E$15-500))))=0,"",IF(LEN(INDEX('Vendor COIs'!$P$4:$P$503,(_calc!$E$15-500)))=0,"",INDEX('Vendor COIs'!$P$4:$P$503,(_calc!$E$15-500)))))))</f>
        <v/>
      </c>
      <c r="G13" s="46">
        <f>IF(_calc!$E$15="","",IF(_calc!$E$15&lt;=500,IF(LEN(INDEX('Our policies'!$R$4:$R$503,_calc!$E$15))=0,"",INDEX('Our policies'!$R$4:$R$503,_calc!$E$15)),IF(LEN(INDEX('Vendor COIs'!$O$4:$O$503,(_calc!$E$15-500)))=0,"",INDEX('Vendor COIs'!$O$4:$O$503,(_calc!$E$15-500)))))</f>
        <v/>
      </c>
      <c r="H13" s="46">
        <f>IF(_calc!$E$15="","",IF(_calc!$E$15&lt;=500,IF(LEN(INDEX('Our policies'!$G$4:$G$503,_calc!$E$15))=0,"",INDEX('Our policies'!$G$4:$G$503,_calc!$E$15)),""))</f>
        <v/>
      </c>
      <c r="I13" s="46">
        <f>IF(_calc!$E$15="","",IF(_calc!$E$15&lt;=500,IF(LEN(INDEX('Our policies'!$H$4:$H$503,_calc!$E$15))=0,"",INDEX('Our policies'!$H$4:$H$503,_calc!$E$15)),""))</f>
        <v/>
      </c>
      <c r="K13" s="46">
        <f>IF(_calc!$E$15="","",IF(_calc!$E$15&lt;=500,IF(LEN(INDEX('Our policies'!$P$4:$P$503,_calc!$E$15))=0,"",INDEX('Our policies'!$P$4:$P$503,_calc!$E$15)),IF(LEN(INDEX('Vendor COIs'!$N$4:$N$503,(_calc!$E$15-500)))=0,"",INDEX('Vendor COIs'!$N$4:$N$503,(_calc!$E$15-500)))))</f>
        <v/>
      </c>
    </row>
    <row r="14">
      <c r="A14" s="46">
        <f>IF(_calc!$E$16="","",IF(_calc!$E$16&lt;=500,IF(LEN(INDEX('Our policies'!$A$4:$A$503,_calc!$E$16))=0,"",INDEX('Our policies'!$A$4:$A$503,_calc!$E$16)),"COI – "&amp;IF(LEN(INDEX('Vendor COIs'!$A$4:$A$503,(_calc!$E$16-500)))=0,"",INDEX('Vendor COIs'!$A$4:$A$503,(_calc!$E$16-500)))&amp;" – "&amp;IF(LEN(INDEX('Vendor COIs'!$B$4:$B$503,(_calc!$E$16-500)))=0,"",INDEX('Vendor COIs'!$B$4:$B$503,(_calc!$E$16-500)))))</f>
        <v/>
      </c>
      <c r="B14" s="46">
        <f>IF(_calc!$E$16="","",IF(_calc!$E$16&lt;=500,IF(ISNUMBER(INDEX('Our policies'!$J$4:$J$503,_calc!$E$16)),TEXT(INDEX('Our policies'!$J$4:$J$503,_calc!$E$16),"yyyy-mm-dd"),""),IF(ISNUMBER(INDEX('Vendor COIs'!$H$4:$H$503,(_calc!$E$16-500))),TEXT(INDEX('Vendor COIs'!$H$4:$H$503,(_calc!$E$16-500)),"yyyy-mm-dd"),"")))</f>
        <v/>
      </c>
      <c r="C14" s="46">
        <f>IF(_calc!$E$16="","",IF(_calc!$E$16&lt;=500,"Insurance","Certificate of insurance"))</f>
        <v/>
      </c>
      <c r="D14" s="46">
        <f>IF(_calc!$E$16="","",IF(_calc!$E$16&lt;=500,IF(ISNUMBER(INDEX('Our policies'!$I$4:$I$503,_calc!$E$16)),TEXT(INDEX('Our policies'!$I$4:$I$503,_calc!$E$16),"yyyy-mm-dd"),""),""))</f>
        <v/>
      </c>
      <c r="E14" s="46">
        <f>IF(_calc!$E$16="","",IF(_calc!$E$16&lt;=500,IF(LEN(INDEX('Our policies'!$Q$4:$Q$503,_calc!$E$16))=0,"",INDEX('Our policies'!$Q$4:$Q$503,_calc!$E$16)),"Medium"))</f>
        <v/>
      </c>
      <c r="F14" s="46">
        <f>IF(_calc!$E$16="","",IF(_calc!$E$16&lt;=500,TRIM(IF(LEN(IF(LEN(INDEX('Our policies'!$B$4:$B$503,_calc!$E$16))=0,"",INDEX('Our policies'!$B$4:$B$503,_calc!$E$16)))=0,"","Cover: "&amp;IF(LEN(INDEX('Our policies'!$B$4:$B$503,_calc!$E$16))=0,"",INDEX('Our policies'!$B$4:$B$503,_calc!$E$16))&amp;". ")&amp;IF(LEN(IF(LEN(INDEX('Our policies'!$C$4:$C$503,_calc!$E$16))=0,"",INDEX('Our policies'!$C$4:$C$503,_calc!$E$16)))=0,"","Insurer: "&amp;IF(LEN(INDEX('Our policies'!$C$4:$C$503,_calc!$E$16))=0,"",INDEX('Our policies'!$C$4:$C$503,_calc!$E$16))&amp;". ")&amp;IF(LEN(IF(LEN(INDEX('Our policies'!$D$4:$D$503,_calc!$E$16))=0,"",INDEX('Our policies'!$D$4:$D$503,_calc!$E$16)))=0,"","Broker: "&amp;IF(LEN(INDEX('Our policies'!$D$4:$D$503,_calc!$E$16))=0,"",INDEX('Our policies'!$D$4:$D$503,_calc!$E$16))&amp;". ")&amp;IF(LEN(IF(LEN(INDEX('Our policies'!$E$4:$E$503,_calc!$E$16))=0,"",INDEX('Our policies'!$E$4:$E$503,_calc!$E$16)))=0,"","Policy no.: "&amp;IF(LEN(INDEX('Our policies'!$E$4:$E$503,_calc!$E$16))=0,"",INDEX('Our policies'!$E$4:$E$503,_calc!$E$16))&amp;". ")&amp;IF(LEN(IF(LEN(INDEX('Our policies'!$S$4:$S$503,_calc!$E$16))=0,"",INDEX('Our policies'!$S$4:$S$503,_calc!$E$16)))=0,"",IF(LEN(INDEX('Our policies'!$S$4:$S$503,_calc!$E$16))=0,"",INDEX('Our policies'!$S$4:$S$503,_calc!$E$16)))),TRIM(IF(LEN(IF(LEN(INDEX('Vendor COIs'!$C$4:$C$503,(_calc!$E$16-500)))=0,"",INDEX('Vendor COIs'!$C$4:$C$503,(_calc!$E$16-500))))=0,"","Insurer: "&amp;IF(LEN(INDEX('Vendor COIs'!$C$4:$C$503,(_calc!$E$16-500)))=0,"",INDEX('Vendor COIs'!$C$4:$C$503,(_calc!$E$16-500)))&amp;". ")&amp;IF(LEN(IF(LEN(INDEX('Vendor COIs'!$D$4:$D$503,(_calc!$E$16-500)))=0,"",INDEX('Vendor COIs'!$D$4:$D$503,(_calc!$E$16-500))))=0,"","Policy no.: "&amp;IF(LEN(INDEX('Vendor COIs'!$D$4:$D$503,(_calc!$E$16-500)))=0,"",INDEX('Vendor COIs'!$D$4:$D$503,(_calc!$E$16-500)))&amp;". ")&amp;IF(LEN(IF(LEN(INDEX('Vendor COIs'!$F$4:$F$503,(_calc!$E$16-500)))=0,"",INDEX('Vendor COIs'!$F$4:$F$503,(_calc!$E$16-500))))=0,"","Meets minimum: "&amp;IF(LEN(INDEX('Vendor COIs'!$F$4:$F$503,(_calc!$E$16-500)))=0,"",INDEX('Vendor COIs'!$F$4:$F$503,(_calc!$E$16-500)))&amp;". ")&amp;IF(LEN(IF(LEN(INDEX('Vendor COIs'!$G$4:$G$503,(_calc!$E$16-500)))=0,"",INDEX('Vendor COIs'!$G$4:$G$503,(_calc!$E$16-500))))=0,"","Additional insured: "&amp;IF(LEN(INDEX('Vendor COIs'!$G$4:$G$503,(_calc!$E$16-500)))=0,"",INDEX('Vendor COIs'!$G$4:$G$503,(_calc!$E$16-500)))&amp;". ")&amp;IF(LEN(IF(LEN(INDEX('Vendor COIs'!$M$4:$M$503,(_calc!$E$16-500)))=0,"",INDEX('Vendor COIs'!$M$4:$M$503,(_calc!$E$16-500))))=0,"","Vendor contact: "&amp;IF(LEN(INDEX('Vendor COIs'!$M$4:$M$503,(_calc!$E$16-500)))=0,"",INDEX('Vendor COIs'!$M$4:$M$503,(_calc!$E$16-500)))&amp;". ")&amp;IF(LEN(IF(LEN(INDEX('Vendor COIs'!$P$4:$P$503,(_calc!$E$16-500)))=0,"",INDEX('Vendor COIs'!$P$4:$P$503,(_calc!$E$16-500))))=0,"",IF(LEN(INDEX('Vendor COIs'!$P$4:$P$503,(_calc!$E$16-500)))=0,"",INDEX('Vendor COIs'!$P$4:$P$503,(_calc!$E$16-500)))))))</f>
        <v/>
      </c>
      <c r="G14" s="46">
        <f>IF(_calc!$E$16="","",IF(_calc!$E$16&lt;=500,IF(LEN(INDEX('Our policies'!$R$4:$R$503,_calc!$E$16))=0,"",INDEX('Our policies'!$R$4:$R$503,_calc!$E$16)),IF(LEN(INDEX('Vendor COIs'!$O$4:$O$503,(_calc!$E$16-500)))=0,"",INDEX('Vendor COIs'!$O$4:$O$503,(_calc!$E$16-500)))))</f>
        <v/>
      </c>
      <c r="H14" s="46">
        <f>IF(_calc!$E$16="","",IF(_calc!$E$16&lt;=500,IF(LEN(INDEX('Our policies'!$G$4:$G$503,_calc!$E$16))=0,"",INDEX('Our policies'!$G$4:$G$503,_calc!$E$16)),""))</f>
        <v/>
      </c>
      <c r="I14" s="46">
        <f>IF(_calc!$E$16="","",IF(_calc!$E$16&lt;=500,IF(LEN(INDEX('Our policies'!$H$4:$H$503,_calc!$E$16))=0,"",INDEX('Our policies'!$H$4:$H$503,_calc!$E$16)),""))</f>
        <v/>
      </c>
      <c r="K14" s="46">
        <f>IF(_calc!$E$16="","",IF(_calc!$E$16&lt;=500,IF(LEN(INDEX('Our policies'!$P$4:$P$503,_calc!$E$16))=0,"",INDEX('Our policies'!$P$4:$P$503,_calc!$E$16)),IF(LEN(INDEX('Vendor COIs'!$N$4:$N$503,(_calc!$E$16-500)))=0,"",INDEX('Vendor COIs'!$N$4:$N$503,(_calc!$E$16-500)))))</f>
        <v/>
      </c>
    </row>
    <row r="15">
      <c r="A15" s="46">
        <f>IF(_calc!$E$17="","",IF(_calc!$E$17&lt;=500,IF(LEN(INDEX('Our policies'!$A$4:$A$503,_calc!$E$17))=0,"",INDEX('Our policies'!$A$4:$A$503,_calc!$E$17)),"COI – "&amp;IF(LEN(INDEX('Vendor COIs'!$A$4:$A$503,(_calc!$E$17-500)))=0,"",INDEX('Vendor COIs'!$A$4:$A$503,(_calc!$E$17-500)))&amp;" – "&amp;IF(LEN(INDEX('Vendor COIs'!$B$4:$B$503,(_calc!$E$17-500)))=0,"",INDEX('Vendor COIs'!$B$4:$B$503,(_calc!$E$17-500)))))</f>
        <v/>
      </c>
      <c r="B15" s="46">
        <f>IF(_calc!$E$17="","",IF(_calc!$E$17&lt;=500,IF(ISNUMBER(INDEX('Our policies'!$J$4:$J$503,_calc!$E$17)),TEXT(INDEX('Our policies'!$J$4:$J$503,_calc!$E$17),"yyyy-mm-dd"),""),IF(ISNUMBER(INDEX('Vendor COIs'!$H$4:$H$503,(_calc!$E$17-500))),TEXT(INDEX('Vendor COIs'!$H$4:$H$503,(_calc!$E$17-500)),"yyyy-mm-dd"),"")))</f>
        <v/>
      </c>
      <c r="C15" s="46">
        <f>IF(_calc!$E$17="","",IF(_calc!$E$17&lt;=500,"Insurance","Certificate of insurance"))</f>
        <v/>
      </c>
      <c r="D15" s="46">
        <f>IF(_calc!$E$17="","",IF(_calc!$E$17&lt;=500,IF(ISNUMBER(INDEX('Our policies'!$I$4:$I$503,_calc!$E$17)),TEXT(INDEX('Our policies'!$I$4:$I$503,_calc!$E$17),"yyyy-mm-dd"),""),""))</f>
        <v/>
      </c>
      <c r="E15" s="46">
        <f>IF(_calc!$E$17="","",IF(_calc!$E$17&lt;=500,IF(LEN(INDEX('Our policies'!$Q$4:$Q$503,_calc!$E$17))=0,"",INDEX('Our policies'!$Q$4:$Q$503,_calc!$E$17)),"Medium"))</f>
        <v/>
      </c>
      <c r="F15" s="46">
        <f>IF(_calc!$E$17="","",IF(_calc!$E$17&lt;=500,TRIM(IF(LEN(IF(LEN(INDEX('Our policies'!$B$4:$B$503,_calc!$E$17))=0,"",INDEX('Our policies'!$B$4:$B$503,_calc!$E$17)))=0,"","Cover: "&amp;IF(LEN(INDEX('Our policies'!$B$4:$B$503,_calc!$E$17))=0,"",INDEX('Our policies'!$B$4:$B$503,_calc!$E$17))&amp;". ")&amp;IF(LEN(IF(LEN(INDEX('Our policies'!$C$4:$C$503,_calc!$E$17))=0,"",INDEX('Our policies'!$C$4:$C$503,_calc!$E$17)))=0,"","Insurer: "&amp;IF(LEN(INDEX('Our policies'!$C$4:$C$503,_calc!$E$17))=0,"",INDEX('Our policies'!$C$4:$C$503,_calc!$E$17))&amp;". ")&amp;IF(LEN(IF(LEN(INDEX('Our policies'!$D$4:$D$503,_calc!$E$17))=0,"",INDEX('Our policies'!$D$4:$D$503,_calc!$E$17)))=0,"","Broker: "&amp;IF(LEN(INDEX('Our policies'!$D$4:$D$503,_calc!$E$17))=0,"",INDEX('Our policies'!$D$4:$D$503,_calc!$E$17))&amp;". ")&amp;IF(LEN(IF(LEN(INDEX('Our policies'!$E$4:$E$503,_calc!$E$17))=0,"",INDEX('Our policies'!$E$4:$E$503,_calc!$E$17)))=0,"","Policy no.: "&amp;IF(LEN(INDEX('Our policies'!$E$4:$E$503,_calc!$E$17))=0,"",INDEX('Our policies'!$E$4:$E$503,_calc!$E$17))&amp;". ")&amp;IF(LEN(IF(LEN(INDEX('Our policies'!$S$4:$S$503,_calc!$E$17))=0,"",INDEX('Our policies'!$S$4:$S$503,_calc!$E$17)))=0,"",IF(LEN(INDEX('Our policies'!$S$4:$S$503,_calc!$E$17))=0,"",INDEX('Our policies'!$S$4:$S$503,_calc!$E$17)))),TRIM(IF(LEN(IF(LEN(INDEX('Vendor COIs'!$C$4:$C$503,(_calc!$E$17-500)))=0,"",INDEX('Vendor COIs'!$C$4:$C$503,(_calc!$E$17-500))))=0,"","Insurer: "&amp;IF(LEN(INDEX('Vendor COIs'!$C$4:$C$503,(_calc!$E$17-500)))=0,"",INDEX('Vendor COIs'!$C$4:$C$503,(_calc!$E$17-500)))&amp;". ")&amp;IF(LEN(IF(LEN(INDEX('Vendor COIs'!$D$4:$D$503,(_calc!$E$17-500)))=0,"",INDEX('Vendor COIs'!$D$4:$D$503,(_calc!$E$17-500))))=0,"","Policy no.: "&amp;IF(LEN(INDEX('Vendor COIs'!$D$4:$D$503,(_calc!$E$17-500)))=0,"",INDEX('Vendor COIs'!$D$4:$D$503,(_calc!$E$17-500)))&amp;". ")&amp;IF(LEN(IF(LEN(INDEX('Vendor COIs'!$F$4:$F$503,(_calc!$E$17-500)))=0,"",INDEX('Vendor COIs'!$F$4:$F$503,(_calc!$E$17-500))))=0,"","Meets minimum: "&amp;IF(LEN(INDEX('Vendor COIs'!$F$4:$F$503,(_calc!$E$17-500)))=0,"",INDEX('Vendor COIs'!$F$4:$F$503,(_calc!$E$17-500)))&amp;". ")&amp;IF(LEN(IF(LEN(INDEX('Vendor COIs'!$G$4:$G$503,(_calc!$E$17-500)))=0,"",INDEX('Vendor COIs'!$G$4:$G$503,(_calc!$E$17-500))))=0,"","Additional insured: "&amp;IF(LEN(INDEX('Vendor COIs'!$G$4:$G$503,(_calc!$E$17-500)))=0,"",INDEX('Vendor COIs'!$G$4:$G$503,(_calc!$E$17-500)))&amp;". ")&amp;IF(LEN(IF(LEN(INDEX('Vendor COIs'!$M$4:$M$503,(_calc!$E$17-500)))=0,"",INDEX('Vendor COIs'!$M$4:$M$503,(_calc!$E$17-500))))=0,"","Vendor contact: "&amp;IF(LEN(INDEX('Vendor COIs'!$M$4:$M$503,(_calc!$E$17-500)))=0,"",INDEX('Vendor COIs'!$M$4:$M$503,(_calc!$E$17-500)))&amp;". ")&amp;IF(LEN(IF(LEN(INDEX('Vendor COIs'!$P$4:$P$503,(_calc!$E$17-500)))=0,"",INDEX('Vendor COIs'!$P$4:$P$503,(_calc!$E$17-500))))=0,"",IF(LEN(INDEX('Vendor COIs'!$P$4:$P$503,(_calc!$E$17-500)))=0,"",INDEX('Vendor COIs'!$P$4:$P$503,(_calc!$E$17-500)))))))</f>
        <v/>
      </c>
      <c r="G15" s="46">
        <f>IF(_calc!$E$17="","",IF(_calc!$E$17&lt;=500,IF(LEN(INDEX('Our policies'!$R$4:$R$503,_calc!$E$17))=0,"",INDEX('Our policies'!$R$4:$R$503,_calc!$E$17)),IF(LEN(INDEX('Vendor COIs'!$O$4:$O$503,(_calc!$E$17-500)))=0,"",INDEX('Vendor COIs'!$O$4:$O$503,(_calc!$E$17-500)))))</f>
        <v/>
      </c>
      <c r="H15" s="46">
        <f>IF(_calc!$E$17="","",IF(_calc!$E$17&lt;=500,IF(LEN(INDEX('Our policies'!$G$4:$G$503,_calc!$E$17))=0,"",INDEX('Our policies'!$G$4:$G$503,_calc!$E$17)),""))</f>
        <v/>
      </c>
      <c r="I15" s="46">
        <f>IF(_calc!$E$17="","",IF(_calc!$E$17&lt;=500,IF(LEN(INDEX('Our policies'!$H$4:$H$503,_calc!$E$17))=0,"",INDEX('Our policies'!$H$4:$H$503,_calc!$E$17)),""))</f>
        <v/>
      </c>
      <c r="K15" s="46">
        <f>IF(_calc!$E$17="","",IF(_calc!$E$17&lt;=500,IF(LEN(INDEX('Our policies'!$P$4:$P$503,_calc!$E$17))=0,"",INDEX('Our policies'!$P$4:$P$503,_calc!$E$17)),IF(LEN(INDEX('Vendor COIs'!$N$4:$N$503,(_calc!$E$17-500)))=0,"",INDEX('Vendor COIs'!$N$4:$N$503,(_calc!$E$17-500)))))</f>
        <v/>
      </c>
    </row>
    <row r="16">
      <c r="A16" s="46">
        <f>IF(_calc!$E$18="","",IF(_calc!$E$18&lt;=500,IF(LEN(INDEX('Our policies'!$A$4:$A$503,_calc!$E$18))=0,"",INDEX('Our policies'!$A$4:$A$503,_calc!$E$18)),"COI – "&amp;IF(LEN(INDEX('Vendor COIs'!$A$4:$A$503,(_calc!$E$18-500)))=0,"",INDEX('Vendor COIs'!$A$4:$A$503,(_calc!$E$18-500)))&amp;" – "&amp;IF(LEN(INDEX('Vendor COIs'!$B$4:$B$503,(_calc!$E$18-500)))=0,"",INDEX('Vendor COIs'!$B$4:$B$503,(_calc!$E$18-500)))))</f>
        <v/>
      </c>
      <c r="B16" s="46">
        <f>IF(_calc!$E$18="","",IF(_calc!$E$18&lt;=500,IF(ISNUMBER(INDEX('Our policies'!$J$4:$J$503,_calc!$E$18)),TEXT(INDEX('Our policies'!$J$4:$J$503,_calc!$E$18),"yyyy-mm-dd"),""),IF(ISNUMBER(INDEX('Vendor COIs'!$H$4:$H$503,(_calc!$E$18-500))),TEXT(INDEX('Vendor COIs'!$H$4:$H$503,(_calc!$E$18-500)),"yyyy-mm-dd"),"")))</f>
        <v/>
      </c>
      <c r="C16" s="46">
        <f>IF(_calc!$E$18="","",IF(_calc!$E$18&lt;=500,"Insurance","Certificate of insurance"))</f>
        <v/>
      </c>
      <c r="D16" s="46">
        <f>IF(_calc!$E$18="","",IF(_calc!$E$18&lt;=500,IF(ISNUMBER(INDEX('Our policies'!$I$4:$I$503,_calc!$E$18)),TEXT(INDEX('Our policies'!$I$4:$I$503,_calc!$E$18),"yyyy-mm-dd"),""),""))</f>
        <v/>
      </c>
      <c r="E16" s="46">
        <f>IF(_calc!$E$18="","",IF(_calc!$E$18&lt;=500,IF(LEN(INDEX('Our policies'!$Q$4:$Q$503,_calc!$E$18))=0,"",INDEX('Our policies'!$Q$4:$Q$503,_calc!$E$18)),"Medium"))</f>
        <v/>
      </c>
      <c r="F16" s="46">
        <f>IF(_calc!$E$18="","",IF(_calc!$E$18&lt;=500,TRIM(IF(LEN(IF(LEN(INDEX('Our policies'!$B$4:$B$503,_calc!$E$18))=0,"",INDEX('Our policies'!$B$4:$B$503,_calc!$E$18)))=0,"","Cover: "&amp;IF(LEN(INDEX('Our policies'!$B$4:$B$503,_calc!$E$18))=0,"",INDEX('Our policies'!$B$4:$B$503,_calc!$E$18))&amp;". ")&amp;IF(LEN(IF(LEN(INDEX('Our policies'!$C$4:$C$503,_calc!$E$18))=0,"",INDEX('Our policies'!$C$4:$C$503,_calc!$E$18)))=0,"","Insurer: "&amp;IF(LEN(INDEX('Our policies'!$C$4:$C$503,_calc!$E$18))=0,"",INDEX('Our policies'!$C$4:$C$503,_calc!$E$18))&amp;". ")&amp;IF(LEN(IF(LEN(INDEX('Our policies'!$D$4:$D$503,_calc!$E$18))=0,"",INDEX('Our policies'!$D$4:$D$503,_calc!$E$18)))=0,"","Broker: "&amp;IF(LEN(INDEX('Our policies'!$D$4:$D$503,_calc!$E$18))=0,"",INDEX('Our policies'!$D$4:$D$503,_calc!$E$18))&amp;". ")&amp;IF(LEN(IF(LEN(INDEX('Our policies'!$E$4:$E$503,_calc!$E$18))=0,"",INDEX('Our policies'!$E$4:$E$503,_calc!$E$18)))=0,"","Policy no.: "&amp;IF(LEN(INDEX('Our policies'!$E$4:$E$503,_calc!$E$18))=0,"",INDEX('Our policies'!$E$4:$E$503,_calc!$E$18))&amp;". ")&amp;IF(LEN(IF(LEN(INDEX('Our policies'!$S$4:$S$503,_calc!$E$18))=0,"",INDEX('Our policies'!$S$4:$S$503,_calc!$E$18)))=0,"",IF(LEN(INDEX('Our policies'!$S$4:$S$503,_calc!$E$18))=0,"",INDEX('Our policies'!$S$4:$S$503,_calc!$E$18)))),TRIM(IF(LEN(IF(LEN(INDEX('Vendor COIs'!$C$4:$C$503,(_calc!$E$18-500)))=0,"",INDEX('Vendor COIs'!$C$4:$C$503,(_calc!$E$18-500))))=0,"","Insurer: "&amp;IF(LEN(INDEX('Vendor COIs'!$C$4:$C$503,(_calc!$E$18-500)))=0,"",INDEX('Vendor COIs'!$C$4:$C$503,(_calc!$E$18-500)))&amp;". ")&amp;IF(LEN(IF(LEN(INDEX('Vendor COIs'!$D$4:$D$503,(_calc!$E$18-500)))=0,"",INDEX('Vendor COIs'!$D$4:$D$503,(_calc!$E$18-500))))=0,"","Policy no.: "&amp;IF(LEN(INDEX('Vendor COIs'!$D$4:$D$503,(_calc!$E$18-500)))=0,"",INDEX('Vendor COIs'!$D$4:$D$503,(_calc!$E$18-500)))&amp;". ")&amp;IF(LEN(IF(LEN(INDEX('Vendor COIs'!$F$4:$F$503,(_calc!$E$18-500)))=0,"",INDEX('Vendor COIs'!$F$4:$F$503,(_calc!$E$18-500))))=0,"","Meets minimum: "&amp;IF(LEN(INDEX('Vendor COIs'!$F$4:$F$503,(_calc!$E$18-500)))=0,"",INDEX('Vendor COIs'!$F$4:$F$503,(_calc!$E$18-500)))&amp;". ")&amp;IF(LEN(IF(LEN(INDEX('Vendor COIs'!$G$4:$G$503,(_calc!$E$18-500)))=0,"",INDEX('Vendor COIs'!$G$4:$G$503,(_calc!$E$18-500))))=0,"","Additional insured: "&amp;IF(LEN(INDEX('Vendor COIs'!$G$4:$G$503,(_calc!$E$18-500)))=0,"",INDEX('Vendor COIs'!$G$4:$G$503,(_calc!$E$18-500)))&amp;". ")&amp;IF(LEN(IF(LEN(INDEX('Vendor COIs'!$M$4:$M$503,(_calc!$E$18-500)))=0,"",INDEX('Vendor COIs'!$M$4:$M$503,(_calc!$E$18-500))))=0,"","Vendor contact: "&amp;IF(LEN(INDEX('Vendor COIs'!$M$4:$M$503,(_calc!$E$18-500)))=0,"",INDEX('Vendor COIs'!$M$4:$M$503,(_calc!$E$18-500)))&amp;". ")&amp;IF(LEN(IF(LEN(INDEX('Vendor COIs'!$P$4:$P$503,(_calc!$E$18-500)))=0,"",INDEX('Vendor COIs'!$P$4:$P$503,(_calc!$E$18-500))))=0,"",IF(LEN(INDEX('Vendor COIs'!$P$4:$P$503,(_calc!$E$18-500)))=0,"",INDEX('Vendor COIs'!$P$4:$P$503,(_calc!$E$18-500)))))))</f>
        <v/>
      </c>
      <c r="G16" s="46">
        <f>IF(_calc!$E$18="","",IF(_calc!$E$18&lt;=500,IF(LEN(INDEX('Our policies'!$R$4:$R$503,_calc!$E$18))=0,"",INDEX('Our policies'!$R$4:$R$503,_calc!$E$18)),IF(LEN(INDEX('Vendor COIs'!$O$4:$O$503,(_calc!$E$18-500)))=0,"",INDEX('Vendor COIs'!$O$4:$O$503,(_calc!$E$18-500)))))</f>
        <v/>
      </c>
      <c r="H16" s="46">
        <f>IF(_calc!$E$18="","",IF(_calc!$E$18&lt;=500,IF(LEN(INDEX('Our policies'!$G$4:$G$503,_calc!$E$18))=0,"",INDEX('Our policies'!$G$4:$G$503,_calc!$E$18)),""))</f>
        <v/>
      </c>
      <c r="I16" s="46">
        <f>IF(_calc!$E$18="","",IF(_calc!$E$18&lt;=500,IF(LEN(INDEX('Our policies'!$H$4:$H$503,_calc!$E$18))=0,"",INDEX('Our policies'!$H$4:$H$503,_calc!$E$18)),""))</f>
        <v/>
      </c>
      <c r="K16" s="46">
        <f>IF(_calc!$E$18="","",IF(_calc!$E$18&lt;=500,IF(LEN(INDEX('Our policies'!$P$4:$P$503,_calc!$E$18))=0,"",INDEX('Our policies'!$P$4:$P$503,_calc!$E$18)),IF(LEN(INDEX('Vendor COIs'!$N$4:$N$503,(_calc!$E$18-500)))=0,"",INDEX('Vendor COIs'!$N$4:$N$503,(_calc!$E$18-500)))))</f>
        <v/>
      </c>
    </row>
    <row r="17">
      <c r="A17" s="46">
        <f>IF(_calc!$E$19="","",IF(_calc!$E$19&lt;=500,IF(LEN(INDEX('Our policies'!$A$4:$A$503,_calc!$E$19))=0,"",INDEX('Our policies'!$A$4:$A$503,_calc!$E$19)),"COI – "&amp;IF(LEN(INDEX('Vendor COIs'!$A$4:$A$503,(_calc!$E$19-500)))=0,"",INDEX('Vendor COIs'!$A$4:$A$503,(_calc!$E$19-500)))&amp;" – "&amp;IF(LEN(INDEX('Vendor COIs'!$B$4:$B$503,(_calc!$E$19-500)))=0,"",INDEX('Vendor COIs'!$B$4:$B$503,(_calc!$E$19-500)))))</f>
        <v/>
      </c>
      <c r="B17" s="46">
        <f>IF(_calc!$E$19="","",IF(_calc!$E$19&lt;=500,IF(ISNUMBER(INDEX('Our policies'!$J$4:$J$503,_calc!$E$19)),TEXT(INDEX('Our policies'!$J$4:$J$503,_calc!$E$19),"yyyy-mm-dd"),""),IF(ISNUMBER(INDEX('Vendor COIs'!$H$4:$H$503,(_calc!$E$19-500))),TEXT(INDEX('Vendor COIs'!$H$4:$H$503,(_calc!$E$19-500)),"yyyy-mm-dd"),"")))</f>
        <v/>
      </c>
      <c r="C17" s="46">
        <f>IF(_calc!$E$19="","",IF(_calc!$E$19&lt;=500,"Insurance","Certificate of insurance"))</f>
        <v/>
      </c>
      <c r="D17" s="46">
        <f>IF(_calc!$E$19="","",IF(_calc!$E$19&lt;=500,IF(ISNUMBER(INDEX('Our policies'!$I$4:$I$503,_calc!$E$19)),TEXT(INDEX('Our policies'!$I$4:$I$503,_calc!$E$19),"yyyy-mm-dd"),""),""))</f>
        <v/>
      </c>
      <c r="E17" s="46">
        <f>IF(_calc!$E$19="","",IF(_calc!$E$19&lt;=500,IF(LEN(INDEX('Our policies'!$Q$4:$Q$503,_calc!$E$19))=0,"",INDEX('Our policies'!$Q$4:$Q$503,_calc!$E$19)),"Medium"))</f>
        <v/>
      </c>
      <c r="F17" s="46">
        <f>IF(_calc!$E$19="","",IF(_calc!$E$19&lt;=500,TRIM(IF(LEN(IF(LEN(INDEX('Our policies'!$B$4:$B$503,_calc!$E$19))=0,"",INDEX('Our policies'!$B$4:$B$503,_calc!$E$19)))=0,"","Cover: "&amp;IF(LEN(INDEX('Our policies'!$B$4:$B$503,_calc!$E$19))=0,"",INDEX('Our policies'!$B$4:$B$503,_calc!$E$19))&amp;". ")&amp;IF(LEN(IF(LEN(INDEX('Our policies'!$C$4:$C$503,_calc!$E$19))=0,"",INDEX('Our policies'!$C$4:$C$503,_calc!$E$19)))=0,"","Insurer: "&amp;IF(LEN(INDEX('Our policies'!$C$4:$C$503,_calc!$E$19))=0,"",INDEX('Our policies'!$C$4:$C$503,_calc!$E$19))&amp;". ")&amp;IF(LEN(IF(LEN(INDEX('Our policies'!$D$4:$D$503,_calc!$E$19))=0,"",INDEX('Our policies'!$D$4:$D$503,_calc!$E$19)))=0,"","Broker: "&amp;IF(LEN(INDEX('Our policies'!$D$4:$D$503,_calc!$E$19))=0,"",INDEX('Our policies'!$D$4:$D$503,_calc!$E$19))&amp;". ")&amp;IF(LEN(IF(LEN(INDEX('Our policies'!$E$4:$E$503,_calc!$E$19))=0,"",INDEX('Our policies'!$E$4:$E$503,_calc!$E$19)))=0,"","Policy no.: "&amp;IF(LEN(INDEX('Our policies'!$E$4:$E$503,_calc!$E$19))=0,"",INDEX('Our policies'!$E$4:$E$503,_calc!$E$19))&amp;". ")&amp;IF(LEN(IF(LEN(INDEX('Our policies'!$S$4:$S$503,_calc!$E$19))=0,"",INDEX('Our policies'!$S$4:$S$503,_calc!$E$19)))=0,"",IF(LEN(INDEX('Our policies'!$S$4:$S$503,_calc!$E$19))=0,"",INDEX('Our policies'!$S$4:$S$503,_calc!$E$19)))),TRIM(IF(LEN(IF(LEN(INDEX('Vendor COIs'!$C$4:$C$503,(_calc!$E$19-500)))=0,"",INDEX('Vendor COIs'!$C$4:$C$503,(_calc!$E$19-500))))=0,"","Insurer: "&amp;IF(LEN(INDEX('Vendor COIs'!$C$4:$C$503,(_calc!$E$19-500)))=0,"",INDEX('Vendor COIs'!$C$4:$C$503,(_calc!$E$19-500)))&amp;". ")&amp;IF(LEN(IF(LEN(INDEX('Vendor COIs'!$D$4:$D$503,(_calc!$E$19-500)))=0,"",INDEX('Vendor COIs'!$D$4:$D$503,(_calc!$E$19-500))))=0,"","Policy no.: "&amp;IF(LEN(INDEX('Vendor COIs'!$D$4:$D$503,(_calc!$E$19-500)))=0,"",INDEX('Vendor COIs'!$D$4:$D$503,(_calc!$E$19-500)))&amp;". ")&amp;IF(LEN(IF(LEN(INDEX('Vendor COIs'!$F$4:$F$503,(_calc!$E$19-500)))=0,"",INDEX('Vendor COIs'!$F$4:$F$503,(_calc!$E$19-500))))=0,"","Meets minimum: "&amp;IF(LEN(INDEX('Vendor COIs'!$F$4:$F$503,(_calc!$E$19-500)))=0,"",INDEX('Vendor COIs'!$F$4:$F$503,(_calc!$E$19-500)))&amp;". ")&amp;IF(LEN(IF(LEN(INDEX('Vendor COIs'!$G$4:$G$503,(_calc!$E$19-500)))=0,"",INDEX('Vendor COIs'!$G$4:$G$503,(_calc!$E$19-500))))=0,"","Additional insured: "&amp;IF(LEN(INDEX('Vendor COIs'!$G$4:$G$503,(_calc!$E$19-500)))=0,"",INDEX('Vendor COIs'!$G$4:$G$503,(_calc!$E$19-500)))&amp;". ")&amp;IF(LEN(IF(LEN(INDEX('Vendor COIs'!$M$4:$M$503,(_calc!$E$19-500)))=0,"",INDEX('Vendor COIs'!$M$4:$M$503,(_calc!$E$19-500))))=0,"","Vendor contact: "&amp;IF(LEN(INDEX('Vendor COIs'!$M$4:$M$503,(_calc!$E$19-500)))=0,"",INDEX('Vendor COIs'!$M$4:$M$503,(_calc!$E$19-500)))&amp;". ")&amp;IF(LEN(IF(LEN(INDEX('Vendor COIs'!$P$4:$P$503,(_calc!$E$19-500)))=0,"",INDEX('Vendor COIs'!$P$4:$P$503,(_calc!$E$19-500))))=0,"",IF(LEN(INDEX('Vendor COIs'!$P$4:$P$503,(_calc!$E$19-500)))=0,"",INDEX('Vendor COIs'!$P$4:$P$503,(_calc!$E$19-500)))))))</f>
        <v/>
      </c>
      <c r="G17" s="46">
        <f>IF(_calc!$E$19="","",IF(_calc!$E$19&lt;=500,IF(LEN(INDEX('Our policies'!$R$4:$R$503,_calc!$E$19))=0,"",INDEX('Our policies'!$R$4:$R$503,_calc!$E$19)),IF(LEN(INDEX('Vendor COIs'!$O$4:$O$503,(_calc!$E$19-500)))=0,"",INDEX('Vendor COIs'!$O$4:$O$503,(_calc!$E$19-500)))))</f>
        <v/>
      </c>
      <c r="H17" s="46">
        <f>IF(_calc!$E$19="","",IF(_calc!$E$19&lt;=500,IF(LEN(INDEX('Our policies'!$G$4:$G$503,_calc!$E$19))=0,"",INDEX('Our policies'!$G$4:$G$503,_calc!$E$19)),""))</f>
        <v/>
      </c>
      <c r="I17" s="46">
        <f>IF(_calc!$E$19="","",IF(_calc!$E$19&lt;=500,IF(LEN(INDEX('Our policies'!$H$4:$H$503,_calc!$E$19))=0,"",INDEX('Our policies'!$H$4:$H$503,_calc!$E$19)),""))</f>
        <v/>
      </c>
      <c r="K17" s="46">
        <f>IF(_calc!$E$19="","",IF(_calc!$E$19&lt;=500,IF(LEN(INDEX('Our policies'!$P$4:$P$503,_calc!$E$19))=0,"",INDEX('Our policies'!$P$4:$P$503,_calc!$E$19)),IF(LEN(INDEX('Vendor COIs'!$N$4:$N$503,(_calc!$E$19-500)))=0,"",INDEX('Vendor COIs'!$N$4:$N$503,(_calc!$E$19-500)))))</f>
        <v/>
      </c>
    </row>
    <row r="18">
      <c r="A18" s="46">
        <f>IF(_calc!$E$20="","",IF(_calc!$E$20&lt;=500,IF(LEN(INDEX('Our policies'!$A$4:$A$503,_calc!$E$20))=0,"",INDEX('Our policies'!$A$4:$A$503,_calc!$E$20)),"COI – "&amp;IF(LEN(INDEX('Vendor COIs'!$A$4:$A$503,(_calc!$E$20-500)))=0,"",INDEX('Vendor COIs'!$A$4:$A$503,(_calc!$E$20-500)))&amp;" – "&amp;IF(LEN(INDEX('Vendor COIs'!$B$4:$B$503,(_calc!$E$20-500)))=0,"",INDEX('Vendor COIs'!$B$4:$B$503,(_calc!$E$20-500)))))</f>
        <v/>
      </c>
      <c r="B18" s="46">
        <f>IF(_calc!$E$20="","",IF(_calc!$E$20&lt;=500,IF(ISNUMBER(INDEX('Our policies'!$J$4:$J$503,_calc!$E$20)),TEXT(INDEX('Our policies'!$J$4:$J$503,_calc!$E$20),"yyyy-mm-dd"),""),IF(ISNUMBER(INDEX('Vendor COIs'!$H$4:$H$503,(_calc!$E$20-500))),TEXT(INDEX('Vendor COIs'!$H$4:$H$503,(_calc!$E$20-500)),"yyyy-mm-dd"),"")))</f>
        <v/>
      </c>
      <c r="C18" s="46">
        <f>IF(_calc!$E$20="","",IF(_calc!$E$20&lt;=500,"Insurance","Certificate of insurance"))</f>
        <v/>
      </c>
      <c r="D18" s="46">
        <f>IF(_calc!$E$20="","",IF(_calc!$E$20&lt;=500,IF(ISNUMBER(INDEX('Our policies'!$I$4:$I$503,_calc!$E$20)),TEXT(INDEX('Our policies'!$I$4:$I$503,_calc!$E$20),"yyyy-mm-dd"),""),""))</f>
        <v/>
      </c>
      <c r="E18" s="46">
        <f>IF(_calc!$E$20="","",IF(_calc!$E$20&lt;=500,IF(LEN(INDEX('Our policies'!$Q$4:$Q$503,_calc!$E$20))=0,"",INDEX('Our policies'!$Q$4:$Q$503,_calc!$E$20)),"Medium"))</f>
        <v/>
      </c>
      <c r="F18" s="46">
        <f>IF(_calc!$E$20="","",IF(_calc!$E$20&lt;=500,TRIM(IF(LEN(IF(LEN(INDEX('Our policies'!$B$4:$B$503,_calc!$E$20))=0,"",INDEX('Our policies'!$B$4:$B$503,_calc!$E$20)))=0,"","Cover: "&amp;IF(LEN(INDEX('Our policies'!$B$4:$B$503,_calc!$E$20))=0,"",INDEX('Our policies'!$B$4:$B$503,_calc!$E$20))&amp;". ")&amp;IF(LEN(IF(LEN(INDEX('Our policies'!$C$4:$C$503,_calc!$E$20))=0,"",INDEX('Our policies'!$C$4:$C$503,_calc!$E$20)))=0,"","Insurer: "&amp;IF(LEN(INDEX('Our policies'!$C$4:$C$503,_calc!$E$20))=0,"",INDEX('Our policies'!$C$4:$C$503,_calc!$E$20))&amp;". ")&amp;IF(LEN(IF(LEN(INDEX('Our policies'!$D$4:$D$503,_calc!$E$20))=0,"",INDEX('Our policies'!$D$4:$D$503,_calc!$E$20)))=0,"","Broker: "&amp;IF(LEN(INDEX('Our policies'!$D$4:$D$503,_calc!$E$20))=0,"",INDEX('Our policies'!$D$4:$D$503,_calc!$E$20))&amp;". ")&amp;IF(LEN(IF(LEN(INDEX('Our policies'!$E$4:$E$503,_calc!$E$20))=0,"",INDEX('Our policies'!$E$4:$E$503,_calc!$E$20)))=0,"","Policy no.: "&amp;IF(LEN(INDEX('Our policies'!$E$4:$E$503,_calc!$E$20))=0,"",INDEX('Our policies'!$E$4:$E$503,_calc!$E$20))&amp;". ")&amp;IF(LEN(IF(LEN(INDEX('Our policies'!$S$4:$S$503,_calc!$E$20))=0,"",INDEX('Our policies'!$S$4:$S$503,_calc!$E$20)))=0,"",IF(LEN(INDEX('Our policies'!$S$4:$S$503,_calc!$E$20))=0,"",INDEX('Our policies'!$S$4:$S$503,_calc!$E$20)))),TRIM(IF(LEN(IF(LEN(INDEX('Vendor COIs'!$C$4:$C$503,(_calc!$E$20-500)))=0,"",INDEX('Vendor COIs'!$C$4:$C$503,(_calc!$E$20-500))))=0,"","Insurer: "&amp;IF(LEN(INDEX('Vendor COIs'!$C$4:$C$503,(_calc!$E$20-500)))=0,"",INDEX('Vendor COIs'!$C$4:$C$503,(_calc!$E$20-500)))&amp;". ")&amp;IF(LEN(IF(LEN(INDEX('Vendor COIs'!$D$4:$D$503,(_calc!$E$20-500)))=0,"",INDEX('Vendor COIs'!$D$4:$D$503,(_calc!$E$20-500))))=0,"","Policy no.: "&amp;IF(LEN(INDEX('Vendor COIs'!$D$4:$D$503,(_calc!$E$20-500)))=0,"",INDEX('Vendor COIs'!$D$4:$D$503,(_calc!$E$20-500)))&amp;". ")&amp;IF(LEN(IF(LEN(INDEX('Vendor COIs'!$F$4:$F$503,(_calc!$E$20-500)))=0,"",INDEX('Vendor COIs'!$F$4:$F$503,(_calc!$E$20-500))))=0,"","Meets minimum: "&amp;IF(LEN(INDEX('Vendor COIs'!$F$4:$F$503,(_calc!$E$20-500)))=0,"",INDEX('Vendor COIs'!$F$4:$F$503,(_calc!$E$20-500)))&amp;". ")&amp;IF(LEN(IF(LEN(INDEX('Vendor COIs'!$G$4:$G$503,(_calc!$E$20-500)))=0,"",INDEX('Vendor COIs'!$G$4:$G$503,(_calc!$E$20-500))))=0,"","Additional insured: "&amp;IF(LEN(INDEX('Vendor COIs'!$G$4:$G$503,(_calc!$E$20-500)))=0,"",INDEX('Vendor COIs'!$G$4:$G$503,(_calc!$E$20-500)))&amp;". ")&amp;IF(LEN(IF(LEN(INDEX('Vendor COIs'!$M$4:$M$503,(_calc!$E$20-500)))=0,"",INDEX('Vendor COIs'!$M$4:$M$503,(_calc!$E$20-500))))=0,"","Vendor contact: "&amp;IF(LEN(INDEX('Vendor COIs'!$M$4:$M$503,(_calc!$E$20-500)))=0,"",INDEX('Vendor COIs'!$M$4:$M$503,(_calc!$E$20-500)))&amp;". ")&amp;IF(LEN(IF(LEN(INDEX('Vendor COIs'!$P$4:$P$503,(_calc!$E$20-500)))=0,"",INDEX('Vendor COIs'!$P$4:$P$503,(_calc!$E$20-500))))=0,"",IF(LEN(INDEX('Vendor COIs'!$P$4:$P$503,(_calc!$E$20-500)))=0,"",INDEX('Vendor COIs'!$P$4:$P$503,(_calc!$E$20-500)))))))</f>
        <v/>
      </c>
      <c r="G18" s="46">
        <f>IF(_calc!$E$20="","",IF(_calc!$E$20&lt;=500,IF(LEN(INDEX('Our policies'!$R$4:$R$503,_calc!$E$20))=0,"",INDEX('Our policies'!$R$4:$R$503,_calc!$E$20)),IF(LEN(INDEX('Vendor COIs'!$O$4:$O$503,(_calc!$E$20-500)))=0,"",INDEX('Vendor COIs'!$O$4:$O$503,(_calc!$E$20-500)))))</f>
        <v/>
      </c>
      <c r="H18" s="46">
        <f>IF(_calc!$E$20="","",IF(_calc!$E$20&lt;=500,IF(LEN(INDEX('Our policies'!$G$4:$G$503,_calc!$E$20))=0,"",INDEX('Our policies'!$G$4:$G$503,_calc!$E$20)),""))</f>
        <v/>
      </c>
      <c r="I18" s="46">
        <f>IF(_calc!$E$20="","",IF(_calc!$E$20&lt;=500,IF(LEN(INDEX('Our policies'!$H$4:$H$503,_calc!$E$20))=0,"",INDEX('Our policies'!$H$4:$H$503,_calc!$E$20)),""))</f>
        <v/>
      </c>
      <c r="K18" s="46">
        <f>IF(_calc!$E$20="","",IF(_calc!$E$20&lt;=500,IF(LEN(INDEX('Our policies'!$P$4:$P$503,_calc!$E$20))=0,"",INDEX('Our policies'!$P$4:$P$503,_calc!$E$20)),IF(LEN(INDEX('Vendor COIs'!$N$4:$N$503,(_calc!$E$20-500)))=0,"",INDEX('Vendor COIs'!$N$4:$N$503,(_calc!$E$20-500)))))</f>
        <v/>
      </c>
    </row>
    <row r="19">
      <c r="A19" s="46">
        <f>IF(_calc!$E$21="","",IF(_calc!$E$21&lt;=500,IF(LEN(INDEX('Our policies'!$A$4:$A$503,_calc!$E$21))=0,"",INDEX('Our policies'!$A$4:$A$503,_calc!$E$21)),"COI – "&amp;IF(LEN(INDEX('Vendor COIs'!$A$4:$A$503,(_calc!$E$21-500)))=0,"",INDEX('Vendor COIs'!$A$4:$A$503,(_calc!$E$21-500)))&amp;" – "&amp;IF(LEN(INDEX('Vendor COIs'!$B$4:$B$503,(_calc!$E$21-500)))=0,"",INDEX('Vendor COIs'!$B$4:$B$503,(_calc!$E$21-500)))))</f>
        <v/>
      </c>
      <c r="B19" s="46">
        <f>IF(_calc!$E$21="","",IF(_calc!$E$21&lt;=500,IF(ISNUMBER(INDEX('Our policies'!$J$4:$J$503,_calc!$E$21)),TEXT(INDEX('Our policies'!$J$4:$J$503,_calc!$E$21),"yyyy-mm-dd"),""),IF(ISNUMBER(INDEX('Vendor COIs'!$H$4:$H$503,(_calc!$E$21-500))),TEXT(INDEX('Vendor COIs'!$H$4:$H$503,(_calc!$E$21-500)),"yyyy-mm-dd"),"")))</f>
        <v/>
      </c>
      <c r="C19" s="46">
        <f>IF(_calc!$E$21="","",IF(_calc!$E$21&lt;=500,"Insurance","Certificate of insurance"))</f>
        <v/>
      </c>
      <c r="D19" s="46">
        <f>IF(_calc!$E$21="","",IF(_calc!$E$21&lt;=500,IF(ISNUMBER(INDEX('Our policies'!$I$4:$I$503,_calc!$E$21)),TEXT(INDEX('Our policies'!$I$4:$I$503,_calc!$E$21),"yyyy-mm-dd"),""),""))</f>
        <v/>
      </c>
      <c r="E19" s="46">
        <f>IF(_calc!$E$21="","",IF(_calc!$E$21&lt;=500,IF(LEN(INDEX('Our policies'!$Q$4:$Q$503,_calc!$E$21))=0,"",INDEX('Our policies'!$Q$4:$Q$503,_calc!$E$21)),"Medium"))</f>
        <v/>
      </c>
      <c r="F19" s="46">
        <f>IF(_calc!$E$21="","",IF(_calc!$E$21&lt;=500,TRIM(IF(LEN(IF(LEN(INDEX('Our policies'!$B$4:$B$503,_calc!$E$21))=0,"",INDEX('Our policies'!$B$4:$B$503,_calc!$E$21)))=0,"","Cover: "&amp;IF(LEN(INDEX('Our policies'!$B$4:$B$503,_calc!$E$21))=0,"",INDEX('Our policies'!$B$4:$B$503,_calc!$E$21))&amp;". ")&amp;IF(LEN(IF(LEN(INDEX('Our policies'!$C$4:$C$503,_calc!$E$21))=0,"",INDEX('Our policies'!$C$4:$C$503,_calc!$E$21)))=0,"","Insurer: "&amp;IF(LEN(INDEX('Our policies'!$C$4:$C$503,_calc!$E$21))=0,"",INDEX('Our policies'!$C$4:$C$503,_calc!$E$21))&amp;". ")&amp;IF(LEN(IF(LEN(INDEX('Our policies'!$D$4:$D$503,_calc!$E$21))=0,"",INDEX('Our policies'!$D$4:$D$503,_calc!$E$21)))=0,"","Broker: "&amp;IF(LEN(INDEX('Our policies'!$D$4:$D$503,_calc!$E$21))=0,"",INDEX('Our policies'!$D$4:$D$503,_calc!$E$21))&amp;". ")&amp;IF(LEN(IF(LEN(INDEX('Our policies'!$E$4:$E$503,_calc!$E$21))=0,"",INDEX('Our policies'!$E$4:$E$503,_calc!$E$21)))=0,"","Policy no.: "&amp;IF(LEN(INDEX('Our policies'!$E$4:$E$503,_calc!$E$21))=0,"",INDEX('Our policies'!$E$4:$E$503,_calc!$E$21))&amp;". ")&amp;IF(LEN(IF(LEN(INDEX('Our policies'!$S$4:$S$503,_calc!$E$21))=0,"",INDEX('Our policies'!$S$4:$S$503,_calc!$E$21)))=0,"",IF(LEN(INDEX('Our policies'!$S$4:$S$503,_calc!$E$21))=0,"",INDEX('Our policies'!$S$4:$S$503,_calc!$E$21)))),TRIM(IF(LEN(IF(LEN(INDEX('Vendor COIs'!$C$4:$C$503,(_calc!$E$21-500)))=0,"",INDEX('Vendor COIs'!$C$4:$C$503,(_calc!$E$21-500))))=0,"","Insurer: "&amp;IF(LEN(INDEX('Vendor COIs'!$C$4:$C$503,(_calc!$E$21-500)))=0,"",INDEX('Vendor COIs'!$C$4:$C$503,(_calc!$E$21-500)))&amp;". ")&amp;IF(LEN(IF(LEN(INDEX('Vendor COIs'!$D$4:$D$503,(_calc!$E$21-500)))=0,"",INDEX('Vendor COIs'!$D$4:$D$503,(_calc!$E$21-500))))=0,"","Policy no.: "&amp;IF(LEN(INDEX('Vendor COIs'!$D$4:$D$503,(_calc!$E$21-500)))=0,"",INDEX('Vendor COIs'!$D$4:$D$503,(_calc!$E$21-500)))&amp;". ")&amp;IF(LEN(IF(LEN(INDEX('Vendor COIs'!$F$4:$F$503,(_calc!$E$21-500)))=0,"",INDEX('Vendor COIs'!$F$4:$F$503,(_calc!$E$21-500))))=0,"","Meets minimum: "&amp;IF(LEN(INDEX('Vendor COIs'!$F$4:$F$503,(_calc!$E$21-500)))=0,"",INDEX('Vendor COIs'!$F$4:$F$503,(_calc!$E$21-500)))&amp;". ")&amp;IF(LEN(IF(LEN(INDEX('Vendor COIs'!$G$4:$G$503,(_calc!$E$21-500)))=0,"",INDEX('Vendor COIs'!$G$4:$G$503,(_calc!$E$21-500))))=0,"","Additional insured: "&amp;IF(LEN(INDEX('Vendor COIs'!$G$4:$G$503,(_calc!$E$21-500)))=0,"",INDEX('Vendor COIs'!$G$4:$G$503,(_calc!$E$21-500)))&amp;". ")&amp;IF(LEN(IF(LEN(INDEX('Vendor COIs'!$M$4:$M$503,(_calc!$E$21-500)))=0,"",INDEX('Vendor COIs'!$M$4:$M$503,(_calc!$E$21-500))))=0,"","Vendor contact: "&amp;IF(LEN(INDEX('Vendor COIs'!$M$4:$M$503,(_calc!$E$21-500)))=0,"",INDEX('Vendor COIs'!$M$4:$M$503,(_calc!$E$21-500)))&amp;". ")&amp;IF(LEN(IF(LEN(INDEX('Vendor COIs'!$P$4:$P$503,(_calc!$E$21-500)))=0,"",INDEX('Vendor COIs'!$P$4:$P$503,(_calc!$E$21-500))))=0,"",IF(LEN(INDEX('Vendor COIs'!$P$4:$P$503,(_calc!$E$21-500)))=0,"",INDEX('Vendor COIs'!$P$4:$P$503,(_calc!$E$21-500)))))))</f>
        <v/>
      </c>
      <c r="G19" s="46">
        <f>IF(_calc!$E$21="","",IF(_calc!$E$21&lt;=500,IF(LEN(INDEX('Our policies'!$R$4:$R$503,_calc!$E$21))=0,"",INDEX('Our policies'!$R$4:$R$503,_calc!$E$21)),IF(LEN(INDEX('Vendor COIs'!$O$4:$O$503,(_calc!$E$21-500)))=0,"",INDEX('Vendor COIs'!$O$4:$O$503,(_calc!$E$21-500)))))</f>
        <v/>
      </c>
      <c r="H19" s="46">
        <f>IF(_calc!$E$21="","",IF(_calc!$E$21&lt;=500,IF(LEN(INDEX('Our policies'!$G$4:$G$503,_calc!$E$21))=0,"",INDEX('Our policies'!$G$4:$G$503,_calc!$E$21)),""))</f>
        <v/>
      </c>
      <c r="I19" s="46">
        <f>IF(_calc!$E$21="","",IF(_calc!$E$21&lt;=500,IF(LEN(INDEX('Our policies'!$H$4:$H$503,_calc!$E$21))=0,"",INDEX('Our policies'!$H$4:$H$503,_calc!$E$21)),""))</f>
        <v/>
      </c>
      <c r="K19" s="46">
        <f>IF(_calc!$E$21="","",IF(_calc!$E$21&lt;=500,IF(LEN(INDEX('Our policies'!$P$4:$P$503,_calc!$E$21))=0,"",INDEX('Our policies'!$P$4:$P$503,_calc!$E$21)),IF(LEN(INDEX('Vendor COIs'!$N$4:$N$503,(_calc!$E$21-500)))=0,"",INDEX('Vendor COIs'!$N$4:$N$503,(_calc!$E$21-500)))))</f>
        <v/>
      </c>
    </row>
    <row r="20">
      <c r="A20" s="46">
        <f>IF(_calc!$E$22="","",IF(_calc!$E$22&lt;=500,IF(LEN(INDEX('Our policies'!$A$4:$A$503,_calc!$E$22))=0,"",INDEX('Our policies'!$A$4:$A$503,_calc!$E$22)),"COI – "&amp;IF(LEN(INDEX('Vendor COIs'!$A$4:$A$503,(_calc!$E$22-500)))=0,"",INDEX('Vendor COIs'!$A$4:$A$503,(_calc!$E$22-500)))&amp;" – "&amp;IF(LEN(INDEX('Vendor COIs'!$B$4:$B$503,(_calc!$E$22-500)))=0,"",INDEX('Vendor COIs'!$B$4:$B$503,(_calc!$E$22-500)))))</f>
        <v/>
      </c>
      <c r="B20" s="46">
        <f>IF(_calc!$E$22="","",IF(_calc!$E$22&lt;=500,IF(ISNUMBER(INDEX('Our policies'!$J$4:$J$503,_calc!$E$22)),TEXT(INDEX('Our policies'!$J$4:$J$503,_calc!$E$22),"yyyy-mm-dd"),""),IF(ISNUMBER(INDEX('Vendor COIs'!$H$4:$H$503,(_calc!$E$22-500))),TEXT(INDEX('Vendor COIs'!$H$4:$H$503,(_calc!$E$22-500)),"yyyy-mm-dd"),"")))</f>
        <v/>
      </c>
      <c r="C20" s="46">
        <f>IF(_calc!$E$22="","",IF(_calc!$E$22&lt;=500,"Insurance","Certificate of insurance"))</f>
        <v/>
      </c>
      <c r="D20" s="46">
        <f>IF(_calc!$E$22="","",IF(_calc!$E$22&lt;=500,IF(ISNUMBER(INDEX('Our policies'!$I$4:$I$503,_calc!$E$22)),TEXT(INDEX('Our policies'!$I$4:$I$503,_calc!$E$22),"yyyy-mm-dd"),""),""))</f>
        <v/>
      </c>
      <c r="E20" s="46">
        <f>IF(_calc!$E$22="","",IF(_calc!$E$22&lt;=500,IF(LEN(INDEX('Our policies'!$Q$4:$Q$503,_calc!$E$22))=0,"",INDEX('Our policies'!$Q$4:$Q$503,_calc!$E$22)),"Medium"))</f>
        <v/>
      </c>
      <c r="F20" s="46">
        <f>IF(_calc!$E$22="","",IF(_calc!$E$22&lt;=500,TRIM(IF(LEN(IF(LEN(INDEX('Our policies'!$B$4:$B$503,_calc!$E$22))=0,"",INDEX('Our policies'!$B$4:$B$503,_calc!$E$22)))=0,"","Cover: "&amp;IF(LEN(INDEX('Our policies'!$B$4:$B$503,_calc!$E$22))=0,"",INDEX('Our policies'!$B$4:$B$503,_calc!$E$22))&amp;". ")&amp;IF(LEN(IF(LEN(INDEX('Our policies'!$C$4:$C$503,_calc!$E$22))=0,"",INDEX('Our policies'!$C$4:$C$503,_calc!$E$22)))=0,"","Insurer: "&amp;IF(LEN(INDEX('Our policies'!$C$4:$C$503,_calc!$E$22))=0,"",INDEX('Our policies'!$C$4:$C$503,_calc!$E$22))&amp;". ")&amp;IF(LEN(IF(LEN(INDEX('Our policies'!$D$4:$D$503,_calc!$E$22))=0,"",INDEX('Our policies'!$D$4:$D$503,_calc!$E$22)))=0,"","Broker: "&amp;IF(LEN(INDEX('Our policies'!$D$4:$D$503,_calc!$E$22))=0,"",INDEX('Our policies'!$D$4:$D$503,_calc!$E$22))&amp;". ")&amp;IF(LEN(IF(LEN(INDEX('Our policies'!$E$4:$E$503,_calc!$E$22))=0,"",INDEX('Our policies'!$E$4:$E$503,_calc!$E$22)))=0,"","Policy no.: "&amp;IF(LEN(INDEX('Our policies'!$E$4:$E$503,_calc!$E$22))=0,"",INDEX('Our policies'!$E$4:$E$503,_calc!$E$22))&amp;". ")&amp;IF(LEN(IF(LEN(INDEX('Our policies'!$S$4:$S$503,_calc!$E$22))=0,"",INDEX('Our policies'!$S$4:$S$503,_calc!$E$22)))=0,"",IF(LEN(INDEX('Our policies'!$S$4:$S$503,_calc!$E$22))=0,"",INDEX('Our policies'!$S$4:$S$503,_calc!$E$22)))),TRIM(IF(LEN(IF(LEN(INDEX('Vendor COIs'!$C$4:$C$503,(_calc!$E$22-500)))=0,"",INDEX('Vendor COIs'!$C$4:$C$503,(_calc!$E$22-500))))=0,"","Insurer: "&amp;IF(LEN(INDEX('Vendor COIs'!$C$4:$C$503,(_calc!$E$22-500)))=0,"",INDEX('Vendor COIs'!$C$4:$C$503,(_calc!$E$22-500)))&amp;". ")&amp;IF(LEN(IF(LEN(INDEX('Vendor COIs'!$D$4:$D$503,(_calc!$E$22-500)))=0,"",INDEX('Vendor COIs'!$D$4:$D$503,(_calc!$E$22-500))))=0,"","Policy no.: "&amp;IF(LEN(INDEX('Vendor COIs'!$D$4:$D$503,(_calc!$E$22-500)))=0,"",INDEX('Vendor COIs'!$D$4:$D$503,(_calc!$E$22-500)))&amp;". ")&amp;IF(LEN(IF(LEN(INDEX('Vendor COIs'!$F$4:$F$503,(_calc!$E$22-500)))=0,"",INDEX('Vendor COIs'!$F$4:$F$503,(_calc!$E$22-500))))=0,"","Meets minimum: "&amp;IF(LEN(INDEX('Vendor COIs'!$F$4:$F$503,(_calc!$E$22-500)))=0,"",INDEX('Vendor COIs'!$F$4:$F$503,(_calc!$E$22-500)))&amp;". ")&amp;IF(LEN(IF(LEN(INDEX('Vendor COIs'!$G$4:$G$503,(_calc!$E$22-500)))=0,"",INDEX('Vendor COIs'!$G$4:$G$503,(_calc!$E$22-500))))=0,"","Additional insured: "&amp;IF(LEN(INDEX('Vendor COIs'!$G$4:$G$503,(_calc!$E$22-500)))=0,"",INDEX('Vendor COIs'!$G$4:$G$503,(_calc!$E$22-500)))&amp;". ")&amp;IF(LEN(IF(LEN(INDEX('Vendor COIs'!$M$4:$M$503,(_calc!$E$22-500)))=0,"",INDEX('Vendor COIs'!$M$4:$M$503,(_calc!$E$22-500))))=0,"","Vendor contact: "&amp;IF(LEN(INDEX('Vendor COIs'!$M$4:$M$503,(_calc!$E$22-500)))=0,"",INDEX('Vendor COIs'!$M$4:$M$503,(_calc!$E$22-500)))&amp;". ")&amp;IF(LEN(IF(LEN(INDEX('Vendor COIs'!$P$4:$P$503,(_calc!$E$22-500)))=0,"",INDEX('Vendor COIs'!$P$4:$P$503,(_calc!$E$22-500))))=0,"",IF(LEN(INDEX('Vendor COIs'!$P$4:$P$503,(_calc!$E$22-500)))=0,"",INDEX('Vendor COIs'!$P$4:$P$503,(_calc!$E$22-500)))))))</f>
        <v/>
      </c>
      <c r="G20" s="46">
        <f>IF(_calc!$E$22="","",IF(_calc!$E$22&lt;=500,IF(LEN(INDEX('Our policies'!$R$4:$R$503,_calc!$E$22))=0,"",INDEX('Our policies'!$R$4:$R$503,_calc!$E$22)),IF(LEN(INDEX('Vendor COIs'!$O$4:$O$503,(_calc!$E$22-500)))=0,"",INDEX('Vendor COIs'!$O$4:$O$503,(_calc!$E$22-500)))))</f>
        <v/>
      </c>
      <c r="H20" s="46">
        <f>IF(_calc!$E$22="","",IF(_calc!$E$22&lt;=500,IF(LEN(INDEX('Our policies'!$G$4:$G$503,_calc!$E$22))=0,"",INDEX('Our policies'!$G$4:$G$503,_calc!$E$22)),""))</f>
        <v/>
      </c>
      <c r="I20" s="46">
        <f>IF(_calc!$E$22="","",IF(_calc!$E$22&lt;=500,IF(LEN(INDEX('Our policies'!$H$4:$H$503,_calc!$E$22))=0,"",INDEX('Our policies'!$H$4:$H$503,_calc!$E$22)),""))</f>
        <v/>
      </c>
      <c r="K20" s="46">
        <f>IF(_calc!$E$22="","",IF(_calc!$E$22&lt;=500,IF(LEN(INDEX('Our policies'!$P$4:$P$503,_calc!$E$22))=0,"",INDEX('Our policies'!$P$4:$P$503,_calc!$E$22)),IF(LEN(INDEX('Vendor COIs'!$N$4:$N$503,(_calc!$E$22-500)))=0,"",INDEX('Vendor COIs'!$N$4:$N$503,(_calc!$E$22-500)))))</f>
        <v/>
      </c>
    </row>
    <row r="21">
      <c r="A21" s="46">
        <f>IF(_calc!$E$23="","",IF(_calc!$E$23&lt;=500,IF(LEN(INDEX('Our policies'!$A$4:$A$503,_calc!$E$23))=0,"",INDEX('Our policies'!$A$4:$A$503,_calc!$E$23)),"COI – "&amp;IF(LEN(INDEX('Vendor COIs'!$A$4:$A$503,(_calc!$E$23-500)))=0,"",INDEX('Vendor COIs'!$A$4:$A$503,(_calc!$E$23-500)))&amp;" – "&amp;IF(LEN(INDEX('Vendor COIs'!$B$4:$B$503,(_calc!$E$23-500)))=0,"",INDEX('Vendor COIs'!$B$4:$B$503,(_calc!$E$23-500)))))</f>
        <v/>
      </c>
      <c r="B21" s="46">
        <f>IF(_calc!$E$23="","",IF(_calc!$E$23&lt;=500,IF(ISNUMBER(INDEX('Our policies'!$J$4:$J$503,_calc!$E$23)),TEXT(INDEX('Our policies'!$J$4:$J$503,_calc!$E$23),"yyyy-mm-dd"),""),IF(ISNUMBER(INDEX('Vendor COIs'!$H$4:$H$503,(_calc!$E$23-500))),TEXT(INDEX('Vendor COIs'!$H$4:$H$503,(_calc!$E$23-500)),"yyyy-mm-dd"),"")))</f>
        <v/>
      </c>
      <c r="C21" s="46">
        <f>IF(_calc!$E$23="","",IF(_calc!$E$23&lt;=500,"Insurance","Certificate of insurance"))</f>
        <v/>
      </c>
      <c r="D21" s="46">
        <f>IF(_calc!$E$23="","",IF(_calc!$E$23&lt;=500,IF(ISNUMBER(INDEX('Our policies'!$I$4:$I$503,_calc!$E$23)),TEXT(INDEX('Our policies'!$I$4:$I$503,_calc!$E$23),"yyyy-mm-dd"),""),""))</f>
        <v/>
      </c>
      <c r="E21" s="46">
        <f>IF(_calc!$E$23="","",IF(_calc!$E$23&lt;=500,IF(LEN(INDEX('Our policies'!$Q$4:$Q$503,_calc!$E$23))=0,"",INDEX('Our policies'!$Q$4:$Q$503,_calc!$E$23)),"Medium"))</f>
        <v/>
      </c>
      <c r="F21" s="46">
        <f>IF(_calc!$E$23="","",IF(_calc!$E$23&lt;=500,TRIM(IF(LEN(IF(LEN(INDEX('Our policies'!$B$4:$B$503,_calc!$E$23))=0,"",INDEX('Our policies'!$B$4:$B$503,_calc!$E$23)))=0,"","Cover: "&amp;IF(LEN(INDEX('Our policies'!$B$4:$B$503,_calc!$E$23))=0,"",INDEX('Our policies'!$B$4:$B$503,_calc!$E$23))&amp;". ")&amp;IF(LEN(IF(LEN(INDEX('Our policies'!$C$4:$C$503,_calc!$E$23))=0,"",INDEX('Our policies'!$C$4:$C$503,_calc!$E$23)))=0,"","Insurer: "&amp;IF(LEN(INDEX('Our policies'!$C$4:$C$503,_calc!$E$23))=0,"",INDEX('Our policies'!$C$4:$C$503,_calc!$E$23))&amp;". ")&amp;IF(LEN(IF(LEN(INDEX('Our policies'!$D$4:$D$503,_calc!$E$23))=0,"",INDEX('Our policies'!$D$4:$D$503,_calc!$E$23)))=0,"","Broker: "&amp;IF(LEN(INDEX('Our policies'!$D$4:$D$503,_calc!$E$23))=0,"",INDEX('Our policies'!$D$4:$D$503,_calc!$E$23))&amp;". ")&amp;IF(LEN(IF(LEN(INDEX('Our policies'!$E$4:$E$503,_calc!$E$23))=0,"",INDEX('Our policies'!$E$4:$E$503,_calc!$E$23)))=0,"","Policy no.: "&amp;IF(LEN(INDEX('Our policies'!$E$4:$E$503,_calc!$E$23))=0,"",INDEX('Our policies'!$E$4:$E$503,_calc!$E$23))&amp;". ")&amp;IF(LEN(IF(LEN(INDEX('Our policies'!$S$4:$S$503,_calc!$E$23))=0,"",INDEX('Our policies'!$S$4:$S$503,_calc!$E$23)))=0,"",IF(LEN(INDEX('Our policies'!$S$4:$S$503,_calc!$E$23))=0,"",INDEX('Our policies'!$S$4:$S$503,_calc!$E$23)))),TRIM(IF(LEN(IF(LEN(INDEX('Vendor COIs'!$C$4:$C$503,(_calc!$E$23-500)))=0,"",INDEX('Vendor COIs'!$C$4:$C$503,(_calc!$E$23-500))))=0,"","Insurer: "&amp;IF(LEN(INDEX('Vendor COIs'!$C$4:$C$503,(_calc!$E$23-500)))=0,"",INDEX('Vendor COIs'!$C$4:$C$503,(_calc!$E$23-500)))&amp;". ")&amp;IF(LEN(IF(LEN(INDEX('Vendor COIs'!$D$4:$D$503,(_calc!$E$23-500)))=0,"",INDEX('Vendor COIs'!$D$4:$D$503,(_calc!$E$23-500))))=0,"","Policy no.: "&amp;IF(LEN(INDEX('Vendor COIs'!$D$4:$D$503,(_calc!$E$23-500)))=0,"",INDEX('Vendor COIs'!$D$4:$D$503,(_calc!$E$23-500)))&amp;". ")&amp;IF(LEN(IF(LEN(INDEX('Vendor COIs'!$F$4:$F$503,(_calc!$E$23-500)))=0,"",INDEX('Vendor COIs'!$F$4:$F$503,(_calc!$E$23-500))))=0,"","Meets minimum: "&amp;IF(LEN(INDEX('Vendor COIs'!$F$4:$F$503,(_calc!$E$23-500)))=0,"",INDEX('Vendor COIs'!$F$4:$F$503,(_calc!$E$23-500)))&amp;". ")&amp;IF(LEN(IF(LEN(INDEX('Vendor COIs'!$G$4:$G$503,(_calc!$E$23-500)))=0,"",INDEX('Vendor COIs'!$G$4:$G$503,(_calc!$E$23-500))))=0,"","Additional insured: "&amp;IF(LEN(INDEX('Vendor COIs'!$G$4:$G$503,(_calc!$E$23-500)))=0,"",INDEX('Vendor COIs'!$G$4:$G$503,(_calc!$E$23-500)))&amp;". ")&amp;IF(LEN(IF(LEN(INDEX('Vendor COIs'!$M$4:$M$503,(_calc!$E$23-500)))=0,"",INDEX('Vendor COIs'!$M$4:$M$503,(_calc!$E$23-500))))=0,"","Vendor contact: "&amp;IF(LEN(INDEX('Vendor COIs'!$M$4:$M$503,(_calc!$E$23-500)))=0,"",INDEX('Vendor COIs'!$M$4:$M$503,(_calc!$E$23-500)))&amp;". ")&amp;IF(LEN(IF(LEN(INDEX('Vendor COIs'!$P$4:$P$503,(_calc!$E$23-500)))=0,"",INDEX('Vendor COIs'!$P$4:$P$503,(_calc!$E$23-500))))=0,"",IF(LEN(INDEX('Vendor COIs'!$P$4:$P$503,(_calc!$E$23-500)))=0,"",INDEX('Vendor COIs'!$P$4:$P$503,(_calc!$E$23-500)))))))</f>
        <v/>
      </c>
      <c r="G21" s="46">
        <f>IF(_calc!$E$23="","",IF(_calc!$E$23&lt;=500,IF(LEN(INDEX('Our policies'!$R$4:$R$503,_calc!$E$23))=0,"",INDEX('Our policies'!$R$4:$R$503,_calc!$E$23)),IF(LEN(INDEX('Vendor COIs'!$O$4:$O$503,(_calc!$E$23-500)))=0,"",INDEX('Vendor COIs'!$O$4:$O$503,(_calc!$E$23-500)))))</f>
        <v/>
      </c>
      <c r="H21" s="46">
        <f>IF(_calc!$E$23="","",IF(_calc!$E$23&lt;=500,IF(LEN(INDEX('Our policies'!$G$4:$G$503,_calc!$E$23))=0,"",INDEX('Our policies'!$G$4:$G$503,_calc!$E$23)),""))</f>
        <v/>
      </c>
      <c r="I21" s="46">
        <f>IF(_calc!$E$23="","",IF(_calc!$E$23&lt;=500,IF(LEN(INDEX('Our policies'!$H$4:$H$503,_calc!$E$23))=0,"",INDEX('Our policies'!$H$4:$H$503,_calc!$E$23)),""))</f>
        <v/>
      </c>
      <c r="K21" s="46">
        <f>IF(_calc!$E$23="","",IF(_calc!$E$23&lt;=500,IF(LEN(INDEX('Our policies'!$P$4:$P$503,_calc!$E$23))=0,"",INDEX('Our policies'!$P$4:$P$503,_calc!$E$23)),IF(LEN(INDEX('Vendor COIs'!$N$4:$N$503,(_calc!$E$23-500)))=0,"",INDEX('Vendor COIs'!$N$4:$N$503,(_calc!$E$23-500)))))</f>
        <v/>
      </c>
    </row>
    <row r="22">
      <c r="A22" s="46">
        <f>IF(_calc!$E$24="","",IF(_calc!$E$24&lt;=500,IF(LEN(INDEX('Our policies'!$A$4:$A$503,_calc!$E$24))=0,"",INDEX('Our policies'!$A$4:$A$503,_calc!$E$24)),"COI – "&amp;IF(LEN(INDEX('Vendor COIs'!$A$4:$A$503,(_calc!$E$24-500)))=0,"",INDEX('Vendor COIs'!$A$4:$A$503,(_calc!$E$24-500)))&amp;" – "&amp;IF(LEN(INDEX('Vendor COIs'!$B$4:$B$503,(_calc!$E$24-500)))=0,"",INDEX('Vendor COIs'!$B$4:$B$503,(_calc!$E$24-500)))))</f>
        <v/>
      </c>
      <c r="B22" s="46">
        <f>IF(_calc!$E$24="","",IF(_calc!$E$24&lt;=500,IF(ISNUMBER(INDEX('Our policies'!$J$4:$J$503,_calc!$E$24)),TEXT(INDEX('Our policies'!$J$4:$J$503,_calc!$E$24),"yyyy-mm-dd"),""),IF(ISNUMBER(INDEX('Vendor COIs'!$H$4:$H$503,(_calc!$E$24-500))),TEXT(INDEX('Vendor COIs'!$H$4:$H$503,(_calc!$E$24-500)),"yyyy-mm-dd"),"")))</f>
        <v/>
      </c>
      <c r="C22" s="46">
        <f>IF(_calc!$E$24="","",IF(_calc!$E$24&lt;=500,"Insurance","Certificate of insurance"))</f>
        <v/>
      </c>
      <c r="D22" s="46">
        <f>IF(_calc!$E$24="","",IF(_calc!$E$24&lt;=500,IF(ISNUMBER(INDEX('Our policies'!$I$4:$I$503,_calc!$E$24)),TEXT(INDEX('Our policies'!$I$4:$I$503,_calc!$E$24),"yyyy-mm-dd"),""),""))</f>
        <v/>
      </c>
      <c r="E22" s="46">
        <f>IF(_calc!$E$24="","",IF(_calc!$E$24&lt;=500,IF(LEN(INDEX('Our policies'!$Q$4:$Q$503,_calc!$E$24))=0,"",INDEX('Our policies'!$Q$4:$Q$503,_calc!$E$24)),"Medium"))</f>
        <v/>
      </c>
      <c r="F22" s="46">
        <f>IF(_calc!$E$24="","",IF(_calc!$E$24&lt;=500,TRIM(IF(LEN(IF(LEN(INDEX('Our policies'!$B$4:$B$503,_calc!$E$24))=0,"",INDEX('Our policies'!$B$4:$B$503,_calc!$E$24)))=0,"","Cover: "&amp;IF(LEN(INDEX('Our policies'!$B$4:$B$503,_calc!$E$24))=0,"",INDEX('Our policies'!$B$4:$B$503,_calc!$E$24))&amp;". ")&amp;IF(LEN(IF(LEN(INDEX('Our policies'!$C$4:$C$503,_calc!$E$24))=0,"",INDEX('Our policies'!$C$4:$C$503,_calc!$E$24)))=0,"","Insurer: "&amp;IF(LEN(INDEX('Our policies'!$C$4:$C$503,_calc!$E$24))=0,"",INDEX('Our policies'!$C$4:$C$503,_calc!$E$24))&amp;". ")&amp;IF(LEN(IF(LEN(INDEX('Our policies'!$D$4:$D$503,_calc!$E$24))=0,"",INDEX('Our policies'!$D$4:$D$503,_calc!$E$24)))=0,"","Broker: "&amp;IF(LEN(INDEX('Our policies'!$D$4:$D$503,_calc!$E$24))=0,"",INDEX('Our policies'!$D$4:$D$503,_calc!$E$24))&amp;". ")&amp;IF(LEN(IF(LEN(INDEX('Our policies'!$E$4:$E$503,_calc!$E$24))=0,"",INDEX('Our policies'!$E$4:$E$503,_calc!$E$24)))=0,"","Policy no.: "&amp;IF(LEN(INDEX('Our policies'!$E$4:$E$503,_calc!$E$24))=0,"",INDEX('Our policies'!$E$4:$E$503,_calc!$E$24))&amp;". ")&amp;IF(LEN(IF(LEN(INDEX('Our policies'!$S$4:$S$503,_calc!$E$24))=0,"",INDEX('Our policies'!$S$4:$S$503,_calc!$E$24)))=0,"",IF(LEN(INDEX('Our policies'!$S$4:$S$503,_calc!$E$24))=0,"",INDEX('Our policies'!$S$4:$S$503,_calc!$E$24)))),TRIM(IF(LEN(IF(LEN(INDEX('Vendor COIs'!$C$4:$C$503,(_calc!$E$24-500)))=0,"",INDEX('Vendor COIs'!$C$4:$C$503,(_calc!$E$24-500))))=0,"","Insurer: "&amp;IF(LEN(INDEX('Vendor COIs'!$C$4:$C$503,(_calc!$E$24-500)))=0,"",INDEX('Vendor COIs'!$C$4:$C$503,(_calc!$E$24-500)))&amp;". ")&amp;IF(LEN(IF(LEN(INDEX('Vendor COIs'!$D$4:$D$503,(_calc!$E$24-500)))=0,"",INDEX('Vendor COIs'!$D$4:$D$503,(_calc!$E$24-500))))=0,"","Policy no.: "&amp;IF(LEN(INDEX('Vendor COIs'!$D$4:$D$503,(_calc!$E$24-500)))=0,"",INDEX('Vendor COIs'!$D$4:$D$503,(_calc!$E$24-500)))&amp;". ")&amp;IF(LEN(IF(LEN(INDEX('Vendor COIs'!$F$4:$F$503,(_calc!$E$24-500)))=0,"",INDEX('Vendor COIs'!$F$4:$F$503,(_calc!$E$24-500))))=0,"","Meets minimum: "&amp;IF(LEN(INDEX('Vendor COIs'!$F$4:$F$503,(_calc!$E$24-500)))=0,"",INDEX('Vendor COIs'!$F$4:$F$503,(_calc!$E$24-500)))&amp;". ")&amp;IF(LEN(IF(LEN(INDEX('Vendor COIs'!$G$4:$G$503,(_calc!$E$24-500)))=0,"",INDEX('Vendor COIs'!$G$4:$G$503,(_calc!$E$24-500))))=0,"","Additional insured: "&amp;IF(LEN(INDEX('Vendor COIs'!$G$4:$G$503,(_calc!$E$24-500)))=0,"",INDEX('Vendor COIs'!$G$4:$G$503,(_calc!$E$24-500)))&amp;". ")&amp;IF(LEN(IF(LEN(INDEX('Vendor COIs'!$M$4:$M$503,(_calc!$E$24-500)))=0,"",INDEX('Vendor COIs'!$M$4:$M$503,(_calc!$E$24-500))))=0,"","Vendor contact: "&amp;IF(LEN(INDEX('Vendor COIs'!$M$4:$M$503,(_calc!$E$24-500)))=0,"",INDEX('Vendor COIs'!$M$4:$M$503,(_calc!$E$24-500)))&amp;". ")&amp;IF(LEN(IF(LEN(INDEX('Vendor COIs'!$P$4:$P$503,(_calc!$E$24-500)))=0,"",INDEX('Vendor COIs'!$P$4:$P$503,(_calc!$E$24-500))))=0,"",IF(LEN(INDEX('Vendor COIs'!$P$4:$P$503,(_calc!$E$24-500)))=0,"",INDEX('Vendor COIs'!$P$4:$P$503,(_calc!$E$24-500)))))))</f>
        <v/>
      </c>
      <c r="G22" s="46">
        <f>IF(_calc!$E$24="","",IF(_calc!$E$24&lt;=500,IF(LEN(INDEX('Our policies'!$R$4:$R$503,_calc!$E$24))=0,"",INDEX('Our policies'!$R$4:$R$503,_calc!$E$24)),IF(LEN(INDEX('Vendor COIs'!$O$4:$O$503,(_calc!$E$24-500)))=0,"",INDEX('Vendor COIs'!$O$4:$O$503,(_calc!$E$24-500)))))</f>
        <v/>
      </c>
      <c r="H22" s="46">
        <f>IF(_calc!$E$24="","",IF(_calc!$E$24&lt;=500,IF(LEN(INDEX('Our policies'!$G$4:$G$503,_calc!$E$24))=0,"",INDEX('Our policies'!$G$4:$G$503,_calc!$E$24)),""))</f>
        <v/>
      </c>
      <c r="I22" s="46">
        <f>IF(_calc!$E$24="","",IF(_calc!$E$24&lt;=500,IF(LEN(INDEX('Our policies'!$H$4:$H$503,_calc!$E$24))=0,"",INDEX('Our policies'!$H$4:$H$503,_calc!$E$24)),""))</f>
        <v/>
      </c>
      <c r="K22" s="46">
        <f>IF(_calc!$E$24="","",IF(_calc!$E$24&lt;=500,IF(LEN(INDEX('Our policies'!$P$4:$P$503,_calc!$E$24))=0,"",INDEX('Our policies'!$P$4:$P$503,_calc!$E$24)),IF(LEN(INDEX('Vendor COIs'!$N$4:$N$503,(_calc!$E$24-500)))=0,"",INDEX('Vendor COIs'!$N$4:$N$503,(_calc!$E$24-500)))))</f>
        <v/>
      </c>
    </row>
    <row r="23">
      <c r="A23" s="46">
        <f>IF(_calc!$E$25="","",IF(_calc!$E$25&lt;=500,IF(LEN(INDEX('Our policies'!$A$4:$A$503,_calc!$E$25))=0,"",INDEX('Our policies'!$A$4:$A$503,_calc!$E$25)),"COI – "&amp;IF(LEN(INDEX('Vendor COIs'!$A$4:$A$503,(_calc!$E$25-500)))=0,"",INDEX('Vendor COIs'!$A$4:$A$503,(_calc!$E$25-500)))&amp;" – "&amp;IF(LEN(INDEX('Vendor COIs'!$B$4:$B$503,(_calc!$E$25-500)))=0,"",INDEX('Vendor COIs'!$B$4:$B$503,(_calc!$E$25-500)))))</f>
        <v/>
      </c>
      <c r="B23" s="46">
        <f>IF(_calc!$E$25="","",IF(_calc!$E$25&lt;=500,IF(ISNUMBER(INDEX('Our policies'!$J$4:$J$503,_calc!$E$25)),TEXT(INDEX('Our policies'!$J$4:$J$503,_calc!$E$25),"yyyy-mm-dd"),""),IF(ISNUMBER(INDEX('Vendor COIs'!$H$4:$H$503,(_calc!$E$25-500))),TEXT(INDEX('Vendor COIs'!$H$4:$H$503,(_calc!$E$25-500)),"yyyy-mm-dd"),"")))</f>
        <v/>
      </c>
      <c r="C23" s="46">
        <f>IF(_calc!$E$25="","",IF(_calc!$E$25&lt;=500,"Insurance","Certificate of insurance"))</f>
        <v/>
      </c>
      <c r="D23" s="46">
        <f>IF(_calc!$E$25="","",IF(_calc!$E$25&lt;=500,IF(ISNUMBER(INDEX('Our policies'!$I$4:$I$503,_calc!$E$25)),TEXT(INDEX('Our policies'!$I$4:$I$503,_calc!$E$25),"yyyy-mm-dd"),""),""))</f>
        <v/>
      </c>
      <c r="E23" s="46">
        <f>IF(_calc!$E$25="","",IF(_calc!$E$25&lt;=500,IF(LEN(INDEX('Our policies'!$Q$4:$Q$503,_calc!$E$25))=0,"",INDEX('Our policies'!$Q$4:$Q$503,_calc!$E$25)),"Medium"))</f>
        <v/>
      </c>
      <c r="F23" s="46">
        <f>IF(_calc!$E$25="","",IF(_calc!$E$25&lt;=500,TRIM(IF(LEN(IF(LEN(INDEX('Our policies'!$B$4:$B$503,_calc!$E$25))=0,"",INDEX('Our policies'!$B$4:$B$503,_calc!$E$25)))=0,"","Cover: "&amp;IF(LEN(INDEX('Our policies'!$B$4:$B$503,_calc!$E$25))=0,"",INDEX('Our policies'!$B$4:$B$503,_calc!$E$25))&amp;". ")&amp;IF(LEN(IF(LEN(INDEX('Our policies'!$C$4:$C$503,_calc!$E$25))=0,"",INDEX('Our policies'!$C$4:$C$503,_calc!$E$25)))=0,"","Insurer: "&amp;IF(LEN(INDEX('Our policies'!$C$4:$C$503,_calc!$E$25))=0,"",INDEX('Our policies'!$C$4:$C$503,_calc!$E$25))&amp;". ")&amp;IF(LEN(IF(LEN(INDEX('Our policies'!$D$4:$D$503,_calc!$E$25))=0,"",INDEX('Our policies'!$D$4:$D$503,_calc!$E$25)))=0,"","Broker: "&amp;IF(LEN(INDEX('Our policies'!$D$4:$D$503,_calc!$E$25))=0,"",INDEX('Our policies'!$D$4:$D$503,_calc!$E$25))&amp;". ")&amp;IF(LEN(IF(LEN(INDEX('Our policies'!$E$4:$E$503,_calc!$E$25))=0,"",INDEX('Our policies'!$E$4:$E$503,_calc!$E$25)))=0,"","Policy no.: "&amp;IF(LEN(INDEX('Our policies'!$E$4:$E$503,_calc!$E$25))=0,"",INDEX('Our policies'!$E$4:$E$503,_calc!$E$25))&amp;". ")&amp;IF(LEN(IF(LEN(INDEX('Our policies'!$S$4:$S$503,_calc!$E$25))=0,"",INDEX('Our policies'!$S$4:$S$503,_calc!$E$25)))=0,"",IF(LEN(INDEX('Our policies'!$S$4:$S$503,_calc!$E$25))=0,"",INDEX('Our policies'!$S$4:$S$503,_calc!$E$25)))),TRIM(IF(LEN(IF(LEN(INDEX('Vendor COIs'!$C$4:$C$503,(_calc!$E$25-500)))=0,"",INDEX('Vendor COIs'!$C$4:$C$503,(_calc!$E$25-500))))=0,"","Insurer: "&amp;IF(LEN(INDEX('Vendor COIs'!$C$4:$C$503,(_calc!$E$25-500)))=0,"",INDEX('Vendor COIs'!$C$4:$C$503,(_calc!$E$25-500)))&amp;". ")&amp;IF(LEN(IF(LEN(INDEX('Vendor COIs'!$D$4:$D$503,(_calc!$E$25-500)))=0,"",INDEX('Vendor COIs'!$D$4:$D$503,(_calc!$E$25-500))))=0,"","Policy no.: "&amp;IF(LEN(INDEX('Vendor COIs'!$D$4:$D$503,(_calc!$E$25-500)))=0,"",INDEX('Vendor COIs'!$D$4:$D$503,(_calc!$E$25-500)))&amp;". ")&amp;IF(LEN(IF(LEN(INDEX('Vendor COIs'!$F$4:$F$503,(_calc!$E$25-500)))=0,"",INDEX('Vendor COIs'!$F$4:$F$503,(_calc!$E$25-500))))=0,"","Meets minimum: "&amp;IF(LEN(INDEX('Vendor COIs'!$F$4:$F$503,(_calc!$E$25-500)))=0,"",INDEX('Vendor COIs'!$F$4:$F$503,(_calc!$E$25-500)))&amp;". ")&amp;IF(LEN(IF(LEN(INDEX('Vendor COIs'!$G$4:$G$503,(_calc!$E$25-500)))=0,"",INDEX('Vendor COIs'!$G$4:$G$503,(_calc!$E$25-500))))=0,"","Additional insured: "&amp;IF(LEN(INDEX('Vendor COIs'!$G$4:$G$503,(_calc!$E$25-500)))=0,"",INDEX('Vendor COIs'!$G$4:$G$503,(_calc!$E$25-500)))&amp;". ")&amp;IF(LEN(IF(LEN(INDEX('Vendor COIs'!$M$4:$M$503,(_calc!$E$25-500)))=0,"",INDEX('Vendor COIs'!$M$4:$M$503,(_calc!$E$25-500))))=0,"","Vendor contact: "&amp;IF(LEN(INDEX('Vendor COIs'!$M$4:$M$503,(_calc!$E$25-500)))=0,"",INDEX('Vendor COIs'!$M$4:$M$503,(_calc!$E$25-500)))&amp;". ")&amp;IF(LEN(IF(LEN(INDEX('Vendor COIs'!$P$4:$P$503,(_calc!$E$25-500)))=0,"",INDEX('Vendor COIs'!$P$4:$P$503,(_calc!$E$25-500))))=0,"",IF(LEN(INDEX('Vendor COIs'!$P$4:$P$503,(_calc!$E$25-500)))=0,"",INDEX('Vendor COIs'!$P$4:$P$503,(_calc!$E$25-500)))))))</f>
        <v/>
      </c>
      <c r="G23" s="46">
        <f>IF(_calc!$E$25="","",IF(_calc!$E$25&lt;=500,IF(LEN(INDEX('Our policies'!$R$4:$R$503,_calc!$E$25))=0,"",INDEX('Our policies'!$R$4:$R$503,_calc!$E$25)),IF(LEN(INDEX('Vendor COIs'!$O$4:$O$503,(_calc!$E$25-500)))=0,"",INDEX('Vendor COIs'!$O$4:$O$503,(_calc!$E$25-500)))))</f>
        <v/>
      </c>
      <c r="H23" s="46">
        <f>IF(_calc!$E$25="","",IF(_calc!$E$25&lt;=500,IF(LEN(INDEX('Our policies'!$G$4:$G$503,_calc!$E$25))=0,"",INDEX('Our policies'!$G$4:$G$503,_calc!$E$25)),""))</f>
        <v/>
      </c>
      <c r="I23" s="46">
        <f>IF(_calc!$E$25="","",IF(_calc!$E$25&lt;=500,IF(LEN(INDEX('Our policies'!$H$4:$H$503,_calc!$E$25))=0,"",INDEX('Our policies'!$H$4:$H$503,_calc!$E$25)),""))</f>
        <v/>
      </c>
      <c r="K23" s="46">
        <f>IF(_calc!$E$25="","",IF(_calc!$E$25&lt;=500,IF(LEN(INDEX('Our policies'!$P$4:$P$503,_calc!$E$25))=0,"",INDEX('Our policies'!$P$4:$P$503,_calc!$E$25)),IF(LEN(INDEX('Vendor COIs'!$N$4:$N$503,(_calc!$E$25-500)))=0,"",INDEX('Vendor COIs'!$N$4:$N$503,(_calc!$E$25-500)))))</f>
        <v/>
      </c>
    </row>
    <row r="24">
      <c r="A24" s="46">
        <f>IF(_calc!$E$26="","",IF(_calc!$E$26&lt;=500,IF(LEN(INDEX('Our policies'!$A$4:$A$503,_calc!$E$26))=0,"",INDEX('Our policies'!$A$4:$A$503,_calc!$E$26)),"COI – "&amp;IF(LEN(INDEX('Vendor COIs'!$A$4:$A$503,(_calc!$E$26-500)))=0,"",INDEX('Vendor COIs'!$A$4:$A$503,(_calc!$E$26-500)))&amp;" – "&amp;IF(LEN(INDEX('Vendor COIs'!$B$4:$B$503,(_calc!$E$26-500)))=0,"",INDEX('Vendor COIs'!$B$4:$B$503,(_calc!$E$26-500)))))</f>
        <v/>
      </c>
      <c r="B24" s="46">
        <f>IF(_calc!$E$26="","",IF(_calc!$E$26&lt;=500,IF(ISNUMBER(INDEX('Our policies'!$J$4:$J$503,_calc!$E$26)),TEXT(INDEX('Our policies'!$J$4:$J$503,_calc!$E$26),"yyyy-mm-dd"),""),IF(ISNUMBER(INDEX('Vendor COIs'!$H$4:$H$503,(_calc!$E$26-500))),TEXT(INDEX('Vendor COIs'!$H$4:$H$503,(_calc!$E$26-500)),"yyyy-mm-dd"),"")))</f>
        <v/>
      </c>
      <c r="C24" s="46">
        <f>IF(_calc!$E$26="","",IF(_calc!$E$26&lt;=500,"Insurance","Certificate of insurance"))</f>
        <v/>
      </c>
      <c r="D24" s="46">
        <f>IF(_calc!$E$26="","",IF(_calc!$E$26&lt;=500,IF(ISNUMBER(INDEX('Our policies'!$I$4:$I$503,_calc!$E$26)),TEXT(INDEX('Our policies'!$I$4:$I$503,_calc!$E$26),"yyyy-mm-dd"),""),""))</f>
        <v/>
      </c>
      <c r="E24" s="46">
        <f>IF(_calc!$E$26="","",IF(_calc!$E$26&lt;=500,IF(LEN(INDEX('Our policies'!$Q$4:$Q$503,_calc!$E$26))=0,"",INDEX('Our policies'!$Q$4:$Q$503,_calc!$E$26)),"Medium"))</f>
        <v/>
      </c>
      <c r="F24" s="46">
        <f>IF(_calc!$E$26="","",IF(_calc!$E$26&lt;=500,TRIM(IF(LEN(IF(LEN(INDEX('Our policies'!$B$4:$B$503,_calc!$E$26))=0,"",INDEX('Our policies'!$B$4:$B$503,_calc!$E$26)))=0,"","Cover: "&amp;IF(LEN(INDEX('Our policies'!$B$4:$B$503,_calc!$E$26))=0,"",INDEX('Our policies'!$B$4:$B$503,_calc!$E$26))&amp;". ")&amp;IF(LEN(IF(LEN(INDEX('Our policies'!$C$4:$C$503,_calc!$E$26))=0,"",INDEX('Our policies'!$C$4:$C$503,_calc!$E$26)))=0,"","Insurer: "&amp;IF(LEN(INDEX('Our policies'!$C$4:$C$503,_calc!$E$26))=0,"",INDEX('Our policies'!$C$4:$C$503,_calc!$E$26))&amp;". ")&amp;IF(LEN(IF(LEN(INDEX('Our policies'!$D$4:$D$503,_calc!$E$26))=0,"",INDEX('Our policies'!$D$4:$D$503,_calc!$E$26)))=0,"","Broker: "&amp;IF(LEN(INDEX('Our policies'!$D$4:$D$503,_calc!$E$26))=0,"",INDEX('Our policies'!$D$4:$D$503,_calc!$E$26))&amp;". ")&amp;IF(LEN(IF(LEN(INDEX('Our policies'!$E$4:$E$503,_calc!$E$26))=0,"",INDEX('Our policies'!$E$4:$E$503,_calc!$E$26)))=0,"","Policy no.: "&amp;IF(LEN(INDEX('Our policies'!$E$4:$E$503,_calc!$E$26))=0,"",INDEX('Our policies'!$E$4:$E$503,_calc!$E$26))&amp;". ")&amp;IF(LEN(IF(LEN(INDEX('Our policies'!$S$4:$S$503,_calc!$E$26))=0,"",INDEX('Our policies'!$S$4:$S$503,_calc!$E$26)))=0,"",IF(LEN(INDEX('Our policies'!$S$4:$S$503,_calc!$E$26))=0,"",INDEX('Our policies'!$S$4:$S$503,_calc!$E$26)))),TRIM(IF(LEN(IF(LEN(INDEX('Vendor COIs'!$C$4:$C$503,(_calc!$E$26-500)))=0,"",INDEX('Vendor COIs'!$C$4:$C$503,(_calc!$E$26-500))))=0,"","Insurer: "&amp;IF(LEN(INDEX('Vendor COIs'!$C$4:$C$503,(_calc!$E$26-500)))=0,"",INDEX('Vendor COIs'!$C$4:$C$503,(_calc!$E$26-500)))&amp;". ")&amp;IF(LEN(IF(LEN(INDEX('Vendor COIs'!$D$4:$D$503,(_calc!$E$26-500)))=0,"",INDEX('Vendor COIs'!$D$4:$D$503,(_calc!$E$26-500))))=0,"","Policy no.: "&amp;IF(LEN(INDEX('Vendor COIs'!$D$4:$D$503,(_calc!$E$26-500)))=0,"",INDEX('Vendor COIs'!$D$4:$D$503,(_calc!$E$26-500)))&amp;". ")&amp;IF(LEN(IF(LEN(INDEX('Vendor COIs'!$F$4:$F$503,(_calc!$E$26-500)))=0,"",INDEX('Vendor COIs'!$F$4:$F$503,(_calc!$E$26-500))))=0,"","Meets minimum: "&amp;IF(LEN(INDEX('Vendor COIs'!$F$4:$F$503,(_calc!$E$26-500)))=0,"",INDEX('Vendor COIs'!$F$4:$F$503,(_calc!$E$26-500)))&amp;". ")&amp;IF(LEN(IF(LEN(INDEX('Vendor COIs'!$G$4:$G$503,(_calc!$E$26-500)))=0,"",INDEX('Vendor COIs'!$G$4:$G$503,(_calc!$E$26-500))))=0,"","Additional insured: "&amp;IF(LEN(INDEX('Vendor COIs'!$G$4:$G$503,(_calc!$E$26-500)))=0,"",INDEX('Vendor COIs'!$G$4:$G$503,(_calc!$E$26-500)))&amp;". ")&amp;IF(LEN(IF(LEN(INDEX('Vendor COIs'!$M$4:$M$503,(_calc!$E$26-500)))=0,"",INDEX('Vendor COIs'!$M$4:$M$503,(_calc!$E$26-500))))=0,"","Vendor contact: "&amp;IF(LEN(INDEX('Vendor COIs'!$M$4:$M$503,(_calc!$E$26-500)))=0,"",INDEX('Vendor COIs'!$M$4:$M$503,(_calc!$E$26-500)))&amp;". ")&amp;IF(LEN(IF(LEN(INDEX('Vendor COIs'!$P$4:$P$503,(_calc!$E$26-500)))=0,"",INDEX('Vendor COIs'!$P$4:$P$503,(_calc!$E$26-500))))=0,"",IF(LEN(INDEX('Vendor COIs'!$P$4:$P$503,(_calc!$E$26-500)))=0,"",INDEX('Vendor COIs'!$P$4:$P$503,(_calc!$E$26-500)))))))</f>
        <v/>
      </c>
      <c r="G24" s="46">
        <f>IF(_calc!$E$26="","",IF(_calc!$E$26&lt;=500,IF(LEN(INDEX('Our policies'!$R$4:$R$503,_calc!$E$26))=0,"",INDEX('Our policies'!$R$4:$R$503,_calc!$E$26)),IF(LEN(INDEX('Vendor COIs'!$O$4:$O$503,(_calc!$E$26-500)))=0,"",INDEX('Vendor COIs'!$O$4:$O$503,(_calc!$E$26-500)))))</f>
        <v/>
      </c>
      <c r="H24" s="46">
        <f>IF(_calc!$E$26="","",IF(_calc!$E$26&lt;=500,IF(LEN(INDEX('Our policies'!$G$4:$G$503,_calc!$E$26))=0,"",INDEX('Our policies'!$G$4:$G$503,_calc!$E$26)),""))</f>
        <v/>
      </c>
      <c r="I24" s="46">
        <f>IF(_calc!$E$26="","",IF(_calc!$E$26&lt;=500,IF(LEN(INDEX('Our policies'!$H$4:$H$503,_calc!$E$26))=0,"",INDEX('Our policies'!$H$4:$H$503,_calc!$E$26)),""))</f>
        <v/>
      </c>
      <c r="K24" s="46">
        <f>IF(_calc!$E$26="","",IF(_calc!$E$26&lt;=500,IF(LEN(INDEX('Our policies'!$P$4:$P$503,_calc!$E$26))=0,"",INDEX('Our policies'!$P$4:$P$503,_calc!$E$26)),IF(LEN(INDEX('Vendor COIs'!$N$4:$N$503,(_calc!$E$26-500)))=0,"",INDEX('Vendor COIs'!$N$4:$N$503,(_calc!$E$26-500)))))</f>
        <v/>
      </c>
    </row>
    <row r="25">
      <c r="A25" s="46">
        <f>IF(_calc!$E$27="","",IF(_calc!$E$27&lt;=500,IF(LEN(INDEX('Our policies'!$A$4:$A$503,_calc!$E$27))=0,"",INDEX('Our policies'!$A$4:$A$503,_calc!$E$27)),"COI – "&amp;IF(LEN(INDEX('Vendor COIs'!$A$4:$A$503,(_calc!$E$27-500)))=0,"",INDEX('Vendor COIs'!$A$4:$A$503,(_calc!$E$27-500)))&amp;" – "&amp;IF(LEN(INDEX('Vendor COIs'!$B$4:$B$503,(_calc!$E$27-500)))=0,"",INDEX('Vendor COIs'!$B$4:$B$503,(_calc!$E$27-500)))))</f>
        <v/>
      </c>
      <c r="B25" s="46">
        <f>IF(_calc!$E$27="","",IF(_calc!$E$27&lt;=500,IF(ISNUMBER(INDEX('Our policies'!$J$4:$J$503,_calc!$E$27)),TEXT(INDEX('Our policies'!$J$4:$J$503,_calc!$E$27),"yyyy-mm-dd"),""),IF(ISNUMBER(INDEX('Vendor COIs'!$H$4:$H$503,(_calc!$E$27-500))),TEXT(INDEX('Vendor COIs'!$H$4:$H$503,(_calc!$E$27-500)),"yyyy-mm-dd"),"")))</f>
        <v/>
      </c>
      <c r="C25" s="46">
        <f>IF(_calc!$E$27="","",IF(_calc!$E$27&lt;=500,"Insurance","Certificate of insurance"))</f>
        <v/>
      </c>
      <c r="D25" s="46">
        <f>IF(_calc!$E$27="","",IF(_calc!$E$27&lt;=500,IF(ISNUMBER(INDEX('Our policies'!$I$4:$I$503,_calc!$E$27)),TEXT(INDEX('Our policies'!$I$4:$I$503,_calc!$E$27),"yyyy-mm-dd"),""),""))</f>
        <v/>
      </c>
      <c r="E25" s="46">
        <f>IF(_calc!$E$27="","",IF(_calc!$E$27&lt;=500,IF(LEN(INDEX('Our policies'!$Q$4:$Q$503,_calc!$E$27))=0,"",INDEX('Our policies'!$Q$4:$Q$503,_calc!$E$27)),"Medium"))</f>
        <v/>
      </c>
      <c r="F25" s="46">
        <f>IF(_calc!$E$27="","",IF(_calc!$E$27&lt;=500,TRIM(IF(LEN(IF(LEN(INDEX('Our policies'!$B$4:$B$503,_calc!$E$27))=0,"",INDEX('Our policies'!$B$4:$B$503,_calc!$E$27)))=0,"","Cover: "&amp;IF(LEN(INDEX('Our policies'!$B$4:$B$503,_calc!$E$27))=0,"",INDEX('Our policies'!$B$4:$B$503,_calc!$E$27))&amp;". ")&amp;IF(LEN(IF(LEN(INDEX('Our policies'!$C$4:$C$503,_calc!$E$27))=0,"",INDEX('Our policies'!$C$4:$C$503,_calc!$E$27)))=0,"","Insurer: "&amp;IF(LEN(INDEX('Our policies'!$C$4:$C$503,_calc!$E$27))=0,"",INDEX('Our policies'!$C$4:$C$503,_calc!$E$27))&amp;". ")&amp;IF(LEN(IF(LEN(INDEX('Our policies'!$D$4:$D$503,_calc!$E$27))=0,"",INDEX('Our policies'!$D$4:$D$503,_calc!$E$27)))=0,"","Broker: "&amp;IF(LEN(INDEX('Our policies'!$D$4:$D$503,_calc!$E$27))=0,"",INDEX('Our policies'!$D$4:$D$503,_calc!$E$27))&amp;". ")&amp;IF(LEN(IF(LEN(INDEX('Our policies'!$E$4:$E$503,_calc!$E$27))=0,"",INDEX('Our policies'!$E$4:$E$503,_calc!$E$27)))=0,"","Policy no.: "&amp;IF(LEN(INDEX('Our policies'!$E$4:$E$503,_calc!$E$27))=0,"",INDEX('Our policies'!$E$4:$E$503,_calc!$E$27))&amp;". ")&amp;IF(LEN(IF(LEN(INDEX('Our policies'!$S$4:$S$503,_calc!$E$27))=0,"",INDEX('Our policies'!$S$4:$S$503,_calc!$E$27)))=0,"",IF(LEN(INDEX('Our policies'!$S$4:$S$503,_calc!$E$27))=0,"",INDEX('Our policies'!$S$4:$S$503,_calc!$E$27)))),TRIM(IF(LEN(IF(LEN(INDEX('Vendor COIs'!$C$4:$C$503,(_calc!$E$27-500)))=0,"",INDEX('Vendor COIs'!$C$4:$C$503,(_calc!$E$27-500))))=0,"","Insurer: "&amp;IF(LEN(INDEX('Vendor COIs'!$C$4:$C$503,(_calc!$E$27-500)))=0,"",INDEX('Vendor COIs'!$C$4:$C$503,(_calc!$E$27-500)))&amp;". ")&amp;IF(LEN(IF(LEN(INDEX('Vendor COIs'!$D$4:$D$503,(_calc!$E$27-500)))=0,"",INDEX('Vendor COIs'!$D$4:$D$503,(_calc!$E$27-500))))=0,"","Policy no.: "&amp;IF(LEN(INDEX('Vendor COIs'!$D$4:$D$503,(_calc!$E$27-500)))=0,"",INDEX('Vendor COIs'!$D$4:$D$503,(_calc!$E$27-500)))&amp;". ")&amp;IF(LEN(IF(LEN(INDEX('Vendor COIs'!$F$4:$F$503,(_calc!$E$27-500)))=0,"",INDEX('Vendor COIs'!$F$4:$F$503,(_calc!$E$27-500))))=0,"","Meets minimum: "&amp;IF(LEN(INDEX('Vendor COIs'!$F$4:$F$503,(_calc!$E$27-500)))=0,"",INDEX('Vendor COIs'!$F$4:$F$503,(_calc!$E$27-500)))&amp;". ")&amp;IF(LEN(IF(LEN(INDEX('Vendor COIs'!$G$4:$G$503,(_calc!$E$27-500)))=0,"",INDEX('Vendor COIs'!$G$4:$G$503,(_calc!$E$27-500))))=0,"","Additional insured: "&amp;IF(LEN(INDEX('Vendor COIs'!$G$4:$G$503,(_calc!$E$27-500)))=0,"",INDEX('Vendor COIs'!$G$4:$G$503,(_calc!$E$27-500)))&amp;". ")&amp;IF(LEN(IF(LEN(INDEX('Vendor COIs'!$M$4:$M$503,(_calc!$E$27-500)))=0,"",INDEX('Vendor COIs'!$M$4:$M$503,(_calc!$E$27-500))))=0,"","Vendor contact: "&amp;IF(LEN(INDEX('Vendor COIs'!$M$4:$M$503,(_calc!$E$27-500)))=0,"",INDEX('Vendor COIs'!$M$4:$M$503,(_calc!$E$27-500)))&amp;". ")&amp;IF(LEN(IF(LEN(INDEX('Vendor COIs'!$P$4:$P$503,(_calc!$E$27-500)))=0,"",INDEX('Vendor COIs'!$P$4:$P$503,(_calc!$E$27-500))))=0,"",IF(LEN(INDEX('Vendor COIs'!$P$4:$P$503,(_calc!$E$27-500)))=0,"",INDEX('Vendor COIs'!$P$4:$P$503,(_calc!$E$27-500)))))))</f>
        <v/>
      </c>
      <c r="G25" s="46">
        <f>IF(_calc!$E$27="","",IF(_calc!$E$27&lt;=500,IF(LEN(INDEX('Our policies'!$R$4:$R$503,_calc!$E$27))=0,"",INDEX('Our policies'!$R$4:$R$503,_calc!$E$27)),IF(LEN(INDEX('Vendor COIs'!$O$4:$O$503,(_calc!$E$27-500)))=0,"",INDEX('Vendor COIs'!$O$4:$O$503,(_calc!$E$27-500)))))</f>
        <v/>
      </c>
      <c r="H25" s="46">
        <f>IF(_calc!$E$27="","",IF(_calc!$E$27&lt;=500,IF(LEN(INDEX('Our policies'!$G$4:$G$503,_calc!$E$27))=0,"",INDEX('Our policies'!$G$4:$G$503,_calc!$E$27)),""))</f>
        <v/>
      </c>
      <c r="I25" s="46">
        <f>IF(_calc!$E$27="","",IF(_calc!$E$27&lt;=500,IF(LEN(INDEX('Our policies'!$H$4:$H$503,_calc!$E$27))=0,"",INDEX('Our policies'!$H$4:$H$503,_calc!$E$27)),""))</f>
        <v/>
      </c>
      <c r="K25" s="46">
        <f>IF(_calc!$E$27="","",IF(_calc!$E$27&lt;=500,IF(LEN(INDEX('Our policies'!$P$4:$P$503,_calc!$E$27))=0,"",INDEX('Our policies'!$P$4:$P$503,_calc!$E$27)),IF(LEN(INDEX('Vendor COIs'!$N$4:$N$503,(_calc!$E$27-500)))=0,"",INDEX('Vendor COIs'!$N$4:$N$503,(_calc!$E$27-500)))))</f>
        <v/>
      </c>
    </row>
    <row r="26">
      <c r="A26" s="46">
        <f>IF(_calc!$E$28="","",IF(_calc!$E$28&lt;=500,IF(LEN(INDEX('Our policies'!$A$4:$A$503,_calc!$E$28))=0,"",INDEX('Our policies'!$A$4:$A$503,_calc!$E$28)),"COI – "&amp;IF(LEN(INDEX('Vendor COIs'!$A$4:$A$503,(_calc!$E$28-500)))=0,"",INDEX('Vendor COIs'!$A$4:$A$503,(_calc!$E$28-500)))&amp;" – "&amp;IF(LEN(INDEX('Vendor COIs'!$B$4:$B$503,(_calc!$E$28-500)))=0,"",INDEX('Vendor COIs'!$B$4:$B$503,(_calc!$E$28-500)))))</f>
        <v/>
      </c>
      <c r="B26" s="46">
        <f>IF(_calc!$E$28="","",IF(_calc!$E$28&lt;=500,IF(ISNUMBER(INDEX('Our policies'!$J$4:$J$503,_calc!$E$28)),TEXT(INDEX('Our policies'!$J$4:$J$503,_calc!$E$28),"yyyy-mm-dd"),""),IF(ISNUMBER(INDEX('Vendor COIs'!$H$4:$H$503,(_calc!$E$28-500))),TEXT(INDEX('Vendor COIs'!$H$4:$H$503,(_calc!$E$28-500)),"yyyy-mm-dd"),"")))</f>
        <v/>
      </c>
      <c r="C26" s="46">
        <f>IF(_calc!$E$28="","",IF(_calc!$E$28&lt;=500,"Insurance","Certificate of insurance"))</f>
        <v/>
      </c>
      <c r="D26" s="46">
        <f>IF(_calc!$E$28="","",IF(_calc!$E$28&lt;=500,IF(ISNUMBER(INDEX('Our policies'!$I$4:$I$503,_calc!$E$28)),TEXT(INDEX('Our policies'!$I$4:$I$503,_calc!$E$28),"yyyy-mm-dd"),""),""))</f>
        <v/>
      </c>
      <c r="E26" s="46">
        <f>IF(_calc!$E$28="","",IF(_calc!$E$28&lt;=500,IF(LEN(INDEX('Our policies'!$Q$4:$Q$503,_calc!$E$28))=0,"",INDEX('Our policies'!$Q$4:$Q$503,_calc!$E$28)),"Medium"))</f>
        <v/>
      </c>
      <c r="F26" s="46">
        <f>IF(_calc!$E$28="","",IF(_calc!$E$28&lt;=500,TRIM(IF(LEN(IF(LEN(INDEX('Our policies'!$B$4:$B$503,_calc!$E$28))=0,"",INDEX('Our policies'!$B$4:$B$503,_calc!$E$28)))=0,"","Cover: "&amp;IF(LEN(INDEX('Our policies'!$B$4:$B$503,_calc!$E$28))=0,"",INDEX('Our policies'!$B$4:$B$503,_calc!$E$28))&amp;". ")&amp;IF(LEN(IF(LEN(INDEX('Our policies'!$C$4:$C$503,_calc!$E$28))=0,"",INDEX('Our policies'!$C$4:$C$503,_calc!$E$28)))=0,"","Insurer: "&amp;IF(LEN(INDEX('Our policies'!$C$4:$C$503,_calc!$E$28))=0,"",INDEX('Our policies'!$C$4:$C$503,_calc!$E$28))&amp;". ")&amp;IF(LEN(IF(LEN(INDEX('Our policies'!$D$4:$D$503,_calc!$E$28))=0,"",INDEX('Our policies'!$D$4:$D$503,_calc!$E$28)))=0,"","Broker: "&amp;IF(LEN(INDEX('Our policies'!$D$4:$D$503,_calc!$E$28))=0,"",INDEX('Our policies'!$D$4:$D$503,_calc!$E$28))&amp;". ")&amp;IF(LEN(IF(LEN(INDEX('Our policies'!$E$4:$E$503,_calc!$E$28))=0,"",INDEX('Our policies'!$E$4:$E$503,_calc!$E$28)))=0,"","Policy no.: "&amp;IF(LEN(INDEX('Our policies'!$E$4:$E$503,_calc!$E$28))=0,"",INDEX('Our policies'!$E$4:$E$503,_calc!$E$28))&amp;". ")&amp;IF(LEN(IF(LEN(INDEX('Our policies'!$S$4:$S$503,_calc!$E$28))=0,"",INDEX('Our policies'!$S$4:$S$503,_calc!$E$28)))=0,"",IF(LEN(INDEX('Our policies'!$S$4:$S$503,_calc!$E$28))=0,"",INDEX('Our policies'!$S$4:$S$503,_calc!$E$28)))),TRIM(IF(LEN(IF(LEN(INDEX('Vendor COIs'!$C$4:$C$503,(_calc!$E$28-500)))=0,"",INDEX('Vendor COIs'!$C$4:$C$503,(_calc!$E$28-500))))=0,"","Insurer: "&amp;IF(LEN(INDEX('Vendor COIs'!$C$4:$C$503,(_calc!$E$28-500)))=0,"",INDEX('Vendor COIs'!$C$4:$C$503,(_calc!$E$28-500)))&amp;". ")&amp;IF(LEN(IF(LEN(INDEX('Vendor COIs'!$D$4:$D$503,(_calc!$E$28-500)))=0,"",INDEX('Vendor COIs'!$D$4:$D$503,(_calc!$E$28-500))))=0,"","Policy no.: "&amp;IF(LEN(INDEX('Vendor COIs'!$D$4:$D$503,(_calc!$E$28-500)))=0,"",INDEX('Vendor COIs'!$D$4:$D$503,(_calc!$E$28-500)))&amp;". ")&amp;IF(LEN(IF(LEN(INDEX('Vendor COIs'!$F$4:$F$503,(_calc!$E$28-500)))=0,"",INDEX('Vendor COIs'!$F$4:$F$503,(_calc!$E$28-500))))=0,"","Meets minimum: "&amp;IF(LEN(INDEX('Vendor COIs'!$F$4:$F$503,(_calc!$E$28-500)))=0,"",INDEX('Vendor COIs'!$F$4:$F$503,(_calc!$E$28-500)))&amp;". ")&amp;IF(LEN(IF(LEN(INDEX('Vendor COIs'!$G$4:$G$503,(_calc!$E$28-500)))=0,"",INDEX('Vendor COIs'!$G$4:$G$503,(_calc!$E$28-500))))=0,"","Additional insured: "&amp;IF(LEN(INDEX('Vendor COIs'!$G$4:$G$503,(_calc!$E$28-500)))=0,"",INDEX('Vendor COIs'!$G$4:$G$503,(_calc!$E$28-500)))&amp;". ")&amp;IF(LEN(IF(LEN(INDEX('Vendor COIs'!$M$4:$M$503,(_calc!$E$28-500)))=0,"",INDEX('Vendor COIs'!$M$4:$M$503,(_calc!$E$28-500))))=0,"","Vendor contact: "&amp;IF(LEN(INDEX('Vendor COIs'!$M$4:$M$503,(_calc!$E$28-500)))=0,"",INDEX('Vendor COIs'!$M$4:$M$503,(_calc!$E$28-500)))&amp;". ")&amp;IF(LEN(IF(LEN(INDEX('Vendor COIs'!$P$4:$P$503,(_calc!$E$28-500)))=0,"",INDEX('Vendor COIs'!$P$4:$P$503,(_calc!$E$28-500))))=0,"",IF(LEN(INDEX('Vendor COIs'!$P$4:$P$503,(_calc!$E$28-500)))=0,"",INDEX('Vendor COIs'!$P$4:$P$503,(_calc!$E$28-500)))))))</f>
        <v/>
      </c>
      <c r="G26" s="46">
        <f>IF(_calc!$E$28="","",IF(_calc!$E$28&lt;=500,IF(LEN(INDEX('Our policies'!$R$4:$R$503,_calc!$E$28))=0,"",INDEX('Our policies'!$R$4:$R$503,_calc!$E$28)),IF(LEN(INDEX('Vendor COIs'!$O$4:$O$503,(_calc!$E$28-500)))=0,"",INDEX('Vendor COIs'!$O$4:$O$503,(_calc!$E$28-500)))))</f>
        <v/>
      </c>
      <c r="H26" s="46">
        <f>IF(_calc!$E$28="","",IF(_calc!$E$28&lt;=500,IF(LEN(INDEX('Our policies'!$G$4:$G$503,_calc!$E$28))=0,"",INDEX('Our policies'!$G$4:$G$503,_calc!$E$28)),""))</f>
        <v/>
      </c>
      <c r="I26" s="46">
        <f>IF(_calc!$E$28="","",IF(_calc!$E$28&lt;=500,IF(LEN(INDEX('Our policies'!$H$4:$H$503,_calc!$E$28))=0,"",INDEX('Our policies'!$H$4:$H$503,_calc!$E$28)),""))</f>
        <v/>
      </c>
      <c r="K26" s="46">
        <f>IF(_calc!$E$28="","",IF(_calc!$E$28&lt;=500,IF(LEN(INDEX('Our policies'!$P$4:$P$503,_calc!$E$28))=0,"",INDEX('Our policies'!$P$4:$P$503,_calc!$E$28)),IF(LEN(INDEX('Vendor COIs'!$N$4:$N$503,(_calc!$E$28-500)))=0,"",INDEX('Vendor COIs'!$N$4:$N$503,(_calc!$E$28-500)))))</f>
        <v/>
      </c>
    </row>
    <row r="27">
      <c r="A27" s="46">
        <f>IF(_calc!$E$29="","",IF(_calc!$E$29&lt;=500,IF(LEN(INDEX('Our policies'!$A$4:$A$503,_calc!$E$29))=0,"",INDEX('Our policies'!$A$4:$A$503,_calc!$E$29)),"COI – "&amp;IF(LEN(INDEX('Vendor COIs'!$A$4:$A$503,(_calc!$E$29-500)))=0,"",INDEX('Vendor COIs'!$A$4:$A$503,(_calc!$E$29-500)))&amp;" – "&amp;IF(LEN(INDEX('Vendor COIs'!$B$4:$B$503,(_calc!$E$29-500)))=0,"",INDEX('Vendor COIs'!$B$4:$B$503,(_calc!$E$29-500)))))</f>
        <v/>
      </c>
      <c r="B27" s="46">
        <f>IF(_calc!$E$29="","",IF(_calc!$E$29&lt;=500,IF(ISNUMBER(INDEX('Our policies'!$J$4:$J$503,_calc!$E$29)),TEXT(INDEX('Our policies'!$J$4:$J$503,_calc!$E$29),"yyyy-mm-dd"),""),IF(ISNUMBER(INDEX('Vendor COIs'!$H$4:$H$503,(_calc!$E$29-500))),TEXT(INDEX('Vendor COIs'!$H$4:$H$503,(_calc!$E$29-500)),"yyyy-mm-dd"),"")))</f>
        <v/>
      </c>
      <c r="C27" s="46">
        <f>IF(_calc!$E$29="","",IF(_calc!$E$29&lt;=500,"Insurance","Certificate of insurance"))</f>
        <v/>
      </c>
      <c r="D27" s="46">
        <f>IF(_calc!$E$29="","",IF(_calc!$E$29&lt;=500,IF(ISNUMBER(INDEX('Our policies'!$I$4:$I$503,_calc!$E$29)),TEXT(INDEX('Our policies'!$I$4:$I$503,_calc!$E$29),"yyyy-mm-dd"),""),""))</f>
        <v/>
      </c>
      <c r="E27" s="46">
        <f>IF(_calc!$E$29="","",IF(_calc!$E$29&lt;=500,IF(LEN(INDEX('Our policies'!$Q$4:$Q$503,_calc!$E$29))=0,"",INDEX('Our policies'!$Q$4:$Q$503,_calc!$E$29)),"Medium"))</f>
        <v/>
      </c>
      <c r="F27" s="46">
        <f>IF(_calc!$E$29="","",IF(_calc!$E$29&lt;=500,TRIM(IF(LEN(IF(LEN(INDEX('Our policies'!$B$4:$B$503,_calc!$E$29))=0,"",INDEX('Our policies'!$B$4:$B$503,_calc!$E$29)))=0,"","Cover: "&amp;IF(LEN(INDEX('Our policies'!$B$4:$B$503,_calc!$E$29))=0,"",INDEX('Our policies'!$B$4:$B$503,_calc!$E$29))&amp;". ")&amp;IF(LEN(IF(LEN(INDEX('Our policies'!$C$4:$C$503,_calc!$E$29))=0,"",INDEX('Our policies'!$C$4:$C$503,_calc!$E$29)))=0,"","Insurer: "&amp;IF(LEN(INDEX('Our policies'!$C$4:$C$503,_calc!$E$29))=0,"",INDEX('Our policies'!$C$4:$C$503,_calc!$E$29))&amp;". ")&amp;IF(LEN(IF(LEN(INDEX('Our policies'!$D$4:$D$503,_calc!$E$29))=0,"",INDEX('Our policies'!$D$4:$D$503,_calc!$E$29)))=0,"","Broker: "&amp;IF(LEN(INDEX('Our policies'!$D$4:$D$503,_calc!$E$29))=0,"",INDEX('Our policies'!$D$4:$D$503,_calc!$E$29))&amp;". ")&amp;IF(LEN(IF(LEN(INDEX('Our policies'!$E$4:$E$503,_calc!$E$29))=0,"",INDEX('Our policies'!$E$4:$E$503,_calc!$E$29)))=0,"","Policy no.: "&amp;IF(LEN(INDEX('Our policies'!$E$4:$E$503,_calc!$E$29))=0,"",INDEX('Our policies'!$E$4:$E$503,_calc!$E$29))&amp;". ")&amp;IF(LEN(IF(LEN(INDEX('Our policies'!$S$4:$S$503,_calc!$E$29))=0,"",INDEX('Our policies'!$S$4:$S$503,_calc!$E$29)))=0,"",IF(LEN(INDEX('Our policies'!$S$4:$S$503,_calc!$E$29))=0,"",INDEX('Our policies'!$S$4:$S$503,_calc!$E$29)))),TRIM(IF(LEN(IF(LEN(INDEX('Vendor COIs'!$C$4:$C$503,(_calc!$E$29-500)))=0,"",INDEX('Vendor COIs'!$C$4:$C$503,(_calc!$E$29-500))))=0,"","Insurer: "&amp;IF(LEN(INDEX('Vendor COIs'!$C$4:$C$503,(_calc!$E$29-500)))=0,"",INDEX('Vendor COIs'!$C$4:$C$503,(_calc!$E$29-500)))&amp;". ")&amp;IF(LEN(IF(LEN(INDEX('Vendor COIs'!$D$4:$D$503,(_calc!$E$29-500)))=0,"",INDEX('Vendor COIs'!$D$4:$D$503,(_calc!$E$29-500))))=0,"","Policy no.: "&amp;IF(LEN(INDEX('Vendor COIs'!$D$4:$D$503,(_calc!$E$29-500)))=0,"",INDEX('Vendor COIs'!$D$4:$D$503,(_calc!$E$29-500)))&amp;". ")&amp;IF(LEN(IF(LEN(INDEX('Vendor COIs'!$F$4:$F$503,(_calc!$E$29-500)))=0,"",INDEX('Vendor COIs'!$F$4:$F$503,(_calc!$E$29-500))))=0,"","Meets minimum: "&amp;IF(LEN(INDEX('Vendor COIs'!$F$4:$F$503,(_calc!$E$29-500)))=0,"",INDEX('Vendor COIs'!$F$4:$F$503,(_calc!$E$29-500)))&amp;". ")&amp;IF(LEN(IF(LEN(INDEX('Vendor COIs'!$G$4:$G$503,(_calc!$E$29-500)))=0,"",INDEX('Vendor COIs'!$G$4:$G$503,(_calc!$E$29-500))))=0,"","Additional insured: "&amp;IF(LEN(INDEX('Vendor COIs'!$G$4:$G$503,(_calc!$E$29-500)))=0,"",INDEX('Vendor COIs'!$G$4:$G$503,(_calc!$E$29-500)))&amp;". ")&amp;IF(LEN(IF(LEN(INDEX('Vendor COIs'!$M$4:$M$503,(_calc!$E$29-500)))=0,"",INDEX('Vendor COIs'!$M$4:$M$503,(_calc!$E$29-500))))=0,"","Vendor contact: "&amp;IF(LEN(INDEX('Vendor COIs'!$M$4:$M$503,(_calc!$E$29-500)))=0,"",INDEX('Vendor COIs'!$M$4:$M$503,(_calc!$E$29-500)))&amp;". ")&amp;IF(LEN(IF(LEN(INDEX('Vendor COIs'!$P$4:$P$503,(_calc!$E$29-500)))=0,"",INDEX('Vendor COIs'!$P$4:$P$503,(_calc!$E$29-500))))=0,"",IF(LEN(INDEX('Vendor COIs'!$P$4:$P$503,(_calc!$E$29-500)))=0,"",INDEX('Vendor COIs'!$P$4:$P$503,(_calc!$E$29-500)))))))</f>
        <v/>
      </c>
      <c r="G27" s="46">
        <f>IF(_calc!$E$29="","",IF(_calc!$E$29&lt;=500,IF(LEN(INDEX('Our policies'!$R$4:$R$503,_calc!$E$29))=0,"",INDEX('Our policies'!$R$4:$R$503,_calc!$E$29)),IF(LEN(INDEX('Vendor COIs'!$O$4:$O$503,(_calc!$E$29-500)))=0,"",INDEX('Vendor COIs'!$O$4:$O$503,(_calc!$E$29-500)))))</f>
        <v/>
      </c>
      <c r="H27" s="46">
        <f>IF(_calc!$E$29="","",IF(_calc!$E$29&lt;=500,IF(LEN(INDEX('Our policies'!$G$4:$G$503,_calc!$E$29))=0,"",INDEX('Our policies'!$G$4:$G$503,_calc!$E$29)),""))</f>
        <v/>
      </c>
      <c r="I27" s="46">
        <f>IF(_calc!$E$29="","",IF(_calc!$E$29&lt;=500,IF(LEN(INDEX('Our policies'!$H$4:$H$503,_calc!$E$29))=0,"",INDEX('Our policies'!$H$4:$H$503,_calc!$E$29)),""))</f>
        <v/>
      </c>
      <c r="K27" s="46">
        <f>IF(_calc!$E$29="","",IF(_calc!$E$29&lt;=500,IF(LEN(INDEX('Our policies'!$P$4:$P$503,_calc!$E$29))=0,"",INDEX('Our policies'!$P$4:$P$503,_calc!$E$29)),IF(LEN(INDEX('Vendor COIs'!$N$4:$N$503,(_calc!$E$29-500)))=0,"",INDEX('Vendor COIs'!$N$4:$N$503,(_calc!$E$29-500)))))</f>
        <v/>
      </c>
    </row>
    <row r="28">
      <c r="A28" s="46">
        <f>IF(_calc!$E$30="","",IF(_calc!$E$30&lt;=500,IF(LEN(INDEX('Our policies'!$A$4:$A$503,_calc!$E$30))=0,"",INDEX('Our policies'!$A$4:$A$503,_calc!$E$30)),"COI – "&amp;IF(LEN(INDEX('Vendor COIs'!$A$4:$A$503,(_calc!$E$30-500)))=0,"",INDEX('Vendor COIs'!$A$4:$A$503,(_calc!$E$30-500)))&amp;" – "&amp;IF(LEN(INDEX('Vendor COIs'!$B$4:$B$503,(_calc!$E$30-500)))=0,"",INDEX('Vendor COIs'!$B$4:$B$503,(_calc!$E$30-500)))))</f>
        <v/>
      </c>
      <c r="B28" s="46">
        <f>IF(_calc!$E$30="","",IF(_calc!$E$30&lt;=500,IF(ISNUMBER(INDEX('Our policies'!$J$4:$J$503,_calc!$E$30)),TEXT(INDEX('Our policies'!$J$4:$J$503,_calc!$E$30),"yyyy-mm-dd"),""),IF(ISNUMBER(INDEX('Vendor COIs'!$H$4:$H$503,(_calc!$E$30-500))),TEXT(INDEX('Vendor COIs'!$H$4:$H$503,(_calc!$E$30-500)),"yyyy-mm-dd"),"")))</f>
        <v/>
      </c>
      <c r="C28" s="46">
        <f>IF(_calc!$E$30="","",IF(_calc!$E$30&lt;=500,"Insurance","Certificate of insurance"))</f>
        <v/>
      </c>
      <c r="D28" s="46">
        <f>IF(_calc!$E$30="","",IF(_calc!$E$30&lt;=500,IF(ISNUMBER(INDEX('Our policies'!$I$4:$I$503,_calc!$E$30)),TEXT(INDEX('Our policies'!$I$4:$I$503,_calc!$E$30),"yyyy-mm-dd"),""),""))</f>
        <v/>
      </c>
      <c r="E28" s="46">
        <f>IF(_calc!$E$30="","",IF(_calc!$E$30&lt;=500,IF(LEN(INDEX('Our policies'!$Q$4:$Q$503,_calc!$E$30))=0,"",INDEX('Our policies'!$Q$4:$Q$503,_calc!$E$30)),"Medium"))</f>
        <v/>
      </c>
      <c r="F28" s="46">
        <f>IF(_calc!$E$30="","",IF(_calc!$E$30&lt;=500,TRIM(IF(LEN(IF(LEN(INDEX('Our policies'!$B$4:$B$503,_calc!$E$30))=0,"",INDEX('Our policies'!$B$4:$B$503,_calc!$E$30)))=0,"","Cover: "&amp;IF(LEN(INDEX('Our policies'!$B$4:$B$503,_calc!$E$30))=0,"",INDEX('Our policies'!$B$4:$B$503,_calc!$E$30))&amp;". ")&amp;IF(LEN(IF(LEN(INDEX('Our policies'!$C$4:$C$503,_calc!$E$30))=0,"",INDEX('Our policies'!$C$4:$C$503,_calc!$E$30)))=0,"","Insurer: "&amp;IF(LEN(INDEX('Our policies'!$C$4:$C$503,_calc!$E$30))=0,"",INDEX('Our policies'!$C$4:$C$503,_calc!$E$30))&amp;". ")&amp;IF(LEN(IF(LEN(INDEX('Our policies'!$D$4:$D$503,_calc!$E$30))=0,"",INDEX('Our policies'!$D$4:$D$503,_calc!$E$30)))=0,"","Broker: "&amp;IF(LEN(INDEX('Our policies'!$D$4:$D$503,_calc!$E$30))=0,"",INDEX('Our policies'!$D$4:$D$503,_calc!$E$30))&amp;". ")&amp;IF(LEN(IF(LEN(INDEX('Our policies'!$E$4:$E$503,_calc!$E$30))=0,"",INDEX('Our policies'!$E$4:$E$503,_calc!$E$30)))=0,"","Policy no.: "&amp;IF(LEN(INDEX('Our policies'!$E$4:$E$503,_calc!$E$30))=0,"",INDEX('Our policies'!$E$4:$E$503,_calc!$E$30))&amp;". ")&amp;IF(LEN(IF(LEN(INDEX('Our policies'!$S$4:$S$503,_calc!$E$30))=0,"",INDEX('Our policies'!$S$4:$S$503,_calc!$E$30)))=0,"",IF(LEN(INDEX('Our policies'!$S$4:$S$503,_calc!$E$30))=0,"",INDEX('Our policies'!$S$4:$S$503,_calc!$E$30)))),TRIM(IF(LEN(IF(LEN(INDEX('Vendor COIs'!$C$4:$C$503,(_calc!$E$30-500)))=0,"",INDEX('Vendor COIs'!$C$4:$C$503,(_calc!$E$30-500))))=0,"","Insurer: "&amp;IF(LEN(INDEX('Vendor COIs'!$C$4:$C$503,(_calc!$E$30-500)))=0,"",INDEX('Vendor COIs'!$C$4:$C$503,(_calc!$E$30-500)))&amp;". ")&amp;IF(LEN(IF(LEN(INDEX('Vendor COIs'!$D$4:$D$503,(_calc!$E$30-500)))=0,"",INDEX('Vendor COIs'!$D$4:$D$503,(_calc!$E$30-500))))=0,"","Policy no.: "&amp;IF(LEN(INDEX('Vendor COIs'!$D$4:$D$503,(_calc!$E$30-500)))=0,"",INDEX('Vendor COIs'!$D$4:$D$503,(_calc!$E$30-500)))&amp;". ")&amp;IF(LEN(IF(LEN(INDEX('Vendor COIs'!$F$4:$F$503,(_calc!$E$30-500)))=0,"",INDEX('Vendor COIs'!$F$4:$F$503,(_calc!$E$30-500))))=0,"","Meets minimum: "&amp;IF(LEN(INDEX('Vendor COIs'!$F$4:$F$503,(_calc!$E$30-500)))=0,"",INDEX('Vendor COIs'!$F$4:$F$503,(_calc!$E$30-500)))&amp;". ")&amp;IF(LEN(IF(LEN(INDEX('Vendor COIs'!$G$4:$G$503,(_calc!$E$30-500)))=0,"",INDEX('Vendor COIs'!$G$4:$G$503,(_calc!$E$30-500))))=0,"","Additional insured: "&amp;IF(LEN(INDEX('Vendor COIs'!$G$4:$G$503,(_calc!$E$30-500)))=0,"",INDEX('Vendor COIs'!$G$4:$G$503,(_calc!$E$30-500)))&amp;". ")&amp;IF(LEN(IF(LEN(INDEX('Vendor COIs'!$M$4:$M$503,(_calc!$E$30-500)))=0,"",INDEX('Vendor COIs'!$M$4:$M$503,(_calc!$E$30-500))))=0,"","Vendor contact: "&amp;IF(LEN(INDEX('Vendor COIs'!$M$4:$M$503,(_calc!$E$30-500)))=0,"",INDEX('Vendor COIs'!$M$4:$M$503,(_calc!$E$30-500)))&amp;". ")&amp;IF(LEN(IF(LEN(INDEX('Vendor COIs'!$P$4:$P$503,(_calc!$E$30-500)))=0,"",INDEX('Vendor COIs'!$P$4:$P$503,(_calc!$E$30-500))))=0,"",IF(LEN(INDEX('Vendor COIs'!$P$4:$P$503,(_calc!$E$30-500)))=0,"",INDEX('Vendor COIs'!$P$4:$P$503,(_calc!$E$30-500)))))))</f>
        <v/>
      </c>
      <c r="G28" s="46">
        <f>IF(_calc!$E$30="","",IF(_calc!$E$30&lt;=500,IF(LEN(INDEX('Our policies'!$R$4:$R$503,_calc!$E$30))=0,"",INDEX('Our policies'!$R$4:$R$503,_calc!$E$30)),IF(LEN(INDEX('Vendor COIs'!$O$4:$O$503,(_calc!$E$30-500)))=0,"",INDEX('Vendor COIs'!$O$4:$O$503,(_calc!$E$30-500)))))</f>
        <v/>
      </c>
      <c r="H28" s="46">
        <f>IF(_calc!$E$30="","",IF(_calc!$E$30&lt;=500,IF(LEN(INDEX('Our policies'!$G$4:$G$503,_calc!$E$30))=0,"",INDEX('Our policies'!$G$4:$G$503,_calc!$E$30)),""))</f>
        <v/>
      </c>
      <c r="I28" s="46">
        <f>IF(_calc!$E$30="","",IF(_calc!$E$30&lt;=500,IF(LEN(INDEX('Our policies'!$H$4:$H$503,_calc!$E$30))=0,"",INDEX('Our policies'!$H$4:$H$503,_calc!$E$30)),""))</f>
        <v/>
      </c>
      <c r="K28" s="46">
        <f>IF(_calc!$E$30="","",IF(_calc!$E$30&lt;=500,IF(LEN(INDEX('Our policies'!$P$4:$P$503,_calc!$E$30))=0,"",INDEX('Our policies'!$P$4:$P$503,_calc!$E$30)),IF(LEN(INDEX('Vendor COIs'!$N$4:$N$503,(_calc!$E$30-500)))=0,"",INDEX('Vendor COIs'!$N$4:$N$503,(_calc!$E$30-500)))))</f>
        <v/>
      </c>
    </row>
    <row r="29">
      <c r="A29" s="46">
        <f>IF(_calc!$E$31="","",IF(_calc!$E$31&lt;=500,IF(LEN(INDEX('Our policies'!$A$4:$A$503,_calc!$E$31))=0,"",INDEX('Our policies'!$A$4:$A$503,_calc!$E$31)),"COI – "&amp;IF(LEN(INDEX('Vendor COIs'!$A$4:$A$503,(_calc!$E$31-500)))=0,"",INDEX('Vendor COIs'!$A$4:$A$503,(_calc!$E$31-500)))&amp;" – "&amp;IF(LEN(INDEX('Vendor COIs'!$B$4:$B$503,(_calc!$E$31-500)))=0,"",INDEX('Vendor COIs'!$B$4:$B$503,(_calc!$E$31-500)))))</f>
        <v/>
      </c>
      <c r="B29" s="46">
        <f>IF(_calc!$E$31="","",IF(_calc!$E$31&lt;=500,IF(ISNUMBER(INDEX('Our policies'!$J$4:$J$503,_calc!$E$31)),TEXT(INDEX('Our policies'!$J$4:$J$503,_calc!$E$31),"yyyy-mm-dd"),""),IF(ISNUMBER(INDEX('Vendor COIs'!$H$4:$H$503,(_calc!$E$31-500))),TEXT(INDEX('Vendor COIs'!$H$4:$H$503,(_calc!$E$31-500)),"yyyy-mm-dd"),"")))</f>
        <v/>
      </c>
      <c r="C29" s="46">
        <f>IF(_calc!$E$31="","",IF(_calc!$E$31&lt;=500,"Insurance","Certificate of insurance"))</f>
        <v/>
      </c>
      <c r="D29" s="46">
        <f>IF(_calc!$E$31="","",IF(_calc!$E$31&lt;=500,IF(ISNUMBER(INDEX('Our policies'!$I$4:$I$503,_calc!$E$31)),TEXT(INDEX('Our policies'!$I$4:$I$503,_calc!$E$31),"yyyy-mm-dd"),""),""))</f>
        <v/>
      </c>
      <c r="E29" s="46">
        <f>IF(_calc!$E$31="","",IF(_calc!$E$31&lt;=500,IF(LEN(INDEX('Our policies'!$Q$4:$Q$503,_calc!$E$31))=0,"",INDEX('Our policies'!$Q$4:$Q$503,_calc!$E$31)),"Medium"))</f>
        <v/>
      </c>
      <c r="F29" s="46">
        <f>IF(_calc!$E$31="","",IF(_calc!$E$31&lt;=500,TRIM(IF(LEN(IF(LEN(INDEX('Our policies'!$B$4:$B$503,_calc!$E$31))=0,"",INDEX('Our policies'!$B$4:$B$503,_calc!$E$31)))=0,"","Cover: "&amp;IF(LEN(INDEX('Our policies'!$B$4:$B$503,_calc!$E$31))=0,"",INDEX('Our policies'!$B$4:$B$503,_calc!$E$31))&amp;". ")&amp;IF(LEN(IF(LEN(INDEX('Our policies'!$C$4:$C$503,_calc!$E$31))=0,"",INDEX('Our policies'!$C$4:$C$503,_calc!$E$31)))=0,"","Insurer: "&amp;IF(LEN(INDEX('Our policies'!$C$4:$C$503,_calc!$E$31))=0,"",INDEX('Our policies'!$C$4:$C$503,_calc!$E$31))&amp;". ")&amp;IF(LEN(IF(LEN(INDEX('Our policies'!$D$4:$D$503,_calc!$E$31))=0,"",INDEX('Our policies'!$D$4:$D$503,_calc!$E$31)))=0,"","Broker: "&amp;IF(LEN(INDEX('Our policies'!$D$4:$D$503,_calc!$E$31))=0,"",INDEX('Our policies'!$D$4:$D$503,_calc!$E$31))&amp;". ")&amp;IF(LEN(IF(LEN(INDEX('Our policies'!$E$4:$E$503,_calc!$E$31))=0,"",INDEX('Our policies'!$E$4:$E$503,_calc!$E$31)))=0,"","Policy no.: "&amp;IF(LEN(INDEX('Our policies'!$E$4:$E$503,_calc!$E$31))=0,"",INDEX('Our policies'!$E$4:$E$503,_calc!$E$31))&amp;". ")&amp;IF(LEN(IF(LEN(INDEX('Our policies'!$S$4:$S$503,_calc!$E$31))=0,"",INDEX('Our policies'!$S$4:$S$503,_calc!$E$31)))=0,"",IF(LEN(INDEX('Our policies'!$S$4:$S$503,_calc!$E$31))=0,"",INDEX('Our policies'!$S$4:$S$503,_calc!$E$31)))),TRIM(IF(LEN(IF(LEN(INDEX('Vendor COIs'!$C$4:$C$503,(_calc!$E$31-500)))=0,"",INDEX('Vendor COIs'!$C$4:$C$503,(_calc!$E$31-500))))=0,"","Insurer: "&amp;IF(LEN(INDEX('Vendor COIs'!$C$4:$C$503,(_calc!$E$31-500)))=0,"",INDEX('Vendor COIs'!$C$4:$C$503,(_calc!$E$31-500)))&amp;". ")&amp;IF(LEN(IF(LEN(INDEX('Vendor COIs'!$D$4:$D$503,(_calc!$E$31-500)))=0,"",INDEX('Vendor COIs'!$D$4:$D$503,(_calc!$E$31-500))))=0,"","Policy no.: "&amp;IF(LEN(INDEX('Vendor COIs'!$D$4:$D$503,(_calc!$E$31-500)))=0,"",INDEX('Vendor COIs'!$D$4:$D$503,(_calc!$E$31-500)))&amp;". ")&amp;IF(LEN(IF(LEN(INDEX('Vendor COIs'!$F$4:$F$503,(_calc!$E$31-500)))=0,"",INDEX('Vendor COIs'!$F$4:$F$503,(_calc!$E$31-500))))=0,"","Meets minimum: "&amp;IF(LEN(INDEX('Vendor COIs'!$F$4:$F$503,(_calc!$E$31-500)))=0,"",INDEX('Vendor COIs'!$F$4:$F$503,(_calc!$E$31-500)))&amp;". ")&amp;IF(LEN(IF(LEN(INDEX('Vendor COIs'!$G$4:$G$503,(_calc!$E$31-500)))=0,"",INDEX('Vendor COIs'!$G$4:$G$503,(_calc!$E$31-500))))=0,"","Additional insured: "&amp;IF(LEN(INDEX('Vendor COIs'!$G$4:$G$503,(_calc!$E$31-500)))=0,"",INDEX('Vendor COIs'!$G$4:$G$503,(_calc!$E$31-500)))&amp;". ")&amp;IF(LEN(IF(LEN(INDEX('Vendor COIs'!$M$4:$M$503,(_calc!$E$31-500)))=0,"",INDEX('Vendor COIs'!$M$4:$M$503,(_calc!$E$31-500))))=0,"","Vendor contact: "&amp;IF(LEN(INDEX('Vendor COIs'!$M$4:$M$503,(_calc!$E$31-500)))=0,"",INDEX('Vendor COIs'!$M$4:$M$503,(_calc!$E$31-500)))&amp;". ")&amp;IF(LEN(IF(LEN(INDEX('Vendor COIs'!$P$4:$P$503,(_calc!$E$31-500)))=0,"",INDEX('Vendor COIs'!$P$4:$P$503,(_calc!$E$31-500))))=0,"",IF(LEN(INDEX('Vendor COIs'!$P$4:$P$503,(_calc!$E$31-500)))=0,"",INDEX('Vendor COIs'!$P$4:$P$503,(_calc!$E$31-500)))))))</f>
        <v/>
      </c>
      <c r="G29" s="46">
        <f>IF(_calc!$E$31="","",IF(_calc!$E$31&lt;=500,IF(LEN(INDEX('Our policies'!$R$4:$R$503,_calc!$E$31))=0,"",INDEX('Our policies'!$R$4:$R$503,_calc!$E$31)),IF(LEN(INDEX('Vendor COIs'!$O$4:$O$503,(_calc!$E$31-500)))=0,"",INDEX('Vendor COIs'!$O$4:$O$503,(_calc!$E$31-500)))))</f>
        <v/>
      </c>
      <c r="H29" s="46">
        <f>IF(_calc!$E$31="","",IF(_calc!$E$31&lt;=500,IF(LEN(INDEX('Our policies'!$G$4:$G$503,_calc!$E$31))=0,"",INDEX('Our policies'!$G$4:$G$503,_calc!$E$31)),""))</f>
        <v/>
      </c>
      <c r="I29" s="46">
        <f>IF(_calc!$E$31="","",IF(_calc!$E$31&lt;=500,IF(LEN(INDEX('Our policies'!$H$4:$H$503,_calc!$E$31))=0,"",INDEX('Our policies'!$H$4:$H$503,_calc!$E$31)),""))</f>
        <v/>
      </c>
      <c r="K29" s="46">
        <f>IF(_calc!$E$31="","",IF(_calc!$E$31&lt;=500,IF(LEN(INDEX('Our policies'!$P$4:$P$503,_calc!$E$31))=0,"",INDEX('Our policies'!$P$4:$P$503,_calc!$E$31)),IF(LEN(INDEX('Vendor COIs'!$N$4:$N$503,(_calc!$E$31-500)))=0,"",INDEX('Vendor COIs'!$N$4:$N$503,(_calc!$E$31-500)))))</f>
        <v/>
      </c>
    </row>
    <row r="30">
      <c r="A30" s="46">
        <f>IF(_calc!$E$32="","",IF(_calc!$E$32&lt;=500,IF(LEN(INDEX('Our policies'!$A$4:$A$503,_calc!$E$32))=0,"",INDEX('Our policies'!$A$4:$A$503,_calc!$E$32)),"COI – "&amp;IF(LEN(INDEX('Vendor COIs'!$A$4:$A$503,(_calc!$E$32-500)))=0,"",INDEX('Vendor COIs'!$A$4:$A$503,(_calc!$E$32-500)))&amp;" – "&amp;IF(LEN(INDEX('Vendor COIs'!$B$4:$B$503,(_calc!$E$32-500)))=0,"",INDEX('Vendor COIs'!$B$4:$B$503,(_calc!$E$32-500)))))</f>
        <v/>
      </c>
      <c r="B30" s="46">
        <f>IF(_calc!$E$32="","",IF(_calc!$E$32&lt;=500,IF(ISNUMBER(INDEX('Our policies'!$J$4:$J$503,_calc!$E$32)),TEXT(INDEX('Our policies'!$J$4:$J$503,_calc!$E$32),"yyyy-mm-dd"),""),IF(ISNUMBER(INDEX('Vendor COIs'!$H$4:$H$503,(_calc!$E$32-500))),TEXT(INDEX('Vendor COIs'!$H$4:$H$503,(_calc!$E$32-500)),"yyyy-mm-dd"),"")))</f>
        <v/>
      </c>
      <c r="C30" s="46">
        <f>IF(_calc!$E$32="","",IF(_calc!$E$32&lt;=500,"Insurance","Certificate of insurance"))</f>
        <v/>
      </c>
      <c r="D30" s="46">
        <f>IF(_calc!$E$32="","",IF(_calc!$E$32&lt;=500,IF(ISNUMBER(INDEX('Our policies'!$I$4:$I$503,_calc!$E$32)),TEXT(INDEX('Our policies'!$I$4:$I$503,_calc!$E$32),"yyyy-mm-dd"),""),""))</f>
        <v/>
      </c>
      <c r="E30" s="46">
        <f>IF(_calc!$E$32="","",IF(_calc!$E$32&lt;=500,IF(LEN(INDEX('Our policies'!$Q$4:$Q$503,_calc!$E$32))=0,"",INDEX('Our policies'!$Q$4:$Q$503,_calc!$E$32)),"Medium"))</f>
        <v/>
      </c>
      <c r="F30" s="46">
        <f>IF(_calc!$E$32="","",IF(_calc!$E$32&lt;=500,TRIM(IF(LEN(IF(LEN(INDEX('Our policies'!$B$4:$B$503,_calc!$E$32))=0,"",INDEX('Our policies'!$B$4:$B$503,_calc!$E$32)))=0,"","Cover: "&amp;IF(LEN(INDEX('Our policies'!$B$4:$B$503,_calc!$E$32))=0,"",INDEX('Our policies'!$B$4:$B$503,_calc!$E$32))&amp;". ")&amp;IF(LEN(IF(LEN(INDEX('Our policies'!$C$4:$C$503,_calc!$E$32))=0,"",INDEX('Our policies'!$C$4:$C$503,_calc!$E$32)))=0,"","Insurer: "&amp;IF(LEN(INDEX('Our policies'!$C$4:$C$503,_calc!$E$32))=0,"",INDEX('Our policies'!$C$4:$C$503,_calc!$E$32))&amp;". ")&amp;IF(LEN(IF(LEN(INDEX('Our policies'!$D$4:$D$503,_calc!$E$32))=0,"",INDEX('Our policies'!$D$4:$D$503,_calc!$E$32)))=0,"","Broker: "&amp;IF(LEN(INDEX('Our policies'!$D$4:$D$503,_calc!$E$32))=0,"",INDEX('Our policies'!$D$4:$D$503,_calc!$E$32))&amp;". ")&amp;IF(LEN(IF(LEN(INDEX('Our policies'!$E$4:$E$503,_calc!$E$32))=0,"",INDEX('Our policies'!$E$4:$E$503,_calc!$E$32)))=0,"","Policy no.: "&amp;IF(LEN(INDEX('Our policies'!$E$4:$E$503,_calc!$E$32))=0,"",INDEX('Our policies'!$E$4:$E$503,_calc!$E$32))&amp;". ")&amp;IF(LEN(IF(LEN(INDEX('Our policies'!$S$4:$S$503,_calc!$E$32))=0,"",INDEX('Our policies'!$S$4:$S$503,_calc!$E$32)))=0,"",IF(LEN(INDEX('Our policies'!$S$4:$S$503,_calc!$E$32))=0,"",INDEX('Our policies'!$S$4:$S$503,_calc!$E$32)))),TRIM(IF(LEN(IF(LEN(INDEX('Vendor COIs'!$C$4:$C$503,(_calc!$E$32-500)))=0,"",INDEX('Vendor COIs'!$C$4:$C$503,(_calc!$E$32-500))))=0,"","Insurer: "&amp;IF(LEN(INDEX('Vendor COIs'!$C$4:$C$503,(_calc!$E$32-500)))=0,"",INDEX('Vendor COIs'!$C$4:$C$503,(_calc!$E$32-500)))&amp;". ")&amp;IF(LEN(IF(LEN(INDEX('Vendor COIs'!$D$4:$D$503,(_calc!$E$32-500)))=0,"",INDEX('Vendor COIs'!$D$4:$D$503,(_calc!$E$32-500))))=0,"","Policy no.: "&amp;IF(LEN(INDEX('Vendor COIs'!$D$4:$D$503,(_calc!$E$32-500)))=0,"",INDEX('Vendor COIs'!$D$4:$D$503,(_calc!$E$32-500)))&amp;". ")&amp;IF(LEN(IF(LEN(INDEX('Vendor COIs'!$F$4:$F$503,(_calc!$E$32-500)))=0,"",INDEX('Vendor COIs'!$F$4:$F$503,(_calc!$E$32-500))))=0,"","Meets minimum: "&amp;IF(LEN(INDEX('Vendor COIs'!$F$4:$F$503,(_calc!$E$32-500)))=0,"",INDEX('Vendor COIs'!$F$4:$F$503,(_calc!$E$32-500)))&amp;". ")&amp;IF(LEN(IF(LEN(INDEX('Vendor COIs'!$G$4:$G$503,(_calc!$E$32-500)))=0,"",INDEX('Vendor COIs'!$G$4:$G$503,(_calc!$E$32-500))))=0,"","Additional insured: "&amp;IF(LEN(INDEX('Vendor COIs'!$G$4:$G$503,(_calc!$E$32-500)))=0,"",INDEX('Vendor COIs'!$G$4:$G$503,(_calc!$E$32-500)))&amp;". ")&amp;IF(LEN(IF(LEN(INDEX('Vendor COIs'!$M$4:$M$503,(_calc!$E$32-500)))=0,"",INDEX('Vendor COIs'!$M$4:$M$503,(_calc!$E$32-500))))=0,"","Vendor contact: "&amp;IF(LEN(INDEX('Vendor COIs'!$M$4:$M$503,(_calc!$E$32-500)))=0,"",INDEX('Vendor COIs'!$M$4:$M$503,(_calc!$E$32-500)))&amp;". ")&amp;IF(LEN(IF(LEN(INDEX('Vendor COIs'!$P$4:$P$503,(_calc!$E$32-500)))=0,"",INDEX('Vendor COIs'!$P$4:$P$503,(_calc!$E$32-500))))=0,"",IF(LEN(INDEX('Vendor COIs'!$P$4:$P$503,(_calc!$E$32-500)))=0,"",INDEX('Vendor COIs'!$P$4:$P$503,(_calc!$E$32-500)))))))</f>
        <v/>
      </c>
      <c r="G30" s="46">
        <f>IF(_calc!$E$32="","",IF(_calc!$E$32&lt;=500,IF(LEN(INDEX('Our policies'!$R$4:$R$503,_calc!$E$32))=0,"",INDEX('Our policies'!$R$4:$R$503,_calc!$E$32)),IF(LEN(INDEX('Vendor COIs'!$O$4:$O$503,(_calc!$E$32-500)))=0,"",INDEX('Vendor COIs'!$O$4:$O$503,(_calc!$E$32-500)))))</f>
        <v/>
      </c>
      <c r="H30" s="46">
        <f>IF(_calc!$E$32="","",IF(_calc!$E$32&lt;=500,IF(LEN(INDEX('Our policies'!$G$4:$G$503,_calc!$E$32))=0,"",INDEX('Our policies'!$G$4:$G$503,_calc!$E$32)),""))</f>
        <v/>
      </c>
      <c r="I30" s="46">
        <f>IF(_calc!$E$32="","",IF(_calc!$E$32&lt;=500,IF(LEN(INDEX('Our policies'!$H$4:$H$503,_calc!$E$32))=0,"",INDEX('Our policies'!$H$4:$H$503,_calc!$E$32)),""))</f>
        <v/>
      </c>
      <c r="K30" s="46">
        <f>IF(_calc!$E$32="","",IF(_calc!$E$32&lt;=500,IF(LEN(INDEX('Our policies'!$P$4:$P$503,_calc!$E$32))=0,"",INDEX('Our policies'!$P$4:$P$503,_calc!$E$32)),IF(LEN(INDEX('Vendor COIs'!$N$4:$N$503,(_calc!$E$32-500)))=0,"",INDEX('Vendor COIs'!$N$4:$N$503,(_calc!$E$32-500)))))</f>
        <v/>
      </c>
    </row>
    <row r="31">
      <c r="A31" s="46">
        <f>IF(_calc!$E$33="","",IF(_calc!$E$33&lt;=500,IF(LEN(INDEX('Our policies'!$A$4:$A$503,_calc!$E$33))=0,"",INDEX('Our policies'!$A$4:$A$503,_calc!$E$33)),"COI – "&amp;IF(LEN(INDEX('Vendor COIs'!$A$4:$A$503,(_calc!$E$33-500)))=0,"",INDEX('Vendor COIs'!$A$4:$A$503,(_calc!$E$33-500)))&amp;" – "&amp;IF(LEN(INDEX('Vendor COIs'!$B$4:$B$503,(_calc!$E$33-500)))=0,"",INDEX('Vendor COIs'!$B$4:$B$503,(_calc!$E$33-500)))))</f>
        <v/>
      </c>
      <c r="B31" s="46">
        <f>IF(_calc!$E$33="","",IF(_calc!$E$33&lt;=500,IF(ISNUMBER(INDEX('Our policies'!$J$4:$J$503,_calc!$E$33)),TEXT(INDEX('Our policies'!$J$4:$J$503,_calc!$E$33),"yyyy-mm-dd"),""),IF(ISNUMBER(INDEX('Vendor COIs'!$H$4:$H$503,(_calc!$E$33-500))),TEXT(INDEX('Vendor COIs'!$H$4:$H$503,(_calc!$E$33-500)),"yyyy-mm-dd"),"")))</f>
        <v/>
      </c>
      <c r="C31" s="46">
        <f>IF(_calc!$E$33="","",IF(_calc!$E$33&lt;=500,"Insurance","Certificate of insurance"))</f>
        <v/>
      </c>
      <c r="D31" s="46">
        <f>IF(_calc!$E$33="","",IF(_calc!$E$33&lt;=500,IF(ISNUMBER(INDEX('Our policies'!$I$4:$I$503,_calc!$E$33)),TEXT(INDEX('Our policies'!$I$4:$I$503,_calc!$E$33),"yyyy-mm-dd"),""),""))</f>
        <v/>
      </c>
      <c r="E31" s="46">
        <f>IF(_calc!$E$33="","",IF(_calc!$E$33&lt;=500,IF(LEN(INDEX('Our policies'!$Q$4:$Q$503,_calc!$E$33))=0,"",INDEX('Our policies'!$Q$4:$Q$503,_calc!$E$33)),"Medium"))</f>
        <v/>
      </c>
      <c r="F31" s="46">
        <f>IF(_calc!$E$33="","",IF(_calc!$E$33&lt;=500,TRIM(IF(LEN(IF(LEN(INDEX('Our policies'!$B$4:$B$503,_calc!$E$33))=0,"",INDEX('Our policies'!$B$4:$B$503,_calc!$E$33)))=0,"","Cover: "&amp;IF(LEN(INDEX('Our policies'!$B$4:$B$503,_calc!$E$33))=0,"",INDEX('Our policies'!$B$4:$B$503,_calc!$E$33))&amp;". ")&amp;IF(LEN(IF(LEN(INDEX('Our policies'!$C$4:$C$503,_calc!$E$33))=0,"",INDEX('Our policies'!$C$4:$C$503,_calc!$E$33)))=0,"","Insurer: "&amp;IF(LEN(INDEX('Our policies'!$C$4:$C$503,_calc!$E$33))=0,"",INDEX('Our policies'!$C$4:$C$503,_calc!$E$33))&amp;". ")&amp;IF(LEN(IF(LEN(INDEX('Our policies'!$D$4:$D$503,_calc!$E$33))=0,"",INDEX('Our policies'!$D$4:$D$503,_calc!$E$33)))=0,"","Broker: "&amp;IF(LEN(INDEX('Our policies'!$D$4:$D$503,_calc!$E$33))=0,"",INDEX('Our policies'!$D$4:$D$503,_calc!$E$33))&amp;". ")&amp;IF(LEN(IF(LEN(INDEX('Our policies'!$E$4:$E$503,_calc!$E$33))=0,"",INDEX('Our policies'!$E$4:$E$503,_calc!$E$33)))=0,"","Policy no.: "&amp;IF(LEN(INDEX('Our policies'!$E$4:$E$503,_calc!$E$33))=0,"",INDEX('Our policies'!$E$4:$E$503,_calc!$E$33))&amp;". ")&amp;IF(LEN(IF(LEN(INDEX('Our policies'!$S$4:$S$503,_calc!$E$33))=0,"",INDEX('Our policies'!$S$4:$S$503,_calc!$E$33)))=0,"",IF(LEN(INDEX('Our policies'!$S$4:$S$503,_calc!$E$33))=0,"",INDEX('Our policies'!$S$4:$S$503,_calc!$E$33)))),TRIM(IF(LEN(IF(LEN(INDEX('Vendor COIs'!$C$4:$C$503,(_calc!$E$33-500)))=0,"",INDEX('Vendor COIs'!$C$4:$C$503,(_calc!$E$33-500))))=0,"","Insurer: "&amp;IF(LEN(INDEX('Vendor COIs'!$C$4:$C$503,(_calc!$E$33-500)))=0,"",INDEX('Vendor COIs'!$C$4:$C$503,(_calc!$E$33-500)))&amp;". ")&amp;IF(LEN(IF(LEN(INDEX('Vendor COIs'!$D$4:$D$503,(_calc!$E$33-500)))=0,"",INDEX('Vendor COIs'!$D$4:$D$503,(_calc!$E$33-500))))=0,"","Policy no.: "&amp;IF(LEN(INDEX('Vendor COIs'!$D$4:$D$503,(_calc!$E$33-500)))=0,"",INDEX('Vendor COIs'!$D$4:$D$503,(_calc!$E$33-500)))&amp;". ")&amp;IF(LEN(IF(LEN(INDEX('Vendor COIs'!$F$4:$F$503,(_calc!$E$33-500)))=0,"",INDEX('Vendor COIs'!$F$4:$F$503,(_calc!$E$33-500))))=0,"","Meets minimum: "&amp;IF(LEN(INDEX('Vendor COIs'!$F$4:$F$503,(_calc!$E$33-500)))=0,"",INDEX('Vendor COIs'!$F$4:$F$503,(_calc!$E$33-500)))&amp;". ")&amp;IF(LEN(IF(LEN(INDEX('Vendor COIs'!$G$4:$G$503,(_calc!$E$33-500)))=0,"",INDEX('Vendor COIs'!$G$4:$G$503,(_calc!$E$33-500))))=0,"","Additional insured: "&amp;IF(LEN(INDEX('Vendor COIs'!$G$4:$G$503,(_calc!$E$33-500)))=0,"",INDEX('Vendor COIs'!$G$4:$G$503,(_calc!$E$33-500)))&amp;". ")&amp;IF(LEN(IF(LEN(INDEX('Vendor COIs'!$M$4:$M$503,(_calc!$E$33-500)))=0,"",INDEX('Vendor COIs'!$M$4:$M$503,(_calc!$E$33-500))))=0,"","Vendor contact: "&amp;IF(LEN(INDEX('Vendor COIs'!$M$4:$M$503,(_calc!$E$33-500)))=0,"",INDEX('Vendor COIs'!$M$4:$M$503,(_calc!$E$33-500)))&amp;". ")&amp;IF(LEN(IF(LEN(INDEX('Vendor COIs'!$P$4:$P$503,(_calc!$E$33-500)))=0,"",INDEX('Vendor COIs'!$P$4:$P$503,(_calc!$E$33-500))))=0,"",IF(LEN(INDEX('Vendor COIs'!$P$4:$P$503,(_calc!$E$33-500)))=0,"",INDEX('Vendor COIs'!$P$4:$P$503,(_calc!$E$33-500)))))))</f>
        <v/>
      </c>
      <c r="G31" s="46">
        <f>IF(_calc!$E$33="","",IF(_calc!$E$33&lt;=500,IF(LEN(INDEX('Our policies'!$R$4:$R$503,_calc!$E$33))=0,"",INDEX('Our policies'!$R$4:$R$503,_calc!$E$33)),IF(LEN(INDEX('Vendor COIs'!$O$4:$O$503,(_calc!$E$33-500)))=0,"",INDEX('Vendor COIs'!$O$4:$O$503,(_calc!$E$33-500)))))</f>
        <v/>
      </c>
      <c r="H31" s="46">
        <f>IF(_calc!$E$33="","",IF(_calc!$E$33&lt;=500,IF(LEN(INDEX('Our policies'!$G$4:$G$503,_calc!$E$33))=0,"",INDEX('Our policies'!$G$4:$G$503,_calc!$E$33)),""))</f>
        <v/>
      </c>
      <c r="I31" s="46">
        <f>IF(_calc!$E$33="","",IF(_calc!$E$33&lt;=500,IF(LEN(INDEX('Our policies'!$H$4:$H$503,_calc!$E$33))=0,"",INDEX('Our policies'!$H$4:$H$503,_calc!$E$33)),""))</f>
        <v/>
      </c>
      <c r="K31" s="46">
        <f>IF(_calc!$E$33="","",IF(_calc!$E$33&lt;=500,IF(LEN(INDEX('Our policies'!$P$4:$P$503,_calc!$E$33))=0,"",INDEX('Our policies'!$P$4:$P$503,_calc!$E$33)),IF(LEN(INDEX('Vendor COIs'!$N$4:$N$503,(_calc!$E$33-500)))=0,"",INDEX('Vendor COIs'!$N$4:$N$503,(_calc!$E$33-500)))))</f>
        <v/>
      </c>
    </row>
    <row r="32">
      <c r="A32" s="46">
        <f>IF(_calc!$E$34="","",IF(_calc!$E$34&lt;=500,IF(LEN(INDEX('Our policies'!$A$4:$A$503,_calc!$E$34))=0,"",INDEX('Our policies'!$A$4:$A$503,_calc!$E$34)),"COI – "&amp;IF(LEN(INDEX('Vendor COIs'!$A$4:$A$503,(_calc!$E$34-500)))=0,"",INDEX('Vendor COIs'!$A$4:$A$503,(_calc!$E$34-500)))&amp;" – "&amp;IF(LEN(INDEX('Vendor COIs'!$B$4:$B$503,(_calc!$E$34-500)))=0,"",INDEX('Vendor COIs'!$B$4:$B$503,(_calc!$E$34-500)))))</f>
        <v/>
      </c>
      <c r="B32" s="46">
        <f>IF(_calc!$E$34="","",IF(_calc!$E$34&lt;=500,IF(ISNUMBER(INDEX('Our policies'!$J$4:$J$503,_calc!$E$34)),TEXT(INDEX('Our policies'!$J$4:$J$503,_calc!$E$34),"yyyy-mm-dd"),""),IF(ISNUMBER(INDEX('Vendor COIs'!$H$4:$H$503,(_calc!$E$34-500))),TEXT(INDEX('Vendor COIs'!$H$4:$H$503,(_calc!$E$34-500)),"yyyy-mm-dd"),"")))</f>
        <v/>
      </c>
      <c r="C32" s="46">
        <f>IF(_calc!$E$34="","",IF(_calc!$E$34&lt;=500,"Insurance","Certificate of insurance"))</f>
        <v/>
      </c>
      <c r="D32" s="46">
        <f>IF(_calc!$E$34="","",IF(_calc!$E$34&lt;=500,IF(ISNUMBER(INDEX('Our policies'!$I$4:$I$503,_calc!$E$34)),TEXT(INDEX('Our policies'!$I$4:$I$503,_calc!$E$34),"yyyy-mm-dd"),""),""))</f>
        <v/>
      </c>
      <c r="E32" s="46">
        <f>IF(_calc!$E$34="","",IF(_calc!$E$34&lt;=500,IF(LEN(INDEX('Our policies'!$Q$4:$Q$503,_calc!$E$34))=0,"",INDEX('Our policies'!$Q$4:$Q$503,_calc!$E$34)),"Medium"))</f>
        <v/>
      </c>
      <c r="F32" s="46">
        <f>IF(_calc!$E$34="","",IF(_calc!$E$34&lt;=500,TRIM(IF(LEN(IF(LEN(INDEX('Our policies'!$B$4:$B$503,_calc!$E$34))=0,"",INDEX('Our policies'!$B$4:$B$503,_calc!$E$34)))=0,"","Cover: "&amp;IF(LEN(INDEX('Our policies'!$B$4:$B$503,_calc!$E$34))=0,"",INDEX('Our policies'!$B$4:$B$503,_calc!$E$34))&amp;". ")&amp;IF(LEN(IF(LEN(INDEX('Our policies'!$C$4:$C$503,_calc!$E$34))=0,"",INDEX('Our policies'!$C$4:$C$503,_calc!$E$34)))=0,"","Insurer: "&amp;IF(LEN(INDEX('Our policies'!$C$4:$C$503,_calc!$E$34))=0,"",INDEX('Our policies'!$C$4:$C$503,_calc!$E$34))&amp;". ")&amp;IF(LEN(IF(LEN(INDEX('Our policies'!$D$4:$D$503,_calc!$E$34))=0,"",INDEX('Our policies'!$D$4:$D$503,_calc!$E$34)))=0,"","Broker: "&amp;IF(LEN(INDEX('Our policies'!$D$4:$D$503,_calc!$E$34))=0,"",INDEX('Our policies'!$D$4:$D$503,_calc!$E$34))&amp;". ")&amp;IF(LEN(IF(LEN(INDEX('Our policies'!$E$4:$E$503,_calc!$E$34))=0,"",INDEX('Our policies'!$E$4:$E$503,_calc!$E$34)))=0,"","Policy no.: "&amp;IF(LEN(INDEX('Our policies'!$E$4:$E$503,_calc!$E$34))=0,"",INDEX('Our policies'!$E$4:$E$503,_calc!$E$34))&amp;". ")&amp;IF(LEN(IF(LEN(INDEX('Our policies'!$S$4:$S$503,_calc!$E$34))=0,"",INDEX('Our policies'!$S$4:$S$503,_calc!$E$34)))=0,"",IF(LEN(INDEX('Our policies'!$S$4:$S$503,_calc!$E$34))=0,"",INDEX('Our policies'!$S$4:$S$503,_calc!$E$34)))),TRIM(IF(LEN(IF(LEN(INDEX('Vendor COIs'!$C$4:$C$503,(_calc!$E$34-500)))=0,"",INDEX('Vendor COIs'!$C$4:$C$503,(_calc!$E$34-500))))=0,"","Insurer: "&amp;IF(LEN(INDEX('Vendor COIs'!$C$4:$C$503,(_calc!$E$34-500)))=0,"",INDEX('Vendor COIs'!$C$4:$C$503,(_calc!$E$34-500)))&amp;". ")&amp;IF(LEN(IF(LEN(INDEX('Vendor COIs'!$D$4:$D$503,(_calc!$E$34-500)))=0,"",INDEX('Vendor COIs'!$D$4:$D$503,(_calc!$E$34-500))))=0,"","Policy no.: "&amp;IF(LEN(INDEX('Vendor COIs'!$D$4:$D$503,(_calc!$E$34-500)))=0,"",INDEX('Vendor COIs'!$D$4:$D$503,(_calc!$E$34-500)))&amp;". ")&amp;IF(LEN(IF(LEN(INDEX('Vendor COIs'!$F$4:$F$503,(_calc!$E$34-500)))=0,"",INDEX('Vendor COIs'!$F$4:$F$503,(_calc!$E$34-500))))=0,"","Meets minimum: "&amp;IF(LEN(INDEX('Vendor COIs'!$F$4:$F$503,(_calc!$E$34-500)))=0,"",INDEX('Vendor COIs'!$F$4:$F$503,(_calc!$E$34-500)))&amp;". ")&amp;IF(LEN(IF(LEN(INDEX('Vendor COIs'!$G$4:$G$503,(_calc!$E$34-500)))=0,"",INDEX('Vendor COIs'!$G$4:$G$503,(_calc!$E$34-500))))=0,"","Additional insured: "&amp;IF(LEN(INDEX('Vendor COIs'!$G$4:$G$503,(_calc!$E$34-500)))=0,"",INDEX('Vendor COIs'!$G$4:$G$503,(_calc!$E$34-500)))&amp;". ")&amp;IF(LEN(IF(LEN(INDEX('Vendor COIs'!$M$4:$M$503,(_calc!$E$34-500)))=0,"",INDEX('Vendor COIs'!$M$4:$M$503,(_calc!$E$34-500))))=0,"","Vendor contact: "&amp;IF(LEN(INDEX('Vendor COIs'!$M$4:$M$503,(_calc!$E$34-500)))=0,"",INDEX('Vendor COIs'!$M$4:$M$503,(_calc!$E$34-500)))&amp;". ")&amp;IF(LEN(IF(LEN(INDEX('Vendor COIs'!$P$4:$P$503,(_calc!$E$34-500)))=0,"",INDEX('Vendor COIs'!$P$4:$P$503,(_calc!$E$34-500))))=0,"",IF(LEN(INDEX('Vendor COIs'!$P$4:$P$503,(_calc!$E$34-500)))=0,"",INDEX('Vendor COIs'!$P$4:$P$503,(_calc!$E$34-500)))))))</f>
        <v/>
      </c>
      <c r="G32" s="46">
        <f>IF(_calc!$E$34="","",IF(_calc!$E$34&lt;=500,IF(LEN(INDEX('Our policies'!$R$4:$R$503,_calc!$E$34))=0,"",INDEX('Our policies'!$R$4:$R$503,_calc!$E$34)),IF(LEN(INDEX('Vendor COIs'!$O$4:$O$503,(_calc!$E$34-500)))=0,"",INDEX('Vendor COIs'!$O$4:$O$503,(_calc!$E$34-500)))))</f>
        <v/>
      </c>
      <c r="H32" s="46">
        <f>IF(_calc!$E$34="","",IF(_calc!$E$34&lt;=500,IF(LEN(INDEX('Our policies'!$G$4:$G$503,_calc!$E$34))=0,"",INDEX('Our policies'!$G$4:$G$503,_calc!$E$34)),""))</f>
        <v/>
      </c>
      <c r="I32" s="46">
        <f>IF(_calc!$E$34="","",IF(_calc!$E$34&lt;=500,IF(LEN(INDEX('Our policies'!$H$4:$H$503,_calc!$E$34))=0,"",INDEX('Our policies'!$H$4:$H$503,_calc!$E$34)),""))</f>
        <v/>
      </c>
      <c r="K32" s="46">
        <f>IF(_calc!$E$34="","",IF(_calc!$E$34&lt;=500,IF(LEN(INDEX('Our policies'!$P$4:$P$503,_calc!$E$34))=0,"",INDEX('Our policies'!$P$4:$P$503,_calc!$E$34)),IF(LEN(INDEX('Vendor COIs'!$N$4:$N$503,(_calc!$E$34-500)))=0,"",INDEX('Vendor COIs'!$N$4:$N$503,(_calc!$E$34-500)))))</f>
        <v/>
      </c>
    </row>
    <row r="33">
      <c r="A33" s="46">
        <f>IF(_calc!$E$35="","",IF(_calc!$E$35&lt;=500,IF(LEN(INDEX('Our policies'!$A$4:$A$503,_calc!$E$35))=0,"",INDEX('Our policies'!$A$4:$A$503,_calc!$E$35)),"COI – "&amp;IF(LEN(INDEX('Vendor COIs'!$A$4:$A$503,(_calc!$E$35-500)))=0,"",INDEX('Vendor COIs'!$A$4:$A$503,(_calc!$E$35-500)))&amp;" – "&amp;IF(LEN(INDEX('Vendor COIs'!$B$4:$B$503,(_calc!$E$35-500)))=0,"",INDEX('Vendor COIs'!$B$4:$B$503,(_calc!$E$35-500)))))</f>
        <v/>
      </c>
      <c r="B33" s="46">
        <f>IF(_calc!$E$35="","",IF(_calc!$E$35&lt;=500,IF(ISNUMBER(INDEX('Our policies'!$J$4:$J$503,_calc!$E$35)),TEXT(INDEX('Our policies'!$J$4:$J$503,_calc!$E$35),"yyyy-mm-dd"),""),IF(ISNUMBER(INDEX('Vendor COIs'!$H$4:$H$503,(_calc!$E$35-500))),TEXT(INDEX('Vendor COIs'!$H$4:$H$503,(_calc!$E$35-500)),"yyyy-mm-dd"),"")))</f>
        <v/>
      </c>
      <c r="C33" s="46">
        <f>IF(_calc!$E$35="","",IF(_calc!$E$35&lt;=500,"Insurance","Certificate of insurance"))</f>
        <v/>
      </c>
      <c r="D33" s="46">
        <f>IF(_calc!$E$35="","",IF(_calc!$E$35&lt;=500,IF(ISNUMBER(INDEX('Our policies'!$I$4:$I$503,_calc!$E$35)),TEXT(INDEX('Our policies'!$I$4:$I$503,_calc!$E$35),"yyyy-mm-dd"),""),""))</f>
        <v/>
      </c>
      <c r="E33" s="46">
        <f>IF(_calc!$E$35="","",IF(_calc!$E$35&lt;=500,IF(LEN(INDEX('Our policies'!$Q$4:$Q$503,_calc!$E$35))=0,"",INDEX('Our policies'!$Q$4:$Q$503,_calc!$E$35)),"Medium"))</f>
        <v/>
      </c>
      <c r="F33" s="46">
        <f>IF(_calc!$E$35="","",IF(_calc!$E$35&lt;=500,TRIM(IF(LEN(IF(LEN(INDEX('Our policies'!$B$4:$B$503,_calc!$E$35))=0,"",INDEX('Our policies'!$B$4:$B$503,_calc!$E$35)))=0,"","Cover: "&amp;IF(LEN(INDEX('Our policies'!$B$4:$B$503,_calc!$E$35))=0,"",INDEX('Our policies'!$B$4:$B$503,_calc!$E$35))&amp;". ")&amp;IF(LEN(IF(LEN(INDEX('Our policies'!$C$4:$C$503,_calc!$E$35))=0,"",INDEX('Our policies'!$C$4:$C$503,_calc!$E$35)))=0,"","Insurer: "&amp;IF(LEN(INDEX('Our policies'!$C$4:$C$503,_calc!$E$35))=0,"",INDEX('Our policies'!$C$4:$C$503,_calc!$E$35))&amp;". ")&amp;IF(LEN(IF(LEN(INDEX('Our policies'!$D$4:$D$503,_calc!$E$35))=0,"",INDEX('Our policies'!$D$4:$D$503,_calc!$E$35)))=0,"","Broker: "&amp;IF(LEN(INDEX('Our policies'!$D$4:$D$503,_calc!$E$35))=0,"",INDEX('Our policies'!$D$4:$D$503,_calc!$E$35))&amp;". ")&amp;IF(LEN(IF(LEN(INDEX('Our policies'!$E$4:$E$503,_calc!$E$35))=0,"",INDEX('Our policies'!$E$4:$E$503,_calc!$E$35)))=0,"","Policy no.: "&amp;IF(LEN(INDEX('Our policies'!$E$4:$E$503,_calc!$E$35))=0,"",INDEX('Our policies'!$E$4:$E$503,_calc!$E$35))&amp;". ")&amp;IF(LEN(IF(LEN(INDEX('Our policies'!$S$4:$S$503,_calc!$E$35))=0,"",INDEX('Our policies'!$S$4:$S$503,_calc!$E$35)))=0,"",IF(LEN(INDEX('Our policies'!$S$4:$S$503,_calc!$E$35))=0,"",INDEX('Our policies'!$S$4:$S$503,_calc!$E$35)))),TRIM(IF(LEN(IF(LEN(INDEX('Vendor COIs'!$C$4:$C$503,(_calc!$E$35-500)))=0,"",INDEX('Vendor COIs'!$C$4:$C$503,(_calc!$E$35-500))))=0,"","Insurer: "&amp;IF(LEN(INDEX('Vendor COIs'!$C$4:$C$503,(_calc!$E$35-500)))=0,"",INDEX('Vendor COIs'!$C$4:$C$503,(_calc!$E$35-500)))&amp;". ")&amp;IF(LEN(IF(LEN(INDEX('Vendor COIs'!$D$4:$D$503,(_calc!$E$35-500)))=0,"",INDEX('Vendor COIs'!$D$4:$D$503,(_calc!$E$35-500))))=0,"","Policy no.: "&amp;IF(LEN(INDEX('Vendor COIs'!$D$4:$D$503,(_calc!$E$35-500)))=0,"",INDEX('Vendor COIs'!$D$4:$D$503,(_calc!$E$35-500)))&amp;". ")&amp;IF(LEN(IF(LEN(INDEX('Vendor COIs'!$F$4:$F$503,(_calc!$E$35-500)))=0,"",INDEX('Vendor COIs'!$F$4:$F$503,(_calc!$E$35-500))))=0,"","Meets minimum: "&amp;IF(LEN(INDEX('Vendor COIs'!$F$4:$F$503,(_calc!$E$35-500)))=0,"",INDEX('Vendor COIs'!$F$4:$F$503,(_calc!$E$35-500)))&amp;". ")&amp;IF(LEN(IF(LEN(INDEX('Vendor COIs'!$G$4:$G$503,(_calc!$E$35-500)))=0,"",INDEX('Vendor COIs'!$G$4:$G$503,(_calc!$E$35-500))))=0,"","Additional insured: "&amp;IF(LEN(INDEX('Vendor COIs'!$G$4:$G$503,(_calc!$E$35-500)))=0,"",INDEX('Vendor COIs'!$G$4:$G$503,(_calc!$E$35-500)))&amp;". ")&amp;IF(LEN(IF(LEN(INDEX('Vendor COIs'!$M$4:$M$503,(_calc!$E$35-500)))=0,"",INDEX('Vendor COIs'!$M$4:$M$503,(_calc!$E$35-500))))=0,"","Vendor contact: "&amp;IF(LEN(INDEX('Vendor COIs'!$M$4:$M$503,(_calc!$E$35-500)))=0,"",INDEX('Vendor COIs'!$M$4:$M$503,(_calc!$E$35-500)))&amp;". ")&amp;IF(LEN(IF(LEN(INDEX('Vendor COIs'!$P$4:$P$503,(_calc!$E$35-500)))=0,"",INDEX('Vendor COIs'!$P$4:$P$503,(_calc!$E$35-500))))=0,"",IF(LEN(INDEX('Vendor COIs'!$P$4:$P$503,(_calc!$E$35-500)))=0,"",INDEX('Vendor COIs'!$P$4:$P$503,(_calc!$E$35-500)))))))</f>
        <v/>
      </c>
      <c r="G33" s="46">
        <f>IF(_calc!$E$35="","",IF(_calc!$E$35&lt;=500,IF(LEN(INDEX('Our policies'!$R$4:$R$503,_calc!$E$35))=0,"",INDEX('Our policies'!$R$4:$R$503,_calc!$E$35)),IF(LEN(INDEX('Vendor COIs'!$O$4:$O$503,(_calc!$E$35-500)))=0,"",INDEX('Vendor COIs'!$O$4:$O$503,(_calc!$E$35-500)))))</f>
        <v/>
      </c>
      <c r="H33" s="46">
        <f>IF(_calc!$E$35="","",IF(_calc!$E$35&lt;=500,IF(LEN(INDEX('Our policies'!$G$4:$G$503,_calc!$E$35))=0,"",INDEX('Our policies'!$G$4:$G$503,_calc!$E$35)),""))</f>
        <v/>
      </c>
      <c r="I33" s="46">
        <f>IF(_calc!$E$35="","",IF(_calc!$E$35&lt;=500,IF(LEN(INDEX('Our policies'!$H$4:$H$503,_calc!$E$35))=0,"",INDEX('Our policies'!$H$4:$H$503,_calc!$E$35)),""))</f>
        <v/>
      </c>
      <c r="K33" s="46">
        <f>IF(_calc!$E$35="","",IF(_calc!$E$35&lt;=500,IF(LEN(INDEX('Our policies'!$P$4:$P$503,_calc!$E$35))=0,"",INDEX('Our policies'!$P$4:$P$503,_calc!$E$35)),IF(LEN(INDEX('Vendor COIs'!$N$4:$N$503,(_calc!$E$35-500)))=0,"",INDEX('Vendor COIs'!$N$4:$N$503,(_calc!$E$35-500)))))</f>
        <v/>
      </c>
    </row>
    <row r="34">
      <c r="A34" s="46">
        <f>IF(_calc!$E$36="","",IF(_calc!$E$36&lt;=500,IF(LEN(INDEX('Our policies'!$A$4:$A$503,_calc!$E$36))=0,"",INDEX('Our policies'!$A$4:$A$503,_calc!$E$36)),"COI – "&amp;IF(LEN(INDEX('Vendor COIs'!$A$4:$A$503,(_calc!$E$36-500)))=0,"",INDEX('Vendor COIs'!$A$4:$A$503,(_calc!$E$36-500)))&amp;" – "&amp;IF(LEN(INDEX('Vendor COIs'!$B$4:$B$503,(_calc!$E$36-500)))=0,"",INDEX('Vendor COIs'!$B$4:$B$503,(_calc!$E$36-500)))))</f>
        <v/>
      </c>
      <c r="B34" s="46">
        <f>IF(_calc!$E$36="","",IF(_calc!$E$36&lt;=500,IF(ISNUMBER(INDEX('Our policies'!$J$4:$J$503,_calc!$E$36)),TEXT(INDEX('Our policies'!$J$4:$J$503,_calc!$E$36),"yyyy-mm-dd"),""),IF(ISNUMBER(INDEX('Vendor COIs'!$H$4:$H$503,(_calc!$E$36-500))),TEXT(INDEX('Vendor COIs'!$H$4:$H$503,(_calc!$E$36-500)),"yyyy-mm-dd"),"")))</f>
        <v/>
      </c>
      <c r="C34" s="46">
        <f>IF(_calc!$E$36="","",IF(_calc!$E$36&lt;=500,"Insurance","Certificate of insurance"))</f>
        <v/>
      </c>
      <c r="D34" s="46">
        <f>IF(_calc!$E$36="","",IF(_calc!$E$36&lt;=500,IF(ISNUMBER(INDEX('Our policies'!$I$4:$I$503,_calc!$E$36)),TEXT(INDEX('Our policies'!$I$4:$I$503,_calc!$E$36),"yyyy-mm-dd"),""),""))</f>
        <v/>
      </c>
      <c r="E34" s="46">
        <f>IF(_calc!$E$36="","",IF(_calc!$E$36&lt;=500,IF(LEN(INDEX('Our policies'!$Q$4:$Q$503,_calc!$E$36))=0,"",INDEX('Our policies'!$Q$4:$Q$503,_calc!$E$36)),"Medium"))</f>
        <v/>
      </c>
      <c r="F34" s="46">
        <f>IF(_calc!$E$36="","",IF(_calc!$E$36&lt;=500,TRIM(IF(LEN(IF(LEN(INDEX('Our policies'!$B$4:$B$503,_calc!$E$36))=0,"",INDEX('Our policies'!$B$4:$B$503,_calc!$E$36)))=0,"","Cover: "&amp;IF(LEN(INDEX('Our policies'!$B$4:$B$503,_calc!$E$36))=0,"",INDEX('Our policies'!$B$4:$B$503,_calc!$E$36))&amp;". ")&amp;IF(LEN(IF(LEN(INDEX('Our policies'!$C$4:$C$503,_calc!$E$36))=0,"",INDEX('Our policies'!$C$4:$C$503,_calc!$E$36)))=0,"","Insurer: "&amp;IF(LEN(INDEX('Our policies'!$C$4:$C$503,_calc!$E$36))=0,"",INDEX('Our policies'!$C$4:$C$503,_calc!$E$36))&amp;". ")&amp;IF(LEN(IF(LEN(INDEX('Our policies'!$D$4:$D$503,_calc!$E$36))=0,"",INDEX('Our policies'!$D$4:$D$503,_calc!$E$36)))=0,"","Broker: "&amp;IF(LEN(INDEX('Our policies'!$D$4:$D$503,_calc!$E$36))=0,"",INDEX('Our policies'!$D$4:$D$503,_calc!$E$36))&amp;". ")&amp;IF(LEN(IF(LEN(INDEX('Our policies'!$E$4:$E$503,_calc!$E$36))=0,"",INDEX('Our policies'!$E$4:$E$503,_calc!$E$36)))=0,"","Policy no.: "&amp;IF(LEN(INDEX('Our policies'!$E$4:$E$503,_calc!$E$36))=0,"",INDEX('Our policies'!$E$4:$E$503,_calc!$E$36))&amp;". ")&amp;IF(LEN(IF(LEN(INDEX('Our policies'!$S$4:$S$503,_calc!$E$36))=0,"",INDEX('Our policies'!$S$4:$S$503,_calc!$E$36)))=0,"",IF(LEN(INDEX('Our policies'!$S$4:$S$503,_calc!$E$36))=0,"",INDEX('Our policies'!$S$4:$S$503,_calc!$E$36)))),TRIM(IF(LEN(IF(LEN(INDEX('Vendor COIs'!$C$4:$C$503,(_calc!$E$36-500)))=0,"",INDEX('Vendor COIs'!$C$4:$C$503,(_calc!$E$36-500))))=0,"","Insurer: "&amp;IF(LEN(INDEX('Vendor COIs'!$C$4:$C$503,(_calc!$E$36-500)))=0,"",INDEX('Vendor COIs'!$C$4:$C$503,(_calc!$E$36-500)))&amp;". ")&amp;IF(LEN(IF(LEN(INDEX('Vendor COIs'!$D$4:$D$503,(_calc!$E$36-500)))=0,"",INDEX('Vendor COIs'!$D$4:$D$503,(_calc!$E$36-500))))=0,"","Policy no.: "&amp;IF(LEN(INDEX('Vendor COIs'!$D$4:$D$503,(_calc!$E$36-500)))=0,"",INDEX('Vendor COIs'!$D$4:$D$503,(_calc!$E$36-500)))&amp;". ")&amp;IF(LEN(IF(LEN(INDEX('Vendor COIs'!$F$4:$F$503,(_calc!$E$36-500)))=0,"",INDEX('Vendor COIs'!$F$4:$F$503,(_calc!$E$36-500))))=0,"","Meets minimum: "&amp;IF(LEN(INDEX('Vendor COIs'!$F$4:$F$503,(_calc!$E$36-500)))=0,"",INDEX('Vendor COIs'!$F$4:$F$503,(_calc!$E$36-500)))&amp;". ")&amp;IF(LEN(IF(LEN(INDEX('Vendor COIs'!$G$4:$G$503,(_calc!$E$36-500)))=0,"",INDEX('Vendor COIs'!$G$4:$G$503,(_calc!$E$36-500))))=0,"","Additional insured: "&amp;IF(LEN(INDEX('Vendor COIs'!$G$4:$G$503,(_calc!$E$36-500)))=0,"",INDEX('Vendor COIs'!$G$4:$G$503,(_calc!$E$36-500)))&amp;". ")&amp;IF(LEN(IF(LEN(INDEX('Vendor COIs'!$M$4:$M$503,(_calc!$E$36-500)))=0,"",INDEX('Vendor COIs'!$M$4:$M$503,(_calc!$E$36-500))))=0,"","Vendor contact: "&amp;IF(LEN(INDEX('Vendor COIs'!$M$4:$M$503,(_calc!$E$36-500)))=0,"",INDEX('Vendor COIs'!$M$4:$M$503,(_calc!$E$36-500)))&amp;". ")&amp;IF(LEN(IF(LEN(INDEX('Vendor COIs'!$P$4:$P$503,(_calc!$E$36-500)))=0,"",INDEX('Vendor COIs'!$P$4:$P$503,(_calc!$E$36-500))))=0,"",IF(LEN(INDEX('Vendor COIs'!$P$4:$P$503,(_calc!$E$36-500)))=0,"",INDEX('Vendor COIs'!$P$4:$P$503,(_calc!$E$36-500)))))))</f>
        <v/>
      </c>
      <c r="G34" s="46">
        <f>IF(_calc!$E$36="","",IF(_calc!$E$36&lt;=500,IF(LEN(INDEX('Our policies'!$R$4:$R$503,_calc!$E$36))=0,"",INDEX('Our policies'!$R$4:$R$503,_calc!$E$36)),IF(LEN(INDEX('Vendor COIs'!$O$4:$O$503,(_calc!$E$36-500)))=0,"",INDEX('Vendor COIs'!$O$4:$O$503,(_calc!$E$36-500)))))</f>
        <v/>
      </c>
      <c r="H34" s="46">
        <f>IF(_calc!$E$36="","",IF(_calc!$E$36&lt;=500,IF(LEN(INDEX('Our policies'!$G$4:$G$503,_calc!$E$36))=0,"",INDEX('Our policies'!$G$4:$G$503,_calc!$E$36)),""))</f>
        <v/>
      </c>
      <c r="I34" s="46">
        <f>IF(_calc!$E$36="","",IF(_calc!$E$36&lt;=500,IF(LEN(INDEX('Our policies'!$H$4:$H$503,_calc!$E$36))=0,"",INDEX('Our policies'!$H$4:$H$503,_calc!$E$36)),""))</f>
        <v/>
      </c>
      <c r="K34" s="46">
        <f>IF(_calc!$E$36="","",IF(_calc!$E$36&lt;=500,IF(LEN(INDEX('Our policies'!$P$4:$P$503,_calc!$E$36))=0,"",INDEX('Our policies'!$P$4:$P$503,_calc!$E$36)),IF(LEN(INDEX('Vendor COIs'!$N$4:$N$503,(_calc!$E$36-500)))=0,"",INDEX('Vendor COIs'!$N$4:$N$503,(_calc!$E$36-500)))))</f>
        <v/>
      </c>
    </row>
    <row r="35">
      <c r="A35" s="46">
        <f>IF(_calc!$E$37="","",IF(_calc!$E$37&lt;=500,IF(LEN(INDEX('Our policies'!$A$4:$A$503,_calc!$E$37))=0,"",INDEX('Our policies'!$A$4:$A$503,_calc!$E$37)),"COI – "&amp;IF(LEN(INDEX('Vendor COIs'!$A$4:$A$503,(_calc!$E$37-500)))=0,"",INDEX('Vendor COIs'!$A$4:$A$503,(_calc!$E$37-500)))&amp;" – "&amp;IF(LEN(INDEX('Vendor COIs'!$B$4:$B$503,(_calc!$E$37-500)))=0,"",INDEX('Vendor COIs'!$B$4:$B$503,(_calc!$E$37-500)))))</f>
        <v/>
      </c>
      <c r="B35" s="46">
        <f>IF(_calc!$E$37="","",IF(_calc!$E$37&lt;=500,IF(ISNUMBER(INDEX('Our policies'!$J$4:$J$503,_calc!$E$37)),TEXT(INDEX('Our policies'!$J$4:$J$503,_calc!$E$37),"yyyy-mm-dd"),""),IF(ISNUMBER(INDEX('Vendor COIs'!$H$4:$H$503,(_calc!$E$37-500))),TEXT(INDEX('Vendor COIs'!$H$4:$H$503,(_calc!$E$37-500)),"yyyy-mm-dd"),"")))</f>
        <v/>
      </c>
      <c r="C35" s="46">
        <f>IF(_calc!$E$37="","",IF(_calc!$E$37&lt;=500,"Insurance","Certificate of insurance"))</f>
        <v/>
      </c>
      <c r="D35" s="46">
        <f>IF(_calc!$E$37="","",IF(_calc!$E$37&lt;=500,IF(ISNUMBER(INDEX('Our policies'!$I$4:$I$503,_calc!$E$37)),TEXT(INDEX('Our policies'!$I$4:$I$503,_calc!$E$37),"yyyy-mm-dd"),""),""))</f>
        <v/>
      </c>
      <c r="E35" s="46">
        <f>IF(_calc!$E$37="","",IF(_calc!$E$37&lt;=500,IF(LEN(INDEX('Our policies'!$Q$4:$Q$503,_calc!$E$37))=0,"",INDEX('Our policies'!$Q$4:$Q$503,_calc!$E$37)),"Medium"))</f>
        <v/>
      </c>
      <c r="F35" s="46">
        <f>IF(_calc!$E$37="","",IF(_calc!$E$37&lt;=500,TRIM(IF(LEN(IF(LEN(INDEX('Our policies'!$B$4:$B$503,_calc!$E$37))=0,"",INDEX('Our policies'!$B$4:$B$503,_calc!$E$37)))=0,"","Cover: "&amp;IF(LEN(INDEX('Our policies'!$B$4:$B$503,_calc!$E$37))=0,"",INDEX('Our policies'!$B$4:$B$503,_calc!$E$37))&amp;". ")&amp;IF(LEN(IF(LEN(INDEX('Our policies'!$C$4:$C$503,_calc!$E$37))=0,"",INDEX('Our policies'!$C$4:$C$503,_calc!$E$37)))=0,"","Insurer: "&amp;IF(LEN(INDEX('Our policies'!$C$4:$C$503,_calc!$E$37))=0,"",INDEX('Our policies'!$C$4:$C$503,_calc!$E$37))&amp;". ")&amp;IF(LEN(IF(LEN(INDEX('Our policies'!$D$4:$D$503,_calc!$E$37))=0,"",INDEX('Our policies'!$D$4:$D$503,_calc!$E$37)))=0,"","Broker: "&amp;IF(LEN(INDEX('Our policies'!$D$4:$D$503,_calc!$E$37))=0,"",INDEX('Our policies'!$D$4:$D$503,_calc!$E$37))&amp;". ")&amp;IF(LEN(IF(LEN(INDEX('Our policies'!$E$4:$E$503,_calc!$E$37))=0,"",INDEX('Our policies'!$E$4:$E$503,_calc!$E$37)))=0,"","Policy no.: "&amp;IF(LEN(INDEX('Our policies'!$E$4:$E$503,_calc!$E$37))=0,"",INDEX('Our policies'!$E$4:$E$503,_calc!$E$37))&amp;". ")&amp;IF(LEN(IF(LEN(INDEX('Our policies'!$S$4:$S$503,_calc!$E$37))=0,"",INDEX('Our policies'!$S$4:$S$503,_calc!$E$37)))=0,"",IF(LEN(INDEX('Our policies'!$S$4:$S$503,_calc!$E$37))=0,"",INDEX('Our policies'!$S$4:$S$503,_calc!$E$37)))),TRIM(IF(LEN(IF(LEN(INDEX('Vendor COIs'!$C$4:$C$503,(_calc!$E$37-500)))=0,"",INDEX('Vendor COIs'!$C$4:$C$503,(_calc!$E$37-500))))=0,"","Insurer: "&amp;IF(LEN(INDEX('Vendor COIs'!$C$4:$C$503,(_calc!$E$37-500)))=0,"",INDEX('Vendor COIs'!$C$4:$C$503,(_calc!$E$37-500)))&amp;". ")&amp;IF(LEN(IF(LEN(INDEX('Vendor COIs'!$D$4:$D$503,(_calc!$E$37-500)))=0,"",INDEX('Vendor COIs'!$D$4:$D$503,(_calc!$E$37-500))))=0,"","Policy no.: "&amp;IF(LEN(INDEX('Vendor COIs'!$D$4:$D$503,(_calc!$E$37-500)))=0,"",INDEX('Vendor COIs'!$D$4:$D$503,(_calc!$E$37-500)))&amp;". ")&amp;IF(LEN(IF(LEN(INDEX('Vendor COIs'!$F$4:$F$503,(_calc!$E$37-500)))=0,"",INDEX('Vendor COIs'!$F$4:$F$503,(_calc!$E$37-500))))=0,"","Meets minimum: "&amp;IF(LEN(INDEX('Vendor COIs'!$F$4:$F$503,(_calc!$E$37-500)))=0,"",INDEX('Vendor COIs'!$F$4:$F$503,(_calc!$E$37-500)))&amp;". ")&amp;IF(LEN(IF(LEN(INDEX('Vendor COIs'!$G$4:$G$503,(_calc!$E$37-500)))=0,"",INDEX('Vendor COIs'!$G$4:$G$503,(_calc!$E$37-500))))=0,"","Additional insured: "&amp;IF(LEN(INDEX('Vendor COIs'!$G$4:$G$503,(_calc!$E$37-500)))=0,"",INDEX('Vendor COIs'!$G$4:$G$503,(_calc!$E$37-500)))&amp;". ")&amp;IF(LEN(IF(LEN(INDEX('Vendor COIs'!$M$4:$M$503,(_calc!$E$37-500)))=0,"",INDEX('Vendor COIs'!$M$4:$M$503,(_calc!$E$37-500))))=0,"","Vendor contact: "&amp;IF(LEN(INDEX('Vendor COIs'!$M$4:$M$503,(_calc!$E$37-500)))=0,"",INDEX('Vendor COIs'!$M$4:$M$503,(_calc!$E$37-500)))&amp;". ")&amp;IF(LEN(IF(LEN(INDEX('Vendor COIs'!$P$4:$P$503,(_calc!$E$37-500)))=0,"",INDEX('Vendor COIs'!$P$4:$P$503,(_calc!$E$37-500))))=0,"",IF(LEN(INDEX('Vendor COIs'!$P$4:$P$503,(_calc!$E$37-500)))=0,"",INDEX('Vendor COIs'!$P$4:$P$503,(_calc!$E$37-500)))))))</f>
        <v/>
      </c>
      <c r="G35" s="46">
        <f>IF(_calc!$E$37="","",IF(_calc!$E$37&lt;=500,IF(LEN(INDEX('Our policies'!$R$4:$R$503,_calc!$E$37))=0,"",INDEX('Our policies'!$R$4:$R$503,_calc!$E$37)),IF(LEN(INDEX('Vendor COIs'!$O$4:$O$503,(_calc!$E$37-500)))=0,"",INDEX('Vendor COIs'!$O$4:$O$503,(_calc!$E$37-500)))))</f>
        <v/>
      </c>
      <c r="H35" s="46">
        <f>IF(_calc!$E$37="","",IF(_calc!$E$37&lt;=500,IF(LEN(INDEX('Our policies'!$G$4:$G$503,_calc!$E$37))=0,"",INDEX('Our policies'!$G$4:$G$503,_calc!$E$37)),""))</f>
        <v/>
      </c>
      <c r="I35" s="46">
        <f>IF(_calc!$E$37="","",IF(_calc!$E$37&lt;=500,IF(LEN(INDEX('Our policies'!$H$4:$H$503,_calc!$E$37))=0,"",INDEX('Our policies'!$H$4:$H$503,_calc!$E$37)),""))</f>
        <v/>
      </c>
      <c r="K35" s="46">
        <f>IF(_calc!$E$37="","",IF(_calc!$E$37&lt;=500,IF(LEN(INDEX('Our policies'!$P$4:$P$503,_calc!$E$37))=0,"",INDEX('Our policies'!$P$4:$P$503,_calc!$E$37)),IF(LEN(INDEX('Vendor COIs'!$N$4:$N$503,(_calc!$E$37-500)))=0,"",INDEX('Vendor COIs'!$N$4:$N$503,(_calc!$E$37-500)))))</f>
        <v/>
      </c>
    </row>
    <row r="36">
      <c r="A36" s="46">
        <f>IF(_calc!$E$38="","",IF(_calc!$E$38&lt;=500,IF(LEN(INDEX('Our policies'!$A$4:$A$503,_calc!$E$38))=0,"",INDEX('Our policies'!$A$4:$A$503,_calc!$E$38)),"COI – "&amp;IF(LEN(INDEX('Vendor COIs'!$A$4:$A$503,(_calc!$E$38-500)))=0,"",INDEX('Vendor COIs'!$A$4:$A$503,(_calc!$E$38-500)))&amp;" – "&amp;IF(LEN(INDEX('Vendor COIs'!$B$4:$B$503,(_calc!$E$38-500)))=0,"",INDEX('Vendor COIs'!$B$4:$B$503,(_calc!$E$38-500)))))</f>
        <v/>
      </c>
      <c r="B36" s="46">
        <f>IF(_calc!$E$38="","",IF(_calc!$E$38&lt;=500,IF(ISNUMBER(INDEX('Our policies'!$J$4:$J$503,_calc!$E$38)),TEXT(INDEX('Our policies'!$J$4:$J$503,_calc!$E$38),"yyyy-mm-dd"),""),IF(ISNUMBER(INDEX('Vendor COIs'!$H$4:$H$503,(_calc!$E$38-500))),TEXT(INDEX('Vendor COIs'!$H$4:$H$503,(_calc!$E$38-500)),"yyyy-mm-dd"),"")))</f>
        <v/>
      </c>
      <c r="C36" s="46">
        <f>IF(_calc!$E$38="","",IF(_calc!$E$38&lt;=500,"Insurance","Certificate of insurance"))</f>
        <v/>
      </c>
      <c r="D36" s="46">
        <f>IF(_calc!$E$38="","",IF(_calc!$E$38&lt;=500,IF(ISNUMBER(INDEX('Our policies'!$I$4:$I$503,_calc!$E$38)),TEXT(INDEX('Our policies'!$I$4:$I$503,_calc!$E$38),"yyyy-mm-dd"),""),""))</f>
        <v/>
      </c>
      <c r="E36" s="46">
        <f>IF(_calc!$E$38="","",IF(_calc!$E$38&lt;=500,IF(LEN(INDEX('Our policies'!$Q$4:$Q$503,_calc!$E$38))=0,"",INDEX('Our policies'!$Q$4:$Q$503,_calc!$E$38)),"Medium"))</f>
        <v/>
      </c>
      <c r="F36" s="46">
        <f>IF(_calc!$E$38="","",IF(_calc!$E$38&lt;=500,TRIM(IF(LEN(IF(LEN(INDEX('Our policies'!$B$4:$B$503,_calc!$E$38))=0,"",INDEX('Our policies'!$B$4:$B$503,_calc!$E$38)))=0,"","Cover: "&amp;IF(LEN(INDEX('Our policies'!$B$4:$B$503,_calc!$E$38))=0,"",INDEX('Our policies'!$B$4:$B$503,_calc!$E$38))&amp;". ")&amp;IF(LEN(IF(LEN(INDEX('Our policies'!$C$4:$C$503,_calc!$E$38))=0,"",INDEX('Our policies'!$C$4:$C$503,_calc!$E$38)))=0,"","Insurer: "&amp;IF(LEN(INDEX('Our policies'!$C$4:$C$503,_calc!$E$38))=0,"",INDEX('Our policies'!$C$4:$C$503,_calc!$E$38))&amp;". ")&amp;IF(LEN(IF(LEN(INDEX('Our policies'!$D$4:$D$503,_calc!$E$38))=0,"",INDEX('Our policies'!$D$4:$D$503,_calc!$E$38)))=0,"","Broker: "&amp;IF(LEN(INDEX('Our policies'!$D$4:$D$503,_calc!$E$38))=0,"",INDEX('Our policies'!$D$4:$D$503,_calc!$E$38))&amp;". ")&amp;IF(LEN(IF(LEN(INDEX('Our policies'!$E$4:$E$503,_calc!$E$38))=0,"",INDEX('Our policies'!$E$4:$E$503,_calc!$E$38)))=0,"","Policy no.: "&amp;IF(LEN(INDEX('Our policies'!$E$4:$E$503,_calc!$E$38))=0,"",INDEX('Our policies'!$E$4:$E$503,_calc!$E$38))&amp;". ")&amp;IF(LEN(IF(LEN(INDEX('Our policies'!$S$4:$S$503,_calc!$E$38))=0,"",INDEX('Our policies'!$S$4:$S$503,_calc!$E$38)))=0,"",IF(LEN(INDEX('Our policies'!$S$4:$S$503,_calc!$E$38))=0,"",INDEX('Our policies'!$S$4:$S$503,_calc!$E$38)))),TRIM(IF(LEN(IF(LEN(INDEX('Vendor COIs'!$C$4:$C$503,(_calc!$E$38-500)))=0,"",INDEX('Vendor COIs'!$C$4:$C$503,(_calc!$E$38-500))))=0,"","Insurer: "&amp;IF(LEN(INDEX('Vendor COIs'!$C$4:$C$503,(_calc!$E$38-500)))=0,"",INDEX('Vendor COIs'!$C$4:$C$503,(_calc!$E$38-500)))&amp;". ")&amp;IF(LEN(IF(LEN(INDEX('Vendor COIs'!$D$4:$D$503,(_calc!$E$38-500)))=0,"",INDEX('Vendor COIs'!$D$4:$D$503,(_calc!$E$38-500))))=0,"","Policy no.: "&amp;IF(LEN(INDEX('Vendor COIs'!$D$4:$D$503,(_calc!$E$38-500)))=0,"",INDEX('Vendor COIs'!$D$4:$D$503,(_calc!$E$38-500)))&amp;". ")&amp;IF(LEN(IF(LEN(INDEX('Vendor COIs'!$F$4:$F$503,(_calc!$E$38-500)))=0,"",INDEX('Vendor COIs'!$F$4:$F$503,(_calc!$E$38-500))))=0,"","Meets minimum: "&amp;IF(LEN(INDEX('Vendor COIs'!$F$4:$F$503,(_calc!$E$38-500)))=0,"",INDEX('Vendor COIs'!$F$4:$F$503,(_calc!$E$38-500)))&amp;". ")&amp;IF(LEN(IF(LEN(INDEX('Vendor COIs'!$G$4:$G$503,(_calc!$E$38-500)))=0,"",INDEX('Vendor COIs'!$G$4:$G$503,(_calc!$E$38-500))))=0,"","Additional insured: "&amp;IF(LEN(INDEX('Vendor COIs'!$G$4:$G$503,(_calc!$E$38-500)))=0,"",INDEX('Vendor COIs'!$G$4:$G$503,(_calc!$E$38-500)))&amp;". ")&amp;IF(LEN(IF(LEN(INDEX('Vendor COIs'!$M$4:$M$503,(_calc!$E$38-500)))=0,"",INDEX('Vendor COIs'!$M$4:$M$503,(_calc!$E$38-500))))=0,"","Vendor contact: "&amp;IF(LEN(INDEX('Vendor COIs'!$M$4:$M$503,(_calc!$E$38-500)))=0,"",INDEX('Vendor COIs'!$M$4:$M$503,(_calc!$E$38-500)))&amp;". ")&amp;IF(LEN(IF(LEN(INDEX('Vendor COIs'!$P$4:$P$503,(_calc!$E$38-500)))=0,"",INDEX('Vendor COIs'!$P$4:$P$503,(_calc!$E$38-500))))=0,"",IF(LEN(INDEX('Vendor COIs'!$P$4:$P$503,(_calc!$E$38-500)))=0,"",INDEX('Vendor COIs'!$P$4:$P$503,(_calc!$E$38-500)))))))</f>
        <v/>
      </c>
      <c r="G36" s="46">
        <f>IF(_calc!$E$38="","",IF(_calc!$E$38&lt;=500,IF(LEN(INDEX('Our policies'!$R$4:$R$503,_calc!$E$38))=0,"",INDEX('Our policies'!$R$4:$R$503,_calc!$E$38)),IF(LEN(INDEX('Vendor COIs'!$O$4:$O$503,(_calc!$E$38-500)))=0,"",INDEX('Vendor COIs'!$O$4:$O$503,(_calc!$E$38-500)))))</f>
        <v/>
      </c>
      <c r="H36" s="46">
        <f>IF(_calc!$E$38="","",IF(_calc!$E$38&lt;=500,IF(LEN(INDEX('Our policies'!$G$4:$G$503,_calc!$E$38))=0,"",INDEX('Our policies'!$G$4:$G$503,_calc!$E$38)),""))</f>
        <v/>
      </c>
      <c r="I36" s="46">
        <f>IF(_calc!$E$38="","",IF(_calc!$E$38&lt;=500,IF(LEN(INDEX('Our policies'!$H$4:$H$503,_calc!$E$38))=0,"",INDEX('Our policies'!$H$4:$H$503,_calc!$E$38)),""))</f>
        <v/>
      </c>
      <c r="K36" s="46">
        <f>IF(_calc!$E$38="","",IF(_calc!$E$38&lt;=500,IF(LEN(INDEX('Our policies'!$P$4:$P$503,_calc!$E$38))=0,"",INDEX('Our policies'!$P$4:$P$503,_calc!$E$38)),IF(LEN(INDEX('Vendor COIs'!$N$4:$N$503,(_calc!$E$38-500)))=0,"",INDEX('Vendor COIs'!$N$4:$N$503,(_calc!$E$38-500)))))</f>
        <v/>
      </c>
    </row>
    <row r="37">
      <c r="A37" s="46">
        <f>IF(_calc!$E$39="","",IF(_calc!$E$39&lt;=500,IF(LEN(INDEX('Our policies'!$A$4:$A$503,_calc!$E$39))=0,"",INDEX('Our policies'!$A$4:$A$503,_calc!$E$39)),"COI – "&amp;IF(LEN(INDEX('Vendor COIs'!$A$4:$A$503,(_calc!$E$39-500)))=0,"",INDEX('Vendor COIs'!$A$4:$A$503,(_calc!$E$39-500)))&amp;" – "&amp;IF(LEN(INDEX('Vendor COIs'!$B$4:$B$503,(_calc!$E$39-500)))=0,"",INDEX('Vendor COIs'!$B$4:$B$503,(_calc!$E$39-500)))))</f>
        <v/>
      </c>
      <c r="B37" s="46">
        <f>IF(_calc!$E$39="","",IF(_calc!$E$39&lt;=500,IF(ISNUMBER(INDEX('Our policies'!$J$4:$J$503,_calc!$E$39)),TEXT(INDEX('Our policies'!$J$4:$J$503,_calc!$E$39),"yyyy-mm-dd"),""),IF(ISNUMBER(INDEX('Vendor COIs'!$H$4:$H$503,(_calc!$E$39-500))),TEXT(INDEX('Vendor COIs'!$H$4:$H$503,(_calc!$E$39-500)),"yyyy-mm-dd"),"")))</f>
        <v/>
      </c>
      <c r="C37" s="46">
        <f>IF(_calc!$E$39="","",IF(_calc!$E$39&lt;=500,"Insurance","Certificate of insurance"))</f>
        <v/>
      </c>
      <c r="D37" s="46">
        <f>IF(_calc!$E$39="","",IF(_calc!$E$39&lt;=500,IF(ISNUMBER(INDEX('Our policies'!$I$4:$I$503,_calc!$E$39)),TEXT(INDEX('Our policies'!$I$4:$I$503,_calc!$E$39),"yyyy-mm-dd"),""),""))</f>
        <v/>
      </c>
      <c r="E37" s="46">
        <f>IF(_calc!$E$39="","",IF(_calc!$E$39&lt;=500,IF(LEN(INDEX('Our policies'!$Q$4:$Q$503,_calc!$E$39))=0,"",INDEX('Our policies'!$Q$4:$Q$503,_calc!$E$39)),"Medium"))</f>
        <v/>
      </c>
      <c r="F37" s="46">
        <f>IF(_calc!$E$39="","",IF(_calc!$E$39&lt;=500,TRIM(IF(LEN(IF(LEN(INDEX('Our policies'!$B$4:$B$503,_calc!$E$39))=0,"",INDEX('Our policies'!$B$4:$B$503,_calc!$E$39)))=0,"","Cover: "&amp;IF(LEN(INDEX('Our policies'!$B$4:$B$503,_calc!$E$39))=0,"",INDEX('Our policies'!$B$4:$B$503,_calc!$E$39))&amp;". ")&amp;IF(LEN(IF(LEN(INDEX('Our policies'!$C$4:$C$503,_calc!$E$39))=0,"",INDEX('Our policies'!$C$4:$C$503,_calc!$E$39)))=0,"","Insurer: "&amp;IF(LEN(INDEX('Our policies'!$C$4:$C$503,_calc!$E$39))=0,"",INDEX('Our policies'!$C$4:$C$503,_calc!$E$39))&amp;". ")&amp;IF(LEN(IF(LEN(INDEX('Our policies'!$D$4:$D$503,_calc!$E$39))=0,"",INDEX('Our policies'!$D$4:$D$503,_calc!$E$39)))=0,"","Broker: "&amp;IF(LEN(INDEX('Our policies'!$D$4:$D$503,_calc!$E$39))=0,"",INDEX('Our policies'!$D$4:$D$503,_calc!$E$39))&amp;". ")&amp;IF(LEN(IF(LEN(INDEX('Our policies'!$E$4:$E$503,_calc!$E$39))=0,"",INDEX('Our policies'!$E$4:$E$503,_calc!$E$39)))=0,"","Policy no.: "&amp;IF(LEN(INDEX('Our policies'!$E$4:$E$503,_calc!$E$39))=0,"",INDEX('Our policies'!$E$4:$E$503,_calc!$E$39))&amp;". ")&amp;IF(LEN(IF(LEN(INDEX('Our policies'!$S$4:$S$503,_calc!$E$39))=0,"",INDEX('Our policies'!$S$4:$S$503,_calc!$E$39)))=0,"",IF(LEN(INDEX('Our policies'!$S$4:$S$503,_calc!$E$39))=0,"",INDEX('Our policies'!$S$4:$S$503,_calc!$E$39)))),TRIM(IF(LEN(IF(LEN(INDEX('Vendor COIs'!$C$4:$C$503,(_calc!$E$39-500)))=0,"",INDEX('Vendor COIs'!$C$4:$C$503,(_calc!$E$39-500))))=0,"","Insurer: "&amp;IF(LEN(INDEX('Vendor COIs'!$C$4:$C$503,(_calc!$E$39-500)))=0,"",INDEX('Vendor COIs'!$C$4:$C$503,(_calc!$E$39-500)))&amp;". ")&amp;IF(LEN(IF(LEN(INDEX('Vendor COIs'!$D$4:$D$503,(_calc!$E$39-500)))=0,"",INDEX('Vendor COIs'!$D$4:$D$503,(_calc!$E$39-500))))=0,"","Policy no.: "&amp;IF(LEN(INDEX('Vendor COIs'!$D$4:$D$503,(_calc!$E$39-500)))=0,"",INDEX('Vendor COIs'!$D$4:$D$503,(_calc!$E$39-500)))&amp;". ")&amp;IF(LEN(IF(LEN(INDEX('Vendor COIs'!$F$4:$F$503,(_calc!$E$39-500)))=0,"",INDEX('Vendor COIs'!$F$4:$F$503,(_calc!$E$39-500))))=0,"","Meets minimum: "&amp;IF(LEN(INDEX('Vendor COIs'!$F$4:$F$503,(_calc!$E$39-500)))=0,"",INDEX('Vendor COIs'!$F$4:$F$503,(_calc!$E$39-500)))&amp;". ")&amp;IF(LEN(IF(LEN(INDEX('Vendor COIs'!$G$4:$G$503,(_calc!$E$39-500)))=0,"",INDEX('Vendor COIs'!$G$4:$G$503,(_calc!$E$39-500))))=0,"","Additional insured: "&amp;IF(LEN(INDEX('Vendor COIs'!$G$4:$G$503,(_calc!$E$39-500)))=0,"",INDEX('Vendor COIs'!$G$4:$G$503,(_calc!$E$39-500)))&amp;". ")&amp;IF(LEN(IF(LEN(INDEX('Vendor COIs'!$M$4:$M$503,(_calc!$E$39-500)))=0,"",INDEX('Vendor COIs'!$M$4:$M$503,(_calc!$E$39-500))))=0,"","Vendor contact: "&amp;IF(LEN(INDEX('Vendor COIs'!$M$4:$M$503,(_calc!$E$39-500)))=0,"",INDEX('Vendor COIs'!$M$4:$M$503,(_calc!$E$39-500)))&amp;". ")&amp;IF(LEN(IF(LEN(INDEX('Vendor COIs'!$P$4:$P$503,(_calc!$E$39-500)))=0,"",INDEX('Vendor COIs'!$P$4:$P$503,(_calc!$E$39-500))))=0,"",IF(LEN(INDEX('Vendor COIs'!$P$4:$P$503,(_calc!$E$39-500)))=0,"",INDEX('Vendor COIs'!$P$4:$P$503,(_calc!$E$39-500)))))))</f>
        <v/>
      </c>
      <c r="G37" s="46">
        <f>IF(_calc!$E$39="","",IF(_calc!$E$39&lt;=500,IF(LEN(INDEX('Our policies'!$R$4:$R$503,_calc!$E$39))=0,"",INDEX('Our policies'!$R$4:$R$503,_calc!$E$39)),IF(LEN(INDEX('Vendor COIs'!$O$4:$O$503,(_calc!$E$39-500)))=0,"",INDEX('Vendor COIs'!$O$4:$O$503,(_calc!$E$39-500)))))</f>
        <v/>
      </c>
      <c r="H37" s="46">
        <f>IF(_calc!$E$39="","",IF(_calc!$E$39&lt;=500,IF(LEN(INDEX('Our policies'!$G$4:$G$503,_calc!$E$39))=0,"",INDEX('Our policies'!$G$4:$G$503,_calc!$E$39)),""))</f>
        <v/>
      </c>
      <c r="I37" s="46">
        <f>IF(_calc!$E$39="","",IF(_calc!$E$39&lt;=500,IF(LEN(INDEX('Our policies'!$H$4:$H$503,_calc!$E$39))=0,"",INDEX('Our policies'!$H$4:$H$503,_calc!$E$39)),""))</f>
        <v/>
      </c>
      <c r="K37" s="46">
        <f>IF(_calc!$E$39="","",IF(_calc!$E$39&lt;=500,IF(LEN(INDEX('Our policies'!$P$4:$P$503,_calc!$E$39))=0,"",INDEX('Our policies'!$P$4:$P$503,_calc!$E$39)),IF(LEN(INDEX('Vendor COIs'!$N$4:$N$503,(_calc!$E$39-500)))=0,"",INDEX('Vendor COIs'!$N$4:$N$503,(_calc!$E$39-500)))))</f>
        <v/>
      </c>
    </row>
    <row r="38">
      <c r="A38" s="46">
        <f>IF(_calc!$E$40="","",IF(_calc!$E$40&lt;=500,IF(LEN(INDEX('Our policies'!$A$4:$A$503,_calc!$E$40))=0,"",INDEX('Our policies'!$A$4:$A$503,_calc!$E$40)),"COI – "&amp;IF(LEN(INDEX('Vendor COIs'!$A$4:$A$503,(_calc!$E$40-500)))=0,"",INDEX('Vendor COIs'!$A$4:$A$503,(_calc!$E$40-500)))&amp;" – "&amp;IF(LEN(INDEX('Vendor COIs'!$B$4:$B$503,(_calc!$E$40-500)))=0,"",INDEX('Vendor COIs'!$B$4:$B$503,(_calc!$E$40-500)))))</f>
        <v/>
      </c>
      <c r="B38" s="46">
        <f>IF(_calc!$E$40="","",IF(_calc!$E$40&lt;=500,IF(ISNUMBER(INDEX('Our policies'!$J$4:$J$503,_calc!$E$40)),TEXT(INDEX('Our policies'!$J$4:$J$503,_calc!$E$40),"yyyy-mm-dd"),""),IF(ISNUMBER(INDEX('Vendor COIs'!$H$4:$H$503,(_calc!$E$40-500))),TEXT(INDEX('Vendor COIs'!$H$4:$H$503,(_calc!$E$40-500)),"yyyy-mm-dd"),"")))</f>
        <v/>
      </c>
      <c r="C38" s="46">
        <f>IF(_calc!$E$40="","",IF(_calc!$E$40&lt;=500,"Insurance","Certificate of insurance"))</f>
        <v/>
      </c>
      <c r="D38" s="46">
        <f>IF(_calc!$E$40="","",IF(_calc!$E$40&lt;=500,IF(ISNUMBER(INDEX('Our policies'!$I$4:$I$503,_calc!$E$40)),TEXT(INDEX('Our policies'!$I$4:$I$503,_calc!$E$40),"yyyy-mm-dd"),""),""))</f>
        <v/>
      </c>
      <c r="E38" s="46">
        <f>IF(_calc!$E$40="","",IF(_calc!$E$40&lt;=500,IF(LEN(INDEX('Our policies'!$Q$4:$Q$503,_calc!$E$40))=0,"",INDEX('Our policies'!$Q$4:$Q$503,_calc!$E$40)),"Medium"))</f>
        <v/>
      </c>
      <c r="F38" s="46">
        <f>IF(_calc!$E$40="","",IF(_calc!$E$40&lt;=500,TRIM(IF(LEN(IF(LEN(INDEX('Our policies'!$B$4:$B$503,_calc!$E$40))=0,"",INDEX('Our policies'!$B$4:$B$503,_calc!$E$40)))=0,"","Cover: "&amp;IF(LEN(INDEX('Our policies'!$B$4:$B$503,_calc!$E$40))=0,"",INDEX('Our policies'!$B$4:$B$503,_calc!$E$40))&amp;". ")&amp;IF(LEN(IF(LEN(INDEX('Our policies'!$C$4:$C$503,_calc!$E$40))=0,"",INDEX('Our policies'!$C$4:$C$503,_calc!$E$40)))=0,"","Insurer: "&amp;IF(LEN(INDEX('Our policies'!$C$4:$C$503,_calc!$E$40))=0,"",INDEX('Our policies'!$C$4:$C$503,_calc!$E$40))&amp;". ")&amp;IF(LEN(IF(LEN(INDEX('Our policies'!$D$4:$D$503,_calc!$E$40))=0,"",INDEX('Our policies'!$D$4:$D$503,_calc!$E$40)))=0,"","Broker: "&amp;IF(LEN(INDEX('Our policies'!$D$4:$D$503,_calc!$E$40))=0,"",INDEX('Our policies'!$D$4:$D$503,_calc!$E$40))&amp;". ")&amp;IF(LEN(IF(LEN(INDEX('Our policies'!$E$4:$E$503,_calc!$E$40))=0,"",INDEX('Our policies'!$E$4:$E$503,_calc!$E$40)))=0,"","Policy no.: "&amp;IF(LEN(INDEX('Our policies'!$E$4:$E$503,_calc!$E$40))=0,"",INDEX('Our policies'!$E$4:$E$503,_calc!$E$40))&amp;". ")&amp;IF(LEN(IF(LEN(INDEX('Our policies'!$S$4:$S$503,_calc!$E$40))=0,"",INDEX('Our policies'!$S$4:$S$503,_calc!$E$40)))=0,"",IF(LEN(INDEX('Our policies'!$S$4:$S$503,_calc!$E$40))=0,"",INDEX('Our policies'!$S$4:$S$503,_calc!$E$40)))),TRIM(IF(LEN(IF(LEN(INDEX('Vendor COIs'!$C$4:$C$503,(_calc!$E$40-500)))=0,"",INDEX('Vendor COIs'!$C$4:$C$503,(_calc!$E$40-500))))=0,"","Insurer: "&amp;IF(LEN(INDEX('Vendor COIs'!$C$4:$C$503,(_calc!$E$40-500)))=0,"",INDEX('Vendor COIs'!$C$4:$C$503,(_calc!$E$40-500)))&amp;". ")&amp;IF(LEN(IF(LEN(INDEX('Vendor COIs'!$D$4:$D$503,(_calc!$E$40-500)))=0,"",INDEX('Vendor COIs'!$D$4:$D$503,(_calc!$E$40-500))))=0,"","Policy no.: "&amp;IF(LEN(INDEX('Vendor COIs'!$D$4:$D$503,(_calc!$E$40-500)))=0,"",INDEX('Vendor COIs'!$D$4:$D$503,(_calc!$E$40-500)))&amp;". ")&amp;IF(LEN(IF(LEN(INDEX('Vendor COIs'!$F$4:$F$503,(_calc!$E$40-500)))=0,"",INDEX('Vendor COIs'!$F$4:$F$503,(_calc!$E$40-500))))=0,"","Meets minimum: "&amp;IF(LEN(INDEX('Vendor COIs'!$F$4:$F$503,(_calc!$E$40-500)))=0,"",INDEX('Vendor COIs'!$F$4:$F$503,(_calc!$E$40-500)))&amp;". ")&amp;IF(LEN(IF(LEN(INDEX('Vendor COIs'!$G$4:$G$503,(_calc!$E$40-500)))=0,"",INDEX('Vendor COIs'!$G$4:$G$503,(_calc!$E$40-500))))=0,"","Additional insured: "&amp;IF(LEN(INDEX('Vendor COIs'!$G$4:$G$503,(_calc!$E$40-500)))=0,"",INDEX('Vendor COIs'!$G$4:$G$503,(_calc!$E$40-500)))&amp;". ")&amp;IF(LEN(IF(LEN(INDEX('Vendor COIs'!$M$4:$M$503,(_calc!$E$40-500)))=0,"",INDEX('Vendor COIs'!$M$4:$M$503,(_calc!$E$40-500))))=0,"","Vendor contact: "&amp;IF(LEN(INDEX('Vendor COIs'!$M$4:$M$503,(_calc!$E$40-500)))=0,"",INDEX('Vendor COIs'!$M$4:$M$503,(_calc!$E$40-500)))&amp;". ")&amp;IF(LEN(IF(LEN(INDEX('Vendor COIs'!$P$4:$P$503,(_calc!$E$40-500)))=0,"",INDEX('Vendor COIs'!$P$4:$P$503,(_calc!$E$40-500))))=0,"",IF(LEN(INDEX('Vendor COIs'!$P$4:$P$503,(_calc!$E$40-500)))=0,"",INDEX('Vendor COIs'!$P$4:$P$503,(_calc!$E$40-500)))))))</f>
        <v/>
      </c>
      <c r="G38" s="46">
        <f>IF(_calc!$E$40="","",IF(_calc!$E$40&lt;=500,IF(LEN(INDEX('Our policies'!$R$4:$R$503,_calc!$E$40))=0,"",INDEX('Our policies'!$R$4:$R$503,_calc!$E$40)),IF(LEN(INDEX('Vendor COIs'!$O$4:$O$503,(_calc!$E$40-500)))=0,"",INDEX('Vendor COIs'!$O$4:$O$503,(_calc!$E$40-500)))))</f>
        <v/>
      </c>
      <c r="H38" s="46">
        <f>IF(_calc!$E$40="","",IF(_calc!$E$40&lt;=500,IF(LEN(INDEX('Our policies'!$G$4:$G$503,_calc!$E$40))=0,"",INDEX('Our policies'!$G$4:$G$503,_calc!$E$40)),""))</f>
        <v/>
      </c>
      <c r="I38" s="46">
        <f>IF(_calc!$E$40="","",IF(_calc!$E$40&lt;=500,IF(LEN(INDEX('Our policies'!$H$4:$H$503,_calc!$E$40))=0,"",INDEX('Our policies'!$H$4:$H$503,_calc!$E$40)),""))</f>
        <v/>
      </c>
      <c r="K38" s="46">
        <f>IF(_calc!$E$40="","",IF(_calc!$E$40&lt;=500,IF(LEN(INDEX('Our policies'!$P$4:$P$503,_calc!$E$40))=0,"",INDEX('Our policies'!$P$4:$P$503,_calc!$E$40)),IF(LEN(INDEX('Vendor COIs'!$N$4:$N$503,(_calc!$E$40-500)))=0,"",INDEX('Vendor COIs'!$N$4:$N$503,(_calc!$E$40-500)))))</f>
        <v/>
      </c>
    </row>
    <row r="39">
      <c r="A39" s="46">
        <f>IF(_calc!$E$41="","",IF(_calc!$E$41&lt;=500,IF(LEN(INDEX('Our policies'!$A$4:$A$503,_calc!$E$41))=0,"",INDEX('Our policies'!$A$4:$A$503,_calc!$E$41)),"COI – "&amp;IF(LEN(INDEX('Vendor COIs'!$A$4:$A$503,(_calc!$E$41-500)))=0,"",INDEX('Vendor COIs'!$A$4:$A$503,(_calc!$E$41-500)))&amp;" – "&amp;IF(LEN(INDEX('Vendor COIs'!$B$4:$B$503,(_calc!$E$41-500)))=0,"",INDEX('Vendor COIs'!$B$4:$B$503,(_calc!$E$41-500)))))</f>
        <v/>
      </c>
      <c r="B39" s="46">
        <f>IF(_calc!$E$41="","",IF(_calc!$E$41&lt;=500,IF(ISNUMBER(INDEX('Our policies'!$J$4:$J$503,_calc!$E$41)),TEXT(INDEX('Our policies'!$J$4:$J$503,_calc!$E$41),"yyyy-mm-dd"),""),IF(ISNUMBER(INDEX('Vendor COIs'!$H$4:$H$503,(_calc!$E$41-500))),TEXT(INDEX('Vendor COIs'!$H$4:$H$503,(_calc!$E$41-500)),"yyyy-mm-dd"),"")))</f>
        <v/>
      </c>
      <c r="C39" s="46">
        <f>IF(_calc!$E$41="","",IF(_calc!$E$41&lt;=500,"Insurance","Certificate of insurance"))</f>
        <v/>
      </c>
      <c r="D39" s="46">
        <f>IF(_calc!$E$41="","",IF(_calc!$E$41&lt;=500,IF(ISNUMBER(INDEX('Our policies'!$I$4:$I$503,_calc!$E$41)),TEXT(INDEX('Our policies'!$I$4:$I$503,_calc!$E$41),"yyyy-mm-dd"),""),""))</f>
        <v/>
      </c>
      <c r="E39" s="46">
        <f>IF(_calc!$E$41="","",IF(_calc!$E$41&lt;=500,IF(LEN(INDEX('Our policies'!$Q$4:$Q$503,_calc!$E$41))=0,"",INDEX('Our policies'!$Q$4:$Q$503,_calc!$E$41)),"Medium"))</f>
        <v/>
      </c>
      <c r="F39" s="46">
        <f>IF(_calc!$E$41="","",IF(_calc!$E$41&lt;=500,TRIM(IF(LEN(IF(LEN(INDEX('Our policies'!$B$4:$B$503,_calc!$E$41))=0,"",INDEX('Our policies'!$B$4:$B$503,_calc!$E$41)))=0,"","Cover: "&amp;IF(LEN(INDEX('Our policies'!$B$4:$B$503,_calc!$E$41))=0,"",INDEX('Our policies'!$B$4:$B$503,_calc!$E$41))&amp;". ")&amp;IF(LEN(IF(LEN(INDEX('Our policies'!$C$4:$C$503,_calc!$E$41))=0,"",INDEX('Our policies'!$C$4:$C$503,_calc!$E$41)))=0,"","Insurer: "&amp;IF(LEN(INDEX('Our policies'!$C$4:$C$503,_calc!$E$41))=0,"",INDEX('Our policies'!$C$4:$C$503,_calc!$E$41))&amp;". ")&amp;IF(LEN(IF(LEN(INDEX('Our policies'!$D$4:$D$503,_calc!$E$41))=0,"",INDEX('Our policies'!$D$4:$D$503,_calc!$E$41)))=0,"","Broker: "&amp;IF(LEN(INDEX('Our policies'!$D$4:$D$503,_calc!$E$41))=0,"",INDEX('Our policies'!$D$4:$D$503,_calc!$E$41))&amp;". ")&amp;IF(LEN(IF(LEN(INDEX('Our policies'!$E$4:$E$503,_calc!$E$41))=0,"",INDEX('Our policies'!$E$4:$E$503,_calc!$E$41)))=0,"","Policy no.: "&amp;IF(LEN(INDEX('Our policies'!$E$4:$E$503,_calc!$E$41))=0,"",INDEX('Our policies'!$E$4:$E$503,_calc!$E$41))&amp;". ")&amp;IF(LEN(IF(LEN(INDEX('Our policies'!$S$4:$S$503,_calc!$E$41))=0,"",INDEX('Our policies'!$S$4:$S$503,_calc!$E$41)))=0,"",IF(LEN(INDEX('Our policies'!$S$4:$S$503,_calc!$E$41))=0,"",INDEX('Our policies'!$S$4:$S$503,_calc!$E$41)))),TRIM(IF(LEN(IF(LEN(INDEX('Vendor COIs'!$C$4:$C$503,(_calc!$E$41-500)))=0,"",INDEX('Vendor COIs'!$C$4:$C$503,(_calc!$E$41-500))))=0,"","Insurer: "&amp;IF(LEN(INDEX('Vendor COIs'!$C$4:$C$503,(_calc!$E$41-500)))=0,"",INDEX('Vendor COIs'!$C$4:$C$503,(_calc!$E$41-500)))&amp;". ")&amp;IF(LEN(IF(LEN(INDEX('Vendor COIs'!$D$4:$D$503,(_calc!$E$41-500)))=0,"",INDEX('Vendor COIs'!$D$4:$D$503,(_calc!$E$41-500))))=0,"","Policy no.: "&amp;IF(LEN(INDEX('Vendor COIs'!$D$4:$D$503,(_calc!$E$41-500)))=0,"",INDEX('Vendor COIs'!$D$4:$D$503,(_calc!$E$41-500)))&amp;". ")&amp;IF(LEN(IF(LEN(INDEX('Vendor COIs'!$F$4:$F$503,(_calc!$E$41-500)))=0,"",INDEX('Vendor COIs'!$F$4:$F$503,(_calc!$E$41-500))))=0,"","Meets minimum: "&amp;IF(LEN(INDEX('Vendor COIs'!$F$4:$F$503,(_calc!$E$41-500)))=0,"",INDEX('Vendor COIs'!$F$4:$F$503,(_calc!$E$41-500)))&amp;". ")&amp;IF(LEN(IF(LEN(INDEX('Vendor COIs'!$G$4:$G$503,(_calc!$E$41-500)))=0,"",INDEX('Vendor COIs'!$G$4:$G$503,(_calc!$E$41-500))))=0,"","Additional insured: "&amp;IF(LEN(INDEX('Vendor COIs'!$G$4:$G$503,(_calc!$E$41-500)))=0,"",INDEX('Vendor COIs'!$G$4:$G$503,(_calc!$E$41-500)))&amp;". ")&amp;IF(LEN(IF(LEN(INDEX('Vendor COIs'!$M$4:$M$503,(_calc!$E$41-500)))=0,"",INDEX('Vendor COIs'!$M$4:$M$503,(_calc!$E$41-500))))=0,"","Vendor contact: "&amp;IF(LEN(INDEX('Vendor COIs'!$M$4:$M$503,(_calc!$E$41-500)))=0,"",INDEX('Vendor COIs'!$M$4:$M$503,(_calc!$E$41-500)))&amp;". ")&amp;IF(LEN(IF(LEN(INDEX('Vendor COIs'!$P$4:$P$503,(_calc!$E$41-500)))=0,"",INDEX('Vendor COIs'!$P$4:$P$503,(_calc!$E$41-500))))=0,"",IF(LEN(INDEX('Vendor COIs'!$P$4:$P$503,(_calc!$E$41-500)))=0,"",INDEX('Vendor COIs'!$P$4:$P$503,(_calc!$E$41-500)))))))</f>
        <v/>
      </c>
      <c r="G39" s="46">
        <f>IF(_calc!$E$41="","",IF(_calc!$E$41&lt;=500,IF(LEN(INDEX('Our policies'!$R$4:$R$503,_calc!$E$41))=0,"",INDEX('Our policies'!$R$4:$R$503,_calc!$E$41)),IF(LEN(INDEX('Vendor COIs'!$O$4:$O$503,(_calc!$E$41-500)))=0,"",INDEX('Vendor COIs'!$O$4:$O$503,(_calc!$E$41-500)))))</f>
        <v/>
      </c>
      <c r="H39" s="46">
        <f>IF(_calc!$E$41="","",IF(_calc!$E$41&lt;=500,IF(LEN(INDEX('Our policies'!$G$4:$G$503,_calc!$E$41))=0,"",INDEX('Our policies'!$G$4:$G$503,_calc!$E$41)),""))</f>
        <v/>
      </c>
      <c r="I39" s="46">
        <f>IF(_calc!$E$41="","",IF(_calc!$E$41&lt;=500,IF(LEN(INDEX('Our policies'!$H$4:$H$503,_calc!$E$41))=0,"",INDEX('Our policies'!$H$4:$H$503,_calc!$E$41)),""))</f>
        <v/>
      </c>
      <c r="K39" s="46">
        <f>IF(_calc!$E$41="","",IF(_calc!$E$41&lt;=500,IF(LEN(INDEX('Our policies'!$P$4:$P$503,_calc!$E$41))=0,"",INDEX('Our policies'!$P$4:$P$503,_calc!$E$41)),IF(LEN(INDEX('Vendor COIs'!$N$4:$N$503,(_calc!$E$41-500)))=0,"",INDEX('Vendor COIs'!$N$4:$N$503,(_calc!$E$41-500)))))</f>
        <v/>
      </c>
    </row>
    <row r="40">
      <c r="A40" s="46">
        <f>IF(_calc!$E$42="","",IF(_calc!$E$42&lt;=500,IF(LEN(INDEX('Our policies'!$A$4:$A$503,_calc!$E$42))=0,"",INDEX('Our policies'!$A$4:$A$503,_calc!$E$42)),"COI – "&amp;IF(LEN(INDEX('Vendor COIs'!$A$4:$A$503,(_calc!$E$42-500)))=0,"",INDEX('Vendor COIs'!$A$4:$A$503,(_calc!$E$42-500)))&amp;" – "&amp;IF(LEN(INDEX('Vendor COIs'!$B$4:$B$503,(_calc!$E$42-500)))=0,"",INDEX('Vendor COIs'!$B$4:$B$503,(_calc!$E$42-500)))))</f>
        <v/>
      </c>
      <c r="B40" s="46">
        <f>IF(_calc!$E$42="","",IF(_calc!$E$42&lt;=500,IF(ISNUMBER(INDEX('Our policies'!$J$4:$J$503,_calc!$E$42)),TEXT(INDEX('Our policies'!$J$4:$J$503,_calc!$E$42),"yyyy-mm-dd"),""),IF(ISNUMBER(INDEX('Vendor COIs'!$H$4:$H$503,(_calc!$E$42-500))),TEXT(INDEX('Vendor COIs'!$H$4:$H$503,(_calc!$E$42-500)),"yyyy-mm-dd"),"")))</f>
        <v/>
      </c>
      <c r="C40" s="46">
        <f>IF(_calc!$E$42="","",IF(_calc!$E$42&lt;=500,"Insurance","Certificate of insurance"))</f>
        <v/>
      </c>
      <c r="D40" s="46">
        <f>IF(_calc!$E$42="","",IF(_calc!$E$42&lt;=500,IF(ISNUMBER(INDEX('Our policies'!$I$4:$I$503,_calc!$E$42)),TEXT(INDEX('Our policies'!$I$4:$I$503,_calc!$E$42),"yyyy-mm-dd"),""),""))</f>
        <v/>
      </c>
      <c r="E40" s="46">
        <f>IF(_calc!$E$42="","",IF(_calc!$E$42&lt;=500,IF(LEN(INDEX('Our policies'!$Q$4:$Q$503,_calc!$E$42))=0,"",INDEX('Our policies'!$Q$4:$Q$503,_calc!$E$42)),"Medium"))</f>
        <v/>
      </c>
      <c r="F40" s="46">
        <f>IF(_calc!$E$42="","",IF(_calc!$E$42&lt;=500,TRIM(IF(LEN(IF(LEN(INDEX('Our policies'!$B$4:$B$503,_calc!$E$42))=0,"",INDEX('Our policies'!$B$4:$B$503,_calc!$E$42)))=0,"","Cover: "&amp;IF(LEN(INDEX('Our policies'!$B$4:$B$503,_calc!$E$42))=0,"",INDEX('Our policies'!$B$4:$B$503,_calc!$E$42))&amp;". ")&amp;IF(LEN(IF(LEN(INDEX('Our policies'!$C$4:$C$503,_calc!$E$42))=0,"",INDEX('Our policies'!$C$4:$C$503,_calc!$E$42)))=0,"","Insurer: "&amp;IF(LEN(INDEX('Our policies'!$C$4:$C$503,_calc!$E$42))=0,"",INDEX('Our policies'!$C$4:$C$503,_calc!$E$42))&amp;". ")&amp;IF(LEN(IF(LEN(INDEX('Our policies'!$D$4:$D$503,_calc!$E$42))=0,"",INDEX('Our policies'!$D$4:$D$503,_calc!$E$42)))=0,"","Broker: "&amp;IF(LEN(INDEX('Our policies'!$D$4:$D$503,_calc!$E$42))=0,"",INDEX('Our policies'!$D$4:$D$503,_calc!$E$42))&amp;". ")&amp;IF(LEN(IF(LEN(INDEX('Our policies'!$E$4:$E$503,_calc!$E$42))=0,"",INDEX('Our policies'!$E$4:$E$503,_calc!$E$42)))=0,"","Policy no.: "&amp;IF(LEN(INDEX('Our policies'!$E$4:$E$503,_calc!$E$42))=0,"",INDEX('Our policies'!$E$4:$E$503,_calc!$E$42))&amp;". ")&amp;IF(LEN(IF(LEN(INDEX('Our policies'!$S$4:$S$503,_calc!$E$42))=0,"",INDEX('Our policies'!$S$4:$S$503,_calc!$E$42)))=0,"",IF(LEN(INDEX('Our policies'!$S$4:$S$503,_calc!$E$42))=0,"",INDEX('Our policies'!$S$4:$S$503,_calc!$E$42)))),TRIM(IF(LEN(IF(LEN(INDEX('Vendor COIs'!$C$4:$C$503,(_calc!$E$42-500)))=0,"",INDEX('Vendor COIs'!$C$4:$C$503,(_calc!$E$42-500))))=0,"","Insurer: "&amp;IF(LEN(INDEX('Vendor COIs'!$C$4:$C$503,(_calc!$E$42-500)))=0,"",INDEX('Vendor COIs'!$C$4:$C$503,(_calc!$E$42-500)))&amp;". ")&amp;IF(LEN(IF(LEN(INDEX('Vendor COIs'!$D$4:$D$503,(_calc!$E$42-500)))=0,"",INDEX('Vendor COIs'!$D$4:$D$503,(_calc!$E$42-500))))=0,"","Policy no.: "&amp;IF(LEN(INDEX('Vendor COIs'!$D$4:$D$503,(_calc!$E$42-500)))=0,"",INDEX('Vendor COIs'!$D$4:$D$503,(_calc!$E$42-500)))&amp;". ")&amp;IF(LEN(IF(LEN(INDEX('Vendor COIs'!$F$4:$F$503,(_calc!$E$42-500)))=0,"",INDEX('Vendor COIs'!$F$4:$F$503,(_calc!$E$42-500))))=0,"","Meets minimum: "&amp;IF(LEN(INDEX('Vendor COIs'!$F$4:$F$503,(_calc!$E$42-500)))=0,"",INDEX('Vendor COIs'!$F$4:$F$503,(_calc!$E$42-500)))&amp;". ")&amp;IF(LEN(IF(LEN(INDEX('Vendor COIs'!$G$4:$G$503,(_calc!$E$42-500)))=0,"",INDEX('Vendor COIs'!$G$4:$G$503,(_calc!$E$42-500))))=0,"","Additional insured: "&amp;IF(LEN(INDEX('Vendor COIs'!$G$4:$G$503,(_calc!$E$42-500)))=0,"",INDEX('Vendor COIs'!$G$4:$G$503,(_calc!$E$42-500)))&amp;". ")&amp;IF(LEN(IF(LEN(INDEX('Vendor COIs'!$M$4:$M$503,(_calc!$E$42-500)))=0,"",INDEX('Vendor COIs'!$M$4:$M$503,(_calc!$E$42-500))))=0,"","Vendor contact: "&amp;IF(LEN(INDEX('Vendor COIs'!$M$4:$M$503,(_calc!$E$42-500)))=0,"",INDEX('Vendor COIs'!$M$4:$M$503,(_calc!$E$42-500)))&amp;". ")&amp;IF(LEN(IF(LEN(INDEX('Vendor COIs'!$P$4:$P$503,(_calc!$E$42-500)))=0,"",INDEX('Vendor COIs'!$P$4:$P$503,(_calc!$E$42-500))))=0,"",IF(LEN(INDEX('Vendor COIs'!$P$4:$P$503,(_calc!$E$42-500)))=0,"",INDEX('Vendor COIs'!$P$4:$P$503,(_calc!$E$42-500)))))))</f>
        <v/>
      </c>
      <c r="G40" s="46">
        <f>IF(_calc!$E$42="","",IF(_calc!$E$42&lt;=500,IF(LEN(INDEX('Our policies'!$R$4:$R$503,_calc!$E$42))=0,"",INDEX('Our policies'!$R$4:$R$503,_calc!$E$42)),IF(LEN(INDEX('Vendor COIs'!$O$4:$O$503,(_calc!$E$42-500)))=0,"",INDEX('Vendor COIs'!$O$4:$O$503,(_calc!$E$42-500)))))</f>
        <v/>
      </c>
      <c r="H40" s="46">
        <f>IF(_calc!$E$42="","",IF(_calc!$E$42&lt;=500,IF(LEN(INDEX('Our policies'!$G$4:$G$503,_calc!$E$42))=0,"",INDEX('Our policies'!$G$4:$G$503,_calc!$E$42)),""))</f>
        <v/>
      </c>
      <c r="I40" s="46">
        <f>IF(_calc!$E$42="","",IF(_calc!$E$42&lt;=500,IF(LEN(INDEX('Our policies'!$H$4:$H$503,_calc!$E$42))=0,"",INDEX('Our policies'!$H$4:$H$503,_calc!$E$42)),""))</f>
        <v/>
      </c>
      <c r="K40" s="46">
        <f>IF(_calc!$E$42="","",IF(_calc!$E$42&lt;=500,IF(LEN(INDEX('Our policies'!$P$4:$P$503,_calc!$E$42))=0,"",INDEX('Our policies'!$P$4:$P$503,_calc!$E$42)),IF(LEN(INDEX('Vendor COIs'!$N$4:$N$503,(_calc!$E$42-500)))=0,"",INDEX('Vendor COIs'!$N$4:$N$503,(_calc!$E$42-500)))))</f>
        <v/>
      </c>
    </row>
    <row r="41">
      <c r="A41" s="46">
        <f>IF(_calc!$E$43="","",IF(_calc!$E$43&lt;=500,IF(LEN(INDEX('Our policies'!$A$4:$A$503,_calc!$E$43))=0,"",INDEX('Our policies'!$A$4:$A$503,_calc!$E$43)),"COI – "&amp;IF(LEN(INDEX('Vendor COIs'!$A$4:$A$503,(_calc!$E$43-500)))=0,"",INDEX('Vendor COIs'!$A$4:$A$503,(_calc!$E$43-500)))&amp;" – "&amp;IF(LEN(INDEX('Vendor COIs'!$B$4:$B$503,(_calc!$E$43-500)))=0,"",INDEX('Vendor COIs'!$B$4:$B$503,(_calc!$E$43-500)))))</f>
        <v/>
      </c>
      <c r="B41" s="46">
        <f>IF(_calc!$E$43="","",IF(_calc!$E$43&lt;=500,IF(ISNUMBER(INDEX('Our policies'!$J$4:$J$503,_calc!$E$43)),TEXT(INDEX('Our policies'!$J$4:$J$503,_calc!$E$43),"yyyy-mm-dd"),""),IF(ISNUMBER(INDEX('Vendor COIs'!$H$4:$H$503,(_calc!$E$43-500))),TEXT(INDEX('Vendor COIs'!$H$4:$H$503,(_calc!$E$43-500)),"yyyy-mm-dd"),"")))</f>
        <v/>
      </c>
      <c r="C41" s="46">
        <f>IF(_calc!$E$43="","",IF(_calc!$E$43&lt;=500,"Insurance","Certificate of insurance"))</f>
        <v/>
      </c>
      <c r="D41" s="46">
        <f>IF(_calc!$E$43="","",IF(_calc!$E$43&lt;=500,IF(ISNUMBER(INDEX('Our policies'!$I$4:$I$503,_calc!$E$43)),TEXT(INDEX('Our policies'!$I$4:$I$503,_calc!$E$43),"yyyy-mm-dd"),""),""))</f>
        <v/>
      </c>
      <c r="E41" s="46">
        <f>IF(_calc!$E$43="","",IF(_calc!$E$43&lt;=500,IF(LEN(INDEX('Our policies'!$Q$4:$Q$503,_calc!$E$43))=0,"",INDEX('Our policies'!$Q$4:$Q$503,_calc!$E$43)),"Medium"))</f>
        <v/>
      </c>
      <c r="F41" s="46">
        <f>IF(_calc!$E$43="","",IF(_calc!$E$43&lt;=500,TRIM(IF(LEN(IF(LEN(INDEX('Our policies'!$B$4:$B$503,_calc!$E$43))=0,"",INDEX('Our policies'!$B$4:$B$503,_calc!$E$43)))=0,"","Cover: "&amp;IF(LEN(INDEX('Our policies'!$B$4:$B$503,_calc!$E$43))=0,"",INDEX('Our policies'!$B$4:$B$503,_calc!$E$43))&amp;". ")&amp;IF(LEN(IF(LEN(INDEX('Our policies'!$C$4:$C$503,_calc!$E$43))=0,"",INDEX('Our policies'!$C$4:$C$503,_calc!$E$43)))=0,"","Insurer: "&amp;IF(LEN(INDEX('Our policies'!$C$4:$C$503,_calc!$E$43))=0,"",INDEX('Our policies'!$C$4:$C$503,_calc!$E$43))&amp;". ")&amp;IF(LEN(IF(LEN(INDEX('Our policies'!$D$4:$D$503,_calc!$E$43))=0,"",INDEX('Our policies'!$D$4:$D$503,_calc!$E$43)))=0,"","Broker: "&amp;IF(LEN(INDEX('Our policies'!$D$4:$D$503,_calc!$E$43))=0,"",INDEX('Our policies'!$D$4:$D$503,_calc!$E$43))&amp;". ")&amp;IF(LEN(IF(LEN(INDEX('Our policies'!$E$4:$E$503,_calc!$E$43))=0,"",INDEX('Our policies'!$E$4:$E$503,_calc!$E$43)))=0,"","Policy no.: "&amp;IF(LEN(INDEX('Our policies'!$E$4:$E$503,_calc!$E$43))=0,"",INDEX('Our policies'!$E$4:$E$503,_calc!$E$43))&amp;". ")&amp;IF(LEN(IF(LEN(INDEX('Our policies'!$S$4:$S$503,_calc!$E$43))=0,"",INDEX('Our policies'!$S$4:$S$503,_calc!$E$43)))=0,"",IF(LEN(INDEX('Our policies'!$S$4:$S$503,_calc!$E$43))=0,"",INDEX('Our policies'!$S$4:$S$503,_calc!$E$43)))),TRIM(IF(LEN(IF(LEN(INDEX('Vendor COIs'!$C$4:$C$503,(_calc!$E$43-500)))=0,"",INDEX('Vendor COIs'!$C$4:$C$503,(_calc!$E$43-500))))=0,"","Insurer: "&amp;IF(LEN(INDEX('Vendor COIs'!$C$4:$C$503,(_calc!$E$43-500)))=0,"",INDEX('Vendor COIs'!$C$4:$C$503,(_calc!$E$43-500)))&amp;". ")&amp;IF(LEN(IF(LEN(INDEX('Vendor COIs'!$D$4:$D$503,(_calc!$E$43-500)))=0,"",INDEX('Vendor COIs'!$D$4:$D$503,(_calc!$E$43-500))))=0,"","Policy no.: "&amp;IF(LEN(INDEX('Vendor COIs'!$D$4:$D$503,(_calc!$E$43-500)))=0,"",INDEX('Vendor COIs'!$D$4:$D$503,(_calc!$E$43-500)))&amp;". ")&amp;IF(LEN(IF(LEN(INDEX('Vendor COIs'!$F$4:$F$503,(_calc!$E$43-500)))=0,"",INDEX('Vendor COIs'!$F$4:$F$503,(_calc!$E$43-500))))=0,"","Meets minimum: "&amp;IF(LEN(INDEX('Vendor COIs'!$F$4:$F$503,(_calc!$E$43-500)))=0,"",INDEX('Vendor COIs'!$F$4:$F$503,(_calc!$E$43-500)))&amp;". ")&amp;IF(LEN(IF(LEN(INDEX('Vendor COIs'!$G$4:$G$503,(_calc!$E$43-500)))=0,"",INDEX('Vendor COIs'!$G$4:$G$503,(_calc!$E$43-500))))=0,"","Additional insured: "&amp;IF(LEN(INDEX('Vendor COIs'!$G$4:$G$503,(_calc!$E$43-500)))=0,"",INDEX('Vendor COIs'!$G$4:$G$503,(_calc!$E$43-500)))&amp;". ")&amp;IF(LEN(IF(LEN(INDEX('Vendor COIs'!$M$4:$M$503,(_calc!$E$43-500)))=0,"",INDEX('Vendor COIs'!$M$4:$M$503,(_calc!$E$43-500))))=0,"","Vendor contact: "&amp;IF(LEN(INDEX('Vendor COIs'!$M$4:$M$503,(_calc!$E$43-500)))=0,"",INDEX('Vendor COIs'!$M$4:$M$503,(_calc!$E$43-500)))&amp;". ")&amp;IF(LEN(IF(LEN(INDEX('Vendor COIs'!$P$4:$P$503,(_calc!$E$43-500)))=0,"",INDEX('Vendor COIs'!$P$4:$P$503,(_calc!$E$43-500))))=0,"",IF(LEN(INDEX('Vendor COIs'!$P$4:$P$503,(_calc!$E$43-500)))=0,"",INDEX('Vendor COIs'!$P$4:$P$503,(_calc!$E$43-500)))))))</f>
        <v/>
      </c>
      <c r="G41" s="46">
        <f>IF(_calc!$E$43="","",IF(_calc!$E$43&lt;=500,IF(LEN(INDEX('Our policies'!$R$4:$R$503,_calc!$E$43))=0,"",INDEX('Our policies'!$R$4:$R$503,_calc!$E$43)),IF(LEN(INDEX('Vendor COIs'!$O$4:$O$503,(_calc!$E$43-500)))=0,"",INDEX('Vendor COIs'!$O$4:$O$503,(_calc!$E$43-500)))))</f>
        <v/>
      </c>
      <c r="H41" s="46">
        <f>IF(_calc!$E$43="","",IF(_calc!$E$43&lt;=500,IF(LEN(INDEX('Our policies'!$G$4:$G$503,_calc!$E$43))=0,"",INDEX('Our policies'!$G$4:$G$503,_calc!$E$43)),""))</f>
        <v/>
      </c>
      <c r="I41" s="46">
        <f>IF(_calc!$E$43="","",IF(_calc!$E$43&lt;=500,IF(LEN(INDEX('Our policies'!$H$4:$H$503,_calc!$E$43))=0,"",INDEX('Our policies'!$H$4:$H$503,_calc!$E$43)),""))</f>
        <v/>
      </c>
      <c r="K41" s="46">
        <f>IF(_calc!$E$43="","",IF(_calc!$E$43&lt;=500,IF(LEN(INDEX('Our policies'!$P$4:$P$503,_calc!$E$43))=0,"",INDEX('Our policies'!$P$4:$P$503,_calc!$E$43)),IF(LEN(INDEX('Vendor COIs'!$N$4:$N$503,(_calc!$E$43-500)))=0,"",INDEX('Vendor COIs'!$N$4:$N$503,(_calc!$E$43-500)))))</f>
        <v/>
      </c>
    </row>
    <row r="42">
      <c r="A42" s="46">
        <f>IF(_calc!$E$44="","",IF(_calc!$E$44&lt;=500,IF(LEN(INDEX('Our policies'!$A$4:$A$503,_calc!$E$44))=0,"",INDEX('Our policies'!$A$4:$A$503,_calc!$E$44)),"COI – "&amp;IF(LEN(INDEX('Vendor COIs'!$A$4:$A$503,(_calc!$E$44-500)))=0,"",INDEX('Vendor COIs'!$A$4:$A$503,(_calc!$E$44-500)))&amp;" – "&amp;IF(LEN(INDEX('Vendor COIs'!$B$4:$B$503,(_calc!$E$44-500)))=0,"",INDEX('Vendor COIs'!$B$4:$B$503,(_calc!$E$44-500)))))</f>
        <v/>
      </c>
      <c r="B42" s="46">
        <f>IF(_calc!$E$44="","",IF(_calc!$E$44&lt;=500,IF(ISNUMBER(INDEX('Our policies'!$J$4:$J$503,_calc!$E$44)),TEXT(INDEX('Our policies'!$J$4:$J$503,_calc!$E$44),"yyyy-mm-dd"),""),IF(ISNUMBER(INDEX('Vendor COIs'!$H$4:$H$503,(_calc!$E$44-500))),TEXT(INDEX('Vendor COIs'!$H$4:$H$503,(_calc!$E$44-500)),"yyyy-mm-dd"),"")))</f>
        <v/>
      </c>
      <c r="C42" s="46">
        <f>IF(_calc!$E$44="","",IF(_calc!$E$44&lt;=500,"Insurance","Certificate of insurance"))</f>
        <v/>
      </c>
      <c r="D42" s="46">
        <f>IF(_calc!$E$44="","",IF(_calc!$E$44&lt;=500,IF(ISNUMBER(INDEX('Our policies'!$I$4:$I$503,_calc!$E$44)),TEXT(INDEX('Our policies'!$I$4:$I$503,_calc!$E$44),"yyyy-mm-dd"),""),""))</f>
        <v/>
      </c>
      <c r="E42" s="46">
        <f>IF(_calc!$E$44="","",IF(_calc!$E$44&lt;=500,IF(LEN(INDEX('Our policies'!$Q$4:$Q$503,_calc!$E$44))=0,"",INDEX('Our policies'!$Q$4:$Q$503,_calc!$E$44)),"Medium"))</f>
        <v/>
      </c>
      <c r="F42" s="46">
        <f>IF(_calc!$E$44="","",IF(_calc!$E$44&lt;=500,TRIM(IF(LEN(IF(LEN(INDEX('Our policies'!$B$4:$B$503,_calc!$E$44))=0,"",INDEX('Our policies'!$B$4:$B$503,_calc!$E$44)))=0,"","Cover: "&amp;IF(LEN(INDEX('Our policies'!$B$4:$B$503,_calc!$E$44))=0,"",INDEX('Our policies'!$B$4:$B$503,_calc!$E$44))&amp;". ")&amp;IF(LEN(IF(LEN(INDEX('Our policies'!$C$4:$C$503,_calc!$E$44))=0,"",INDEX('Our policies'!$C$4:$C$503,_calc!$E$44)))=0,"","Insurer: "&amp;IF(LEN(INDEX('Our policies'!$C$4:$C$503,_calc!$E$44))=0,"",INDEX('Our policies'!$C$4:$C$503,_calc!$E$44))&amp;". ")&amp;IF(LEN(IF(LEN(INDEX('Our policies'!$D$4:$D$503,_calc!$E$44))=0,"",INDEX('Our policies'!$D$4:$D$503,_calc!$E$44)))=0,"","Broker: "&amp;IF(LEN(INDEX('Our policies'!$D$4:$D$503,_calc!$E$44))=0,"",INDEX('Our policies'!$D$4:$D$503,_calc!$E$44))&amp;". ")&amp;IF(LEN(IF(LEN(INDEX('Our policies'!$E$4:$E$503,_calc!$E$44))=0,"",INDEX('Our policies'!$E$4:$E$503,_calc!$E$44)))=0,"","Policy no.: "&amp;IF(LEN(INDEX('Our policies'!$E$4:$E$503,_calc!$E$44))=0,"",INDEX('Our policies'!$E$4:$E$503,_calc!$E$44))&amp;". ")&amp;IF(LEN(IF(LEN(INDEX('Our policies'!$S$4:$S$503,_calc!$E$44))=0,"",INDEX('Our policies'!$S$4:$S$503,_calc!$E$44)))=0,"",IF(LEN(INDEX('Our policies'!$S$4:$S$503,_calc!$E$44))=0,"",INDEX('Our policies'!$S$4:$S$503,_calc!$E$44)))),TRIM(IF(LEN(IF(LEN(INDEX('Vendor COIs'!$C$4:$C$503,(_calc!$E$44-500)))=0,"",INDEX('Vendor COIs'!$C$4:$C$503,(_calc!$E$44-500))))=0,"","Insurer: "&amp;IF(LEN(INDEX('Vendor COIs'!$C$4:$C$503,(_calc!$E$44-500)))=0,"",INDEX('Vendor COIs'!$C$4:$C$503,(_calc!$E$44-500)))&amp;". ")&amp;IF(LEN(IF(LEN(INDEX('Vendor COIs'!$D$4:$D$503,(_calc!$E$44-500)))=0,"",INDEX('Vendor COIs'!$D$4:$D$503,(_calc!$E$44-500))))=0,"","Policy no.: "&amp;IF(LEN(INDEX('Vendor COIs'!$D$4:$D$503,(_calc!$E$44-500)))=0,"",INDEX('Vendor COIs'!$D$4:$D$503,(_calc!$E$44-500)))&amp;". ")&amp;IF(LEN(IF(LEN(INDEX('Vendor COIs'!$F$4:$F$503,(_calc!$E$44-500)))=0,"",INDEX('Vendor COIs'!$F$4:$F$503,(_calc!$E$44-500))))=0,"","Meets minimum: "&amp;IF(LEN(INDEX('Vendor COIs'!$F$4:$F$503,(_calc!$E$44-500)))=0,"",INDEX('Vendor COIs'!$F$4:$F$503,(_calc!$E$44-500)))&amp;". ")&amp;IF(LEN(IF(LEN(INDEX('Vendor COIs'!$G$4:$G$503,(_calc!$E$44-500)))=0,"",INDEX('Vendor COIs'!$G$4:$G$503,(_calc!$E$44-500))))=0,"","Additional insured: "&amp;IF(LEN(INDEX('Vendor COIs'!$G$4:$G$503,(_calc!$E$44-500)))=0,"",INDEX('Vendor COIs'!$G$4:$G$503,(_calc!$E$44-500)))&amp;". ")&amp;IF(LEN(IF(LEN(INDEX('Vendor COIs'!$M$4:$M$503,(_calc!$E$44-500)))=0,"",INDEX('Vendor COIs'!$M$4:$M$503,(_calc!$E$44-500))))=0,"","Vendor contact: "&amp;IF(LEN(INDEX('Vendor COIs'!$M$4:$M$503,(_calc!$E$44-500)))=0,"",INDEX('Vendor COIs'!$M$4:$M$503,(_calc!$E$44-500)))&amp;". ")&amp;IF(LEN(IF(LEN(INDEX('Vendor COIs'!$P$4:$P$503,(_calc!$E$44-500)))=0,"",INDEX('Vendor COIs'!$P$4:$P$503,(_calc!$E$44-500))))=0,"",IF(LEN(INDEX('Vendor COIs'!$P$4:$P$503,(_calc!$E$44-500)))=0,"",INDEX('Vendor COIs'!$P$4:$P$503,(_calc!$E$44-500)))))))</f>
        <v/>
      </c>
      <c r="G42" s="46">
        <f>IF(_calc!$E$44="","",IF(_calc!$E$44&lt;=500,IF(LEN(INDEX('Our policies'!$R$4:$R$503,_calc!$E$44))=0,"",INDEX('Our policies'!$R$4:$R$503,_calc!$E$44)),IF(LEN(INDEX('Vendor COIs'!$O$4:$O$503,(_calc!$E$44-500)))=0,"",INDEX('Vendor COIs'!$O$4:$O$503,(_calc!$E$44-500)))))</f>
        <v/>
      </c>
      <c r="H42" s="46">
        <f>IF(_calc!$E$44="","",IF(_calc!$E$44&lt;=500,IF(LEN(INDEX('Our policies'!$G$4:$G$503,_calc!$E$44))=0,"",INDEX('Our policies'!$G$4:$G$503,_calc!$E$44)),""))</f>
        <v/>
      </c>
      <c r="I42" s="46">
        <f>IF(_calc!$E$44="","",IF(_calc!$E$44&lt;=500,IF(LEN(INDEX('Our policies'!$H$4:$H$503,_calc!$E$44))=0,"",INDEX('Our policies'!$H$4:$H$503,_calc!$E$44)),""))</f>
        <v/>
      </c>
      <c r="K42" s="46">
        <f>IF(_calc!$E$44="","",IF(_calc!$E$44&lt;=500,IF(LEN(INDEX('Our policies'!$P$4:$P$503,_calc!$E$44))=0,"",INDEX('Our policies'!$P$4:$P$503,_calc!$E$44)),IF(LEN(INDEX('Vendor COIs'!$N$4:$N$503,(_calc!$E$44-500)))=0,"",INDEX('Vendor COIs'!$N$4:$N$503,(_calc!$E$44-500)))))</f>
        <v/>
      </c>
    </row>
    <row r="43">
      <c r="A43" s="46">
        <f>IF(_calc!$E$45="","",IF(_calc!$E$45&lt;=500,IF(LEN(INDEX('Our policies'!$A$4:$A$503,_calc!$E$45))=0,"",INDEX('Our policies'!$A$4:$A$503,_calc!$E$45)),"COI – "&amp;IF(LEN(INDEX('Vendor COIs'!$A$4:$A$503,(_calc!$E$45-500)))=0,"",INDEX('Vendor COIs'!$A$4:$A$503,(_calc!$E$45-500)))&amp;" – "&amp;IF(LEN(INDEX('Vendor COIs'!$B$4:$B$503,(_calc!$E$45-500)))=0,"",INDEX('Vendor COIs'!$B$4:$B$503,(_calc!$E$45-500)))))</f>
        <v/>
      </c>
      <c r="B43" s="46">
        <f>IF(_calc!$E$45="","",IF(_calc!$E$45&lt;=500,IF(ISNUMBER(INDEX('Our policies'!$J$4:$J$503,_calc!$E$45)),TEXT(INDEX('Our policies'!$J$4:$J$503,_calc!$E$45),"yyyy-mm-dd"),""),IF(ISNUMBER(INDEX('Vendor COIs'!$H$4:$H$503,(_calc!$E$45-500))),TEXT(INDEX('Vendor COIs'!$H$4:$H$503,(_calc!$E$45-500)),"yyyy-mm-dd"),"")))</f>
        <v/>
      </c>
      <c r="C43" s="46">
        <f>IF(_calc!$E$45="","",IF(_calc!$E$45&lt;=500,"Insurance","Certificate of insurance"))</f>
        <v/>
      </c>
      <c r="D43" s="46">
        <f>IF(_calc!$E$45="","",IF(_calc!$E$45&lt;=500,IF(ISNUMBER(INDEX('Our policies'!$I$4:$I$503,_calc!$E$45)),TEXT(INDEX('Our policies'!$I$4:$I$503,_calc!$E$45),"yyyy-mm-dd"),""),""))</f>
        <v/>
      </c>
      <c r="E43" s="46">
        <f>IF(_calc!$E$45="","",IF(_calc!$E$45&lt;=500,IF(LEN(INDEX('Our policies'!$Q$4:$Q$503,_calc!$E$45))=0,"",INDEX('Our policies'!$Q$4:$Q$503,_calc!$E$45)),"Medium"))</f>
        <v/>
      </c>
      <c r="F43" s="46">
        <f>IF(_calc!$E$45="","",IF(_calc!$E$45&lt;=500,TRIM(IF(LEN(IF(LEN(INDEX('Our policies'!$B$4:$B$503,_calc!$E$45))=0,"",INDEX('Our policies'!$B$4:$B$503,_calc!$E$45)))=0,"","Cover: "&amp;IF(LEN(INDEX('Our policies'!$B$4:$B$503,_calc!$E$45))=0,"",INDEX('Our policies'!$B$4:$B$503,_calc!$E$45))&amp;". ")&amp;IF(LEN(IF(LEN(INDEX('Our policies'!$C$4:$C$503,_calc!$E$45))=0,"",INDEX('Our policies'!$C$4:$C$503,_calc!$E$45)))=0,"","Insurer: "&amp;IF(LEN(INDEX('Our policies'!$C$4:$C$503,_calc!$E$45))=0,"",INDEX('Our policies'!$C$4:$C$503,_calc!$E$45))&amp;". ")&amp;IF(LEN(IF(LEN(INDEX('Our policies'!$D$4:$D$503,_calc!$E$45))=0,"",INDEX('Our policies'!$D$4:$D$503,_calc!$E$45)))=0,"","Broker: "&amp;IF(LEN(INDEX('Our policies'!$D$4:$D$503,_calc!$E$45))=0,"",INDEX('Our policies'!$D$4:$D$503,_calc!$E$45))&amp;". ")&amp;IF(LEN(IF(LEN(INDEX('Our policies'!$E$4:$E$503,_calc!$E$45))=0,"",INDEX('Our policies'!$E$4:$E$503,_calc!$E$45)))=0,"","Policy no.: "&amp;IF(LEN(INDEX('Our policies'!$E$4:$E$503,_calc!$E$45))=0,"",INDEX('Our policies'!$E$4:$E$503,_calc!$E$45))&amp;". ")&amp;IF(LEN(IF(LEN(INDEX('Our policies'!$S$4:$S$503,_calc!$E$45))=0,"",INDEX('Our policies'!$S$4:$S$503,_calc!$E$45)))=0,"",IF(LEN(INDEX('Our policies'!$S$4:$S$503,_calc!$E$45))=0,"",INDEX('Our policies'!$S$4:$S$503,_calc!$E$45)))),TRIM(IF(LEN(IF(LEN(INDEX('Vendor COIs'!$C$4:$C$503,(_calc!$E$45-500)))=0,"",INDEX('Vendor COIs'!$C$4:$C$503,(_calc!$E$45-500))))=0,"","Insurer: "&amp;IF(LEN(INDEX('Vendor COIs'!$C$4:$C$503,(_calc!$E$45-500)))=0,"",INDEX('Vendor COIs'!$C$4:$C$503,(_calc!$E$45-500)))&amp;". ")&amp;IF(LEN(IF(LEN(INDEX('Vendor COIs'!$D$4:$D$503,(_calc!$E$45-500)))=0,"",INDEX('Vendor COIs'!$D$4:$D$503,(_calc!$E$45-500))))=0,"","Policy no.: "&amp;IF(LEN(INDEX('Vendor COIs'!$D$4:$D$503,(_calc!$E$45-500)))=0,"",INDEX('Vendor COIs'!$D$4:$D$503,(_calc!$E$45-500)))&amp;". ")&amp;IF(LEN(IF(LEN(INDEX('Vendor COIs'!$F$4:$F$503,(_calc!$E$45-500)))=0,"",INDEX('Vendor COIs'!$F$4:$F$503,(_calc!$E$45-500))))=0,"","Meets minimum: "&amp;IF(LEN(INDEX('Vendor COIs'!$F$4:$F$503,(_calc!$E$45-500)))=0,"",INDEX('Vendor COIs'!$F$4:$F$503,(_calc!$E$45-500)))&amp;". ")&amp;IF(LEN(IF(LEN(INDEX('Vendor COIs'!$G$4:$G$503,(_calc!$E$45-500)))=0,"",INDEX('Vendor COIs'!$G$4:$G$503,(_calc!$E$45-500))))=0,"","Additional insured: "&amp;IF(LEN(INDEX('Vendor COIs'!$G$4:$G$503,(_calc!$E$45-500)))=0,"",INDEX('Vendor COIs'!$G$4:$G$503,(_calc!$E$45-500)))&amp;". ")&amp;IF(LEN(IF(LEN(INDEX('Vendor COIs'!$M$4:$M$503,(_calc!$E$45-500)))=0,"",INDEX('Vendor COIs'!$M$4:$M$503,(_calc!$E$45-500))))=0,"","Vendor contact: "&amp;IF(LEN(INDEX('Vendor COIs'!$M$4:$M$503,(_calc!$E$45-500)))=0,"",INDEX('Vendor COIs'!$M$4:$M$503,(_calc!$E$45-500)))&amp;". ")&amp;IF(LEN(IF(LEN(INDEX('Vendor COIs'!$P$4:$P$503,(_calc!$E$45-500)))=0,"",INDEX('Vendor COIs'!$P$4:$P$503,(_calc!$E$45-500))))=0,"",IF(LEN(INDEX('Vendor COIs'!$P$4:$P$503,(_calc!$E$45-500)))=0,"",INDEX('Vendor COIs'!$P$4:$P$503,(_calc!$E$45-500)))))))</f>
        <v/>
      </c>
      <c r="G43" s="46">
        <f>IF(_calc!$E$45="","",IF(_calc!$E$45&lt;=500,IF(LEN(INDEX('Our policies'!$R$4:$R$503,_calc!$E$45))=0,"",INDEX('Our policies'!$R$4:$R$503,_calc!$E$45)),IF(LEN(INDEX('Vendor COIs'!$O$4:$O$503,(_calc!$E$45-500)))=0,"",INDEX('Vendor COIs'!$O$4:$O$503,(_calc!$E$45-500)))))</f>
        <v/>
      </c>
      <c r="H43" s="46">
        <f>IF(_calc!$E$45="","",IF(_calc!$E$45&lt;=500,IF(LEN(INDEX('Our policies'!$G$4:$G$503,_calc!$E$45))=0,"",INDEX('Our policies'!$G$4:$G$503,_calc!$E$45)),""))</f>
        <v/>
      </c>
      <c r="I43" s="46">
        <f>IF(_calc!$E$45="","",IF(_calc!$E$45&lt;=500,IF(LEN(INDEX('Our policies'!$H$4:$H$503,_calc!$E$45))=0,"",INDEX('Our policies'!$H$4:$H$503,_calc!$E$45)),""))</f>
        <v/>
      </c>
      <c r="K43" s="46">
        <f>IF(_calc!$E$45="","",IF(_calc!$E$45&lt;=500,IF(LEN(INDEX('Our policies'!$P$4:$P$503,_calc!$E$45))=0,"",INDEX('Our policies'!$P$4:$P$503,_calc!$E$45)),IF(LEN(INDEX('Vendor COIs'!$N$4:$N$503,(_calc!$E$45-500)))=0,"",INDEX('Vendor COIs'!$N$4:$N$503,(_calc!$E$45-500)))))</f>
        <v/>
      </c>
    </row>
    <row r="44">
      <c r="A44" s="46">
        <f>IF(_calc!$E$46="","",IF(_calc!$E$46&lt;=500,IF(LEN(INDEX('Our policies'!$A$4:$A$503,_calc!$E$46))=0,"",INDEX('Our policies'!$A$4:$A$503,_calc!$E$46)),"COI – "&amp;IF(LEN(INDEX('Vendor COIs'!$A$4:$A$503,(_calc!$E$46-500)))=0,"",INDEX('Vendor COIs'!$A$4:$A$503,(_calc!$E$46-500)))&amp;" – "&amp;IF(LEN(INDEX('Vendor COIs'!$B$4:$B$503,(_calc!$E$46-500)))=0,"",INDEX('Vendor COIs'!$B$4:$B$503,(_calc!$E$46-500)))))</f>
        <v/>
      </c>
      <c r="B44" s="46">
        <f>IF(_calc!$E$46="","",IF(_calc!$E$46&lt;=500,IF(ISNUMBER(INDEX('Our policies'!$J$4:$J$503,_calc!$E$46)),TEXT(INDEX('Our policies'!$J$4:$J$503,_calc!$E$46),"yyyy-mm-dd"),""),IF(ISNUMBER(INDEX('Vendor COIs'!$H$4:$H$503,(_calc!$E$46-500))),TEXT(INDEX('Vendor COIs'!$H$4:$H$503,(_calc!$E$46-500)),"yyyy-mm-dd"),"")))</f>
        <v/>
      </c>
      <c r="C44" s="46">
        <f>IF(_calc!$E$46="","",IF(_calc!$E$46&lt;=500,"Insurance","Certificate of insurance"))</f>
        <v/>
      </c>
      <c r="D44" s="46">
        <f>IF(_calc!$E$46="","",IF(_calc!$E$46&lt;=500,IF(ISNUMBER(INDEX('Our policies'!$I$4:$I$503,_calc!$E$46)),TEXT(INDEX('Our policies'!$I$4:$I$503,_calc!$E$46),"yyyy-mm-dd"),""),""))</f>
        <v/>
      </c>
      <c r="E44" s="46">
        <f>IF(_calc!$E$46="","",IF(_calc!$E$46&lt;=500,IF(LEN(INDEX('Our policies'!$Q$4:$Q$503,_calc!$E$46))=0,"",INDEX('Our policies'!$Q$4:$Q$503,_calc!$E$46)),"Medium"))</f>
        <v/>
      </c>
      <c r="F44" s="46">
        <f>IF(_calc!$E$46="","",IF(_calc!$E$46&lt;=500,TRIM(IF(LEN(IF(LEN(INDEX('Our policies'!$B$4:$B$503,_calc!$E$46))=0,"",INDEX('Our policies'!$B$4:$B$503,_calc!$E$46)))=0,"","Cover: "&amp;IF(LEN(INDEX('Our policies'!$B$4:$B$503,_calc!$E$46))=0,"",INDEX('Our policies'!$B$4:$B$503,_calc!$E$46))&amp;". ")&amp;IF(LEN(IF(LEN(INDEX('Our policies'!$C$4:$C$503,_calc!$E$46))=0,"",INDEX('Our policies'!$C$4:$C$503,_calc!$E$46)))=0,"","Insurer: "&amp;IF(LEN(INDEX('Our policies'!$C$4:$C$503,_calc!$E$46))=0,"",INDEX('Our policies'!$C$4:$C$503,_calc!$E$46))&amp;". ")&amp;IF(LEN(IF(LEN(INDEX('Our policies'!$D$4:$D$503,_calc!$E$46))=0,"",INDEX('Our policies'!$D$4:$D$503,_calc!$E$46)))=0,"","Broker: "&amp;IF(LEN(INDEX('Our policies'!$D$4:$D$503,_calc!$E$46))=0,"",INDEX('Our policies'!$D$4:$D$503,_calc!$E$46))&amp;". ")&amp;IF(LEN(IF(LEN(INDEX('Our policies'!$E$4:$E$503,_calc!$E$46))=0,"",INDEX('Our policies'!$E$4:$E$503,_calc!$E$46)))=0,"","Policy no.: "&amp;IF(LEN(INDEX('Our policies'!$E$4:$E$503,_calc!$E$46))=0,"",INDEX('Our policies'!$E$4:$E$503,_calc!$E$46))&amp;". ")&amp;IF(LEN(IF(LEN(INDEX('Our policies'!$S$4:$S$503,_calc!$E$46))=0,"",INDEX('Our policies'!$S$4:$S$503,_calc!$E$46)))=0,"",IF(LEN(INDEX('Our policies'!$S$4:$S$503,_calc!$E$46))=0,"",INDEX('Our policies'!$S$4:$S$503,_calc!$E$46)))),TRIM(IF(LEN(IF(LEN(INDEX('Vendor COIs'!$C$4:$C$503,(_calc!$E$46-500)))=0,"",INDEX('Vendor COIs'!$C$4:$C$503,(_calc!$E$46-500))))=0,"","Insurer: "&amp;IF(LEN(INDEX('Vendor COIs'!$C$4:$C$503,(_calc!$E$46-500)))=0,"",INDEX('Vendor COIs'!$C$4:$C$503,(_calc!$E$46-500)))&amp;". ")&amp;IF(LEN(IF(LEN(INDEX('Vendor COIs'!$D$4:$D$503,(_calc!$E$46-500)))=0,"",INDEX('Vendor COIs'!$D$4:$D$503,(_calc!$E$46-500))))=0,"","Policy no.: "&amp;IF(LEN(INDEX('Vendor COIs'!$D$4:$D$503,(_calc!$E$46-500)))=0,"",INDEX('Vendor COIs'!$D$4:$D$503,(_calc!$E$46-500)))&amp;". ")&amp;IF(LEN(IF(LEN(INDEX('Vendor COIs'!$F$4:$F$503,(_calc!$E$46-500)))=0,"",INDEX('Vendor COIs'!$F$4:$F$503,(_calc!$E$46-500))))=0,"","Meets minimum: "&amp;IF(LEN(INDEX('Vendor COIs'!$F$4:$F$503,(_calc!$E$46-500)))=0,"",INDEX('Vendor COIs'!$F$4:$F$503,(_calc!$E$46-500)))&amp;". ")&amp;IF(LEN(IF(LEN(INDEX('Vendor COIs'!$G$4:$G$503,(_calc!$E$46-500)))=0,"",INDEX('Vendor COIs'!$G$4:$G$503,(_calc!$E$46-500))))=0,"","Additional insured: "&amp;IF(LEN(INDEX('Vendor COIs'!$G$4:$G$503,(_calc!$E$46-500)))=0,"",INDEX('Vendor COIs'!$G$4:$G$503,(_calc!$E$46-500)))&amp;". ")&amp;IF(LEN(IF(LEN(INDEX('Vendor COIs'!$M$4:$M$503,(_calc!$E$46-500)))=0,"",INDEX('Vendor COIs'!$M$4:$M$503,(_calc!$E$46-500))))=0,"","Vendor contact: "&amp;IF(LEN(INDEX('Vendor COIs'!$M$4:$M$503,(_calc!$E$46-500)))=0,"",INDEX('Vendor COIs'!$M$4:$M$503,(_calc!$E$46-500)))&amp;". ")&amp;IF(LEN(IF(LEN(INDEX('Vendor COIs'!$P$4:$P$503,(_calc!$E$46-500)))=0,"",INDEX('Vendor COIs'!$P$4:$P$503,(_calc!$E$46-500))))=0,"",IF(LEN(INDEX('Vendor COIs'!$P$4:$P$503,(_calc!$E$46-500)))=0,"",INDEX('Vendor COIs'!$P$4:$P$503,(_calc!$E$46-500)))))))</f>
        <v/>
      </c>
      <c r="G44" s="46">
        <f>IF(_calc!$E$46="","",IF(_calc!$E$46&lt;=500,IF(LEN(INDEX('Our policies'!$R$4:$R$503,_calc!$E$46))=0,"",INDEX('Our policies'!$R$4:$R$503,_calc!$E$46)),IF(LEN(INDEX('Vendor COIs'!$O$4:$O$503,(_calc!$E$46-500)))=0,"",INDEX('Vendor COIs'!$O$4:$O$503,(_calc!$E$46-500)))))</f>
        <v/>
      </c>
      <c r="H44" s="46">
        <f>IF(_calc!$E$46="","",IF(_calc!$E$46&lt;=500,IF(LEN(INDEX('Our policies'!$G$4:$G$503,_calc!$E$46))=0,"",INDEX('Our policies'!$G$4:$G$503,_calc!$E$46)),""))</f>
        <v/>
      </c>
      <c r="I44" s="46">
        <f>IF(_calc!$E$46="","",IF(_calc!$E$46&lt;=500,IF(LEN(INDEX('Our policies'!$H$4:$H$503,_calc!$E$46))=0,"",INDEX('Our policies'!$H$4:$H$503,_calc!$E$46)),""))</f>
        <v/>
      </c>
      <c r="K44" s="46">
        <f>IF(_calc!$E$46="","",IF(_calc!$E$46&lt;=500,IF(LEN(INDEX('Our policies'!$P$4:$P$503,_calc!$E$46))=0,"",INDEX('Our policies'!$P$4:$P$503,_calc!$E$46)),IF(LEN(INDEX('Vendor COIs'!$N$4:$N$503,(_calc!$E$46-500)))=0,"",INDEX('Vendor COIs'!$N$4:$N$503,(_calc!$E$46-500)))))</f>
        <v/>
      </c>
    </row>
    <row r="45">
      <c r="A45" s="46">
        <f>IF(_calc!$E$47="","",IF(_calc!$E$47&lt;=500,IF(LEN(INDEX('Our policies'!$A$4:$A$503,_calc!$E$47))=0,"",INDEX('Our policies'!$A$4:$A$503,_calc!$E$47)),"COI – "&amp;IF(LEN(INDEX('Vendor COIs'!$A$4:$A$503,(_calc!$E$47-500)))=0,"",INDEX('Vendor COIs'!$A$4:$A$503,(_calc!$E$47-500)))&amp;" – "&amp;IF(LEN(INDEX('Vendor COIs'!$B$4:$B$503,(_calc!$E$47-500)))=0,"",INDEX('Vendor COIs'!$B$4:$B$503,(_calc!$E$47-500)))))</f>
        <v/>
      </c>
      <c r="B45" s="46">
        <f>IF(_calc!$E$47="","",IF(_calc!$E$47&lt;=500,IF(ISNUMBER(INDEX('Our policies'!$J$4:$J$503,_calc!$E$47)),TEXT(INDEX('Our policies'!$J$4:$J$503,_calc!$E$47),"yyyy-mm-dd"),""),IF(ISNUMBER(INDEX('Vendor COIs'!$H$4:$H$503,(_calc!$E$47-500))),TEXT(INDEX('Vendor COIs'!$H$4:$H$503,(_calc!$E$47-500)),"yyyy-mm-dd"),"")))</f>
        <v/>
      </c>
      <c r="C45" s="46">
        <f>IF(_calc!$E$47="","",IF(_calc!$E$47&lt;=500,"Insurance","Certificate of insurance"))</f>
        <v/>
      </c>
      <c r="D45" s="46">
        <f>IF(_calc!$E$47="","",IF(_calc!$E$47&lt;=500,IF(ISNUMBER(INDEX('Our policies'!$I$4:$I$503,_calc!$E$47)),TEXT(INDEX('Our policies'!$I$4:$I$503,_calc!$E$47),"yyyy-mm-dd"),""),""))</f>
        <v/>
      </c>
      <c r="E45" s="46">
        <f>IF(_calc!$E$47="","",IF(_calc!$E$47&lt;=500,IF(LEN(INDEX('Our policies'!$Q$4:$Q$503,_calc!$E$47))=0,"",INDEX('Our policies'!$Q$4:$Q$503,_calc!$E$47)),"Medium"))</f>
        <v/>
      </c>
      <c r="F45" s="46">
        <f>IF(_calc!$E$47="","",IF(_calc!$E$47&lt;=500,TRIM(IF(LEN(IF(LEN(INDEX('Our policies'!$B$4:$B$503,_calc!$E$47))=0,"",INDEX('Our policies'!$B$4:$B$503,_calc!$E$47)))=0,"","Cover: "&amp;IF(LEN(INDEX('Our policies'!$B$4:$B$503,_calc!$E$47))=0,"",INDEX('Our policies'!$B$4:$B$503,_calc!$E$47))&amp;". ")&amp;IF(LEN(IF(LEN(INDEX('Our policies'!$C$4:$C$503,_calc!$E$47))=0,"",INDEX('Our policies'!$C$4:$C$503,_calc!$E$47)))=0,"","Insurer: "&amp;IF(LEN(INDEX('Our policies'!$C$4:$C$503,_calc!$E$47))=0,"",INDEX('Our policies'!$C$4:$C$503,_calc!$E$47))&amp;". ")&amp;IF(LEN(IF(LEN(INDEX('Our policies'!$D$4:$D$503,_calc!$E$47))=0,"",INDEX('Our policies'!$D$4:$D$503,_calc!$E$47)))=0,"","Broker: "&amp;IF(LEN(INDEX('Our policies'!$D$4:$D$503,_calc!$E$47))=0,"",INDEX('Our policies'!$D$4:$D$503,_calc!$E$47))&amp;". ")&amp;IF(LEN(IF(LEN(INDEX('Our policies'!$E$4:$E$503,_calc!$E$47))=0,"",INDEX('Our policies'!$E$4:$E$503,_calc!$E$47)))=0,"","Policy no.: "&amp;IF(LEN(INDEX('Our policies'!$E$4:$E$503,_calc!$E$47))=0,"",INDEX('Our policies'!$E$4:$E$503,_calc!$E$47))&amp;". ")&amp;IF(LEN(IF(LEN(INDEX('Our policies'!$S$4:$S$503,_calc!$E$47))=0,"",INDEX('Our policies'!$S$4:$S$503,_calc!$E$47)))=0,"",IF(LEN(INDEX('Our policies'!$S$4:$S$503,_calc!$E$47))=0,"",INDEX('Our policies'!$S$4:$S$503,_calc!$E$47)))),TRIM(IF(LEN(IF(LEN(INDEX('Vendor COIs'!$C$4:$C$503,(_calc!$E$47-500)))=0,"",INDEX('Vendor COIs'!$C$4:$C$503,(_calc!$E$47-500))))=0,"","Insurer: "&amp;IF(LEN(INDEX('Vendor COIs'!$C$4:$C$503,(_calc!$E$47-500)))=0,"",INDEX('Vendor COIs'!$C$4:$C$503,(_calc!$E$47-500)))&amp;". ")&amp;IF(LEN(IF(LEN(INDEX('Vendor COIs'!$D$4:$D$503,(_calc!$E$47-500)))=0,"",INDEX('Vendor COIs'!$D$4:$D$503,(_calc!$E$47-500))))=0,"","Policy no.: "&amp;IF(LEN(INDEX('Vendor COIs'!$D$4:$D$503,(_calc!$E$47-500)))=0,"",INDEX('Vendor COIs'!$D$4:$D$503,(_calc!$E$47-500)))&amp;". ")&amp;IF(LEN(IF(LEN(INDEX('Vendor COIs'!$F$4:$F$503,(_calc!$E$47-500)))=0,"",INDEX('Vendor COIs'!$F$4:$F$503,(_calc!$E$47-500))))=0,"","Meets minimum: "&amp;IF(LEN(INDEX('Vendor COIs'!$F$4:$F$503,(_calc!$E$47-500)))=0,"",INDEX('Vendor COIs'!$F$4:$F$503,(_calc!$E$47-500)))&amp;". ")&amp;IF(LEN(IF(LEN(INDEX('Vendor COIs'!$G$4:$G$503,(_calc!$E$47-500)))=0,"",INDEX('Vendor COIs'!$G$4:$G$503,(_calc!$E$47-500))))=0,"","Additional insured: "&amp;IF(LEN(INDEX('Vendor COIs'!$G$4:$G$503,(_calc!$E$47-500)))=0,"",INDEX('Vendor COIs'!$G$4:$G$503,(_calc!$E$47-500)))&amp;". ")&amp;IF(LEN(IF(LEN(INDEX('Vendor COIs'!$M$4:$M$503,(_calc!$E$47-500)))=0,"",INDEX('Vendor COIs'!$M$4:$M$503,(_calc!$E$47-500))))=0,"","Vendor contact: "&amp;IF(LEN(INDEX('Vendor COIs'!$M$4:$M$503,(_calc!$E$47-500)))=0,"",INDEX('Vendor COIs'!$M$4:$M$503,(_calc!$E$47-500)))&amp;". ")&amp;IF(LEN(IF(LEN(INDEX('Vendor COIs'!$P$4:$P$503,(_calc!$E$47-500)))=0,"",INDEX('Vendor COIs'!$P$4:$P$503,(_calc!$E$47-500))))=0,"",IF(LEN(INDEX('Vendor COIs'!$P$4:$P$503,(_calc!$E$47-500)))=0,"",INDEX('Vendor COIs'!$P$4:$P$503,(_calc!$E$47-500)))))))</f>
        <v/>
      </c>
      <c r="G45" s="46">
        <f>IF(_calc!$E$47="","",IF(_calc!$E$47&lt;=500,IF(LEN(INDEX('Our policies'!$R$4:$R$503,_calc!$E$47))=0,"",INDEX('Our policies'!$R$4:$R$503,_calc!$E$47)),IF(LEN(INDEX('Vendor COIs'!$O$4:$O$503,(_calc!$E$47-500)))=0,"",INDEX('Vendor COIs'!$O$4:$O$503,(_calc!$E$47-500)))))</f>
        <v/>
      </c>
      <c r="H45" s="46">
        <f>IF(_calc!$E$47="","",IF(_calc!$E$47&lt;=500,IF(LEN(INDEX('Our policies'!$G$4:$G$503,_calc!$E$47))=0,"",INDEX('Our policies'!$G$4:$G$503,_calc!$E$47)),""))</f>
        <v/>
      </c>
      <c r="I45" s="46">
        <f>IF(_calc!$E$47="","",IF(_calc!$E$47&lt;=500,IF(LEN(INDEX('Our policies'!$H$4:$H$503,_calc!$E$47))=0,"",INDEX('Our policies'!$H$4:$H$503,_calc!$E$47)),""))</f>
        <v/>
      </c>
      <c r="K45" s="46">
        <f>IF(_calc!$E$47="","",IF(_calc!$E$47&lt;=500,IF(LEN(INDEX('Our policies'!$P$4:$P$503,_calc!$E$47))=0,"",INDEX('Our policies'!$P$4:$P$503,_calc!$E$47)),IF(LEN(INDEX('Vendor COIs'!$N$4:$N$503,(_calc!$E$47-500)))=0,"",INDEX('Vendor COIs'!$N$4:$N$503,(_calc!$E$47-500)))))</f>
        <v/>
      </c>
    </row>
    <row r="46">
      <c r="A46" s="46">
        <f>IF(_calc!$E$48="","",IF(_calc!$E$48&lt;=500,IF(LEN(INDEX('Our policies'!$A$4:$A$503,_calc!$E$48))=0,"",INDEX('Our policies'!$A$4:$A$503,_calc!$E$48)),"COI – "&amp;IF(LEN(INDEX('Vendor COIs'!$A$4:$A$503,(_calc!$E$48-500)))=0,"",INDEX('Vendor COIs'!$A$4:$A$503,(_calc!$E$48-500)))&amp;" – "&amp;IF(LEN(INDEX('Vendor COIs'!$B$4:$B$503,(_calc!$E$48-500)))=0,"",INDEX('Vendor COIs'!$B$4:$B$503,(_calc!$E$48-500)))))</f>
        <v/>
      </c>
      <c r="B46" s="46">
        <f>IF(_calc!$E$48="","",IF(_calc!$E$48&lt;=500,IF(ISNUMBER(INDEX('Our policies'!$J$4:$J$503,_calc!$E$48)),TEXT(INDEX('Our policies'!$J$4:$J$503,_calc!$E$48),"yyyy-mm-dd"),""),IF(ISNUMBER(INDEX('Vendor COIs'!$H$4:$H$503,(_calc!$E$48-500))),TEXT(INDEX('Vendor COIs'!$H$4:$H$503,(_calc!$E$48-500)),"yyyy-mm-dd"),"")))</f>
        <v/>
      </c>
      <c r="C46" s="46">
        <f>IF(_calc!$E$48="","",IF(_calc!$E$48&lt;=500,"Insurance","Certificate of insurance"))</f>
        <v/>
      </c>
      <c r="D46" s="46">
        <f>IF(_calc!$E$48="","",IF(_calc!$E$48&lt;=500,IF(ISNUMBER(INDEX('Our policies'!$I$4:$I$503,_calc!$E$48)),TEXT(INDEX('Our policies'!$I$4:$I$503,_calc!$E$48),"yyyy-mm-dd"),""),""))</f>
        <v/>
      </c>
      <c r="E46" s="46">
        <f>IF(_calc!$E$48="","",IF(_calc!$E$48&lt;=500,IF(LEN(INDEX('Our policies'!$Q$4:$Q$503,_calc!$E$48))=0,"",INDEX('Our policies'!$Q$4:$Q$503,_calc!$E$48)),"Medium"))</f>
        <v/>
      </c>
      <c r="F46" s="46">
        <f>IF(_calc!$E$48="","",IF(_calc!$E$48&lt;=500,TRIM(IF(LEN(IF(LEN(INDEX('Our policies'!$B$4:$B$503,_calc!$E$48))=0,"",INDEX('Our policies'!$B$4:$B$503,_calc!$E$48)))=0,"","Cover: "&amp;IF(LEN(INDEX('Our policies'!$B$4:$B$503,_calc!$E$48))=0,"",INDEX('Our policies'!$B$4:$B$503,_calc!$E$48))&amp;". ")&amp;IF(LEN(IF(LEN(INDEX('Our policies'!$C$4:$C$503,_calc!$E$48))=0,"",INDEX('Our policies'!$C$4:$C$503,_calc!$E$48)))=0,"","Insurer: "&amp;IF(LEN(INDEX('Our policies'!$C$4:$C$503,_calc!$E$48))=0,"",INDEX('Our policies'!$C$4:$C$503,_calc!$E$48))&amp;". ")&amp;IF(LEN(IF(LEN(INDEX('Our policies'!$D$4:$D$503,_calc!$E$48))=0,"",INDEX('Our policies'!$D$4:$D$503,_calc!$E$48)))=0,"","Broker: "&amp;IF(LEN(INDEX('Our policies'!$D$4:$D$503,_calc!$E$48))=0,"",INDEX('Our policies'!$D$4:$D$503,_calc!$E$48))&amp;". ")&amp;IF(LEN(IF(LEN(INDEX('Our policies'!$E$4:$E$503,_calc!$E$48))=0,"",INDEX('Our policies'!$E$4:$E$503,_calc!$E$48)))=0,"","Policy no.: "&amp;IF(LEN(INDEX('Our policies'!$E$4:$E$503,_calc!$E$48))=0,"",INDEX('Our policies'!$E$4:$E$503,_calc!$E$48))&amp;". ")&amp;IF(LEN(IF(LEN(INDEX('Our policies'!$S$4:$S$503,_calc!$E$48))=0,"",INDEX('Our policies'!$S$4:$S$503,_calc!$E$48)))=0,"",IF(LEN(INDEX('Our policies'!$S$4:$S$503,_calc!$E$48))=0,"",INDEX('Our policies'!$S$4:$S$503,_calc!$E$48)))),TRIM(IF(LEN(IF(LEN(INDEX('Vendor COIs'!$C$4:$C$503,(_calc!$E$48-500)))=0,"",INDEX('Vendor COIs'!$C$4:$C$503,(_calc!$E$48-500))))=0,"","Insurer: "&amp;IF(LEN(INDEX('Vendor COIs'!$C$4:$C$503,(_calc!$E$48-500)))=0,"",INDEX('Vendor COIs'!$C$4:$C$503,(_calc!$E$48-500)))&amp;". ")&amp;IF(LEN(IF(LEN(INDEX('Vendor COIs'!$D$4:$D$503,(_calc!$E$48-500)))=0,"",INDEX('Vendor COIs'!$D$4:$D$503,(_calc!$E$48-500))))=0,"","Policy no.: "&amp;IF(LEN(INDEX('Vendor COIs'!$D$4:$D$503,(_calc!$E$48-500)))=0,"",INDEX('Vendor COIs'!$D$4:$D$503,(_calc!$E$48-500)))&amp;". ")&amp;IF(LEN(IF(LEN(INDEX('Vendor COIs'!$F$4:$F$503,(_calc!$E$48-500)))=0,"",INDEX('Vendor COIs'!$F$4:$F$503,(_calc!$E$48-500))))=0,"","Meets minimum: "&amp;IF(LEN(INDEX('Vendor COIs'!$F$4:$F$503,(_calc!$E$48-500)))=0,"",INDEX('Vendor COIs'!$F$4:$F$503,(_calc!$E$48-500)))&amp;". ")&amp;IF(LEN(IF(LEN(INDEX('Vendor COIs'!$G$4:$G$503,(_calc!$E$48-500)))=0,"",INDEX('Vendor COIs'!$G$4:$G$503,(_calc!$E$48-500))))=0,"","Additional insured: "&amp;IF(LEN(INDEX('Vendor COIs'!$G$4:$G$503,(_calc!$E$48-500)))=0,"",INDEX('Vendor COIs'!$G$4:$G$503,(_calc!$E$48-500)))&amp;". ")&amp;IF(LEN(IF(LEN(INDEX('Vendor COIs'!$M$4:$M$503,(_calc!$E$48-500)))=0,"",INDEX('Vendor COIs'!$M$4:$M$503,(_calc!$E$48-500))))=0,"","Vendor contact: "&amp;IF(LEN(INDEX('Vendor COIs'!$M$4:$M$503,(_calc!$E$48-500)))=0,"",INDEX('Vendor COIs'!$M$4:$M$503,(_calc!$E$48-500)))&amp;". ")&amp;IF(LEN(IF(LEN(INDEX('Vendor COIs'!$P$4:$P$503,(_calc!$E$48-500)))=0,"",INDEX('Vendor COIs'!$P$4:$P$503,(_calc!$E$48-500))))=0,"",IF(LEN(INDEX('Vendor COIs'!$P$4:$P$503,(_calc!$E$48-500)))=0,"",INDEX('Vendor COIs'!$P$4:$P$503,(_calc!$E$48-500)))))))</f>
        <v/>
      </c>
      <c r="G46" s="46">
        <f>IF(_calc!$E$48="","",IF(_calc!$E$48&lt;=500,IF(LEN(INDEX('Our policies'!$R$4:$R$503,_calc!$E$48))=0,"",INDEX('Our policies'!$R$4:$R$503,_calc!$E$48)),IF(LEN(INDEX('Vendor COIs'!$O$4:$O$503,(_calc!$E$48-500)))=0,"",INDEX('Vendor COIs'!$O$4:$O$503,(_calc!$E$48-500)))))</f>
        <v/>
      </c>
      <c r="H46" s="46">
        <f>IF(_calc!$E$48="","",IF(_calc!$E$48&lt;=500,IF(LEN(INDEX('Our policies'!$G$4:$G$503,_calc!$E$48))=0,"",INDEX('Our policies'!$G$4:$G$503,_calc!$E$48)),""))</f>
        <v/>
      </c>
      <c r="I46" s="46">
        <f>IF(_calc!$E$48="","",IF(_calc!$E$48&lt;=500,IF(LEN(INDEX('Our policies'!$H$4:$H$503,_calc!$E$48))=0,"",INDEX('Our policies'!$H$4:$H$503,_calc!$E$48)),""))</f>
        <v/>
      </c>
      <c r="K46" s="46">
        <f>IF(_calc!$E$48="","",IF(_calc!$E$48&lt;=500,IF(LEN(INDEX('Our policies'!$P$4:$P$503,_calc!$E$48))=0,"",INDEX('Our policies'!$P$4:$P$503,_calc!$E$48)),IF(LEN(INDEX('Vendor COIs'!$N$4:$N$503,(_calc!$E$48-500)))=0,"",INDEX('Vendor COIs'!$N$4:$N$503,(_calc!$E$48-500)))))</f>
        <v/>
      </c>
    </row>
    <row r="47">
      <c r="A47" s="46">
        <f>IF(_calc!$E$49="","",IF(_calc!$E$49&lt;=500,IF(LEN(INDEX('Our policies'!$A$4:$A$503,_calc!$E$49))=0,"",INDEX('Our policies'!$A$4:$A$503,_calc!$E$49)),"COI – "&amp;IF(LEN(INDEX('Vendor COIs'!$A$4:$A$503,(_calc!$E$49-500)))=0,"",INDEX('Vendor COIs'!$A$4:$A$503,(_calc!$E$49-500)))&amp;" – "&amp;IF(LEN(INDEX('Vendor COIs'!$B$4:$B$503,(_calc!$E$49-500)))=0,"",INDEX('Vendor COIs'!$B$4:$B$503,(_calc!$E$49-500)))))</f>
        <v/>
      </c>
      <c r="B47" s="46">
        <f>IF(_calc!$E$49="","",IF(_calc!$E$49&lt;=500,IF(ISNUMBER(INDEX('Our policies'!$J$4:$J$503,_calc!$E$49)),TEXT(INDEX('Our policies'!$J$4:$J$503,_calc!$E$49),"yyyy-mm-dd"),""),IF(ISNUMBER(INDEX('Vendor COIs'!$H$4:$H$503,(_calc!$E$49-500))),TEXT(INDEX('Vendor COIs'!$H$4:$H$503,(_calc!$E$49-500)),"yyyy-mm-dd"),"")))</f>
        <v/>
      </c>
      <c r="C47" s="46">
        <f>IF(_calc!$E$49="","",IF(_calc!$E$49&lt;=500,"Insurance","Certificate of insurance"))</f>
        <v/>
      </c>
      <c r="D47" s="46">
        <f>IF(_calc!$E$49="","",IF(_calc!$E$49&lt;=500,IF(ISNUMBER(INDEX('Our policies'!$I$4:$I$503,_calc!$E$49)),TEXT(INDEX('Our policies'!$I$4:$I$503,_calc!$E$49),"yyyy-mm-dd"),""),""))</f>
        <v/>
      </c>
      <c r="E47" s="46">
        <f>IF(_calc!$E$49="","",IF(_calc!$E$49&lt;=500,IF(LEN(INDEX('Our policies'!$Q$4:$Q$503,_calc!$E$49))=0,"",INDEX('Our policies'!$Q$4:$Q$503,_calc!$E$49)),"Medium"))</f>
        <v/>
      </c>
      <c r="F47" s="46">
        <f>IF(_calc!$E$49="","",IF(_calc!$E$49&lt;=500,TRIM(IF(LEN(IF(LEN(INDEX('Our policies'!$B$4:$B$503,_calc!$E$49))=0,"",INDEX('Our policies'!$B$4:$B$503,_calc!$E$49)))=0,"","Cover: "&amp;IF(LEN(INDEX('Our policies'!$B$4:$B$503,_calc!$E$49))=0,"",INDEX('Our policies'!$B$4:$B$503,_calc!$E$49))&amp;". ")&amp;IF(LEN(IF(LEN(INDEX('Our policies'!$C$4:$C$503,_calc!$E$49))=0,"",INDEX('Our policies'!$C$4:$C$503,_calc!$E$49)))=0,"","Insurer: "&amp;IF(LEN(INDEX('Our policies'!$C$4:$C$503,_calc!$E$49))=0,"",INDEX('Our policies'!$C$4:$C$503,_calc!$E$49))&amp;". ")&amp;IF(LEN(IF(LEN(INDEX('Our policies'!$D$4:$D$503,_calc!$E$49))=0,"",INDEX('Our policies'!$D$4:$D$503,_calc!$E$49)))=0,"","Broker: "&amp;IF(LEN(INDEX('Our policies'!$D$4:$D$503,_calc!$E$49))=0,"",INDEX('Our policies'!$D$4:$D$503,_calc!$E$49))&amp;". ")&amp;IF(LEN(IF(LEN(INDEX('Our policies'!$E$4:$E$503,_calc!$E$49))=0,"",INDEX('Our policies'!$E$4:$E$503,_calc!$E$49)))=0,"","Policy no.: "&amp;IF(LEN(INDEX('Our policies'!$E$4:$E$503,_calc!$E$49))=0,"",INDEX('Our policies'!$E$4:$E$503,_calc!$E$49))&amp;". ")&amp;IF(LEN(IF(LEN(INDEX('Our policies'!$S$4:$S$503,_calc!$E$49))=0,"",INDEX('Our policies'!$S$4:$S$503,_calc!$E$49)))=0,"",IF(LEN(INDEX('Our policies'!$S$4:$S$503,_calc!$E$49))=0,"",INDEX('Our policies'!$S$4:$S$503,_calc!$E$49)))),TRIM(IF(LEN(IF(LEN(INDEX('Vendor COIs'!$C$4:$C$503,(_calc!$E$49-500)))=0,"",INDEX('Vendor COIs'!$C$4:$C$503,(_calc!$E$49-500))))=0,"","Insurer: "&amp;IF(LEN(INDEX('Vendor COIs'!$C$4:$C$503,(_calc!$E$49-500)))=0,"",INDEX('Vendor COIs'!$C$4:$C$503,(_calc!$E$49-500)))&amp;". ")&amp;IF(LEN(IF(LEN(INDEX('Vendor COIs'!$D$4:$D$503,(_calc!$E$49-500)))=0,"",INDEX('Vendor COIs'!$D$4:$D$503,(_calc!$E$49-500))))=0,"","Policy no.: "&amp;IF(LEN(INDEX('Vendor COIs'!$D$4:$D$503,(_calc!$E$49-500)))=0,"",INDEX('Vendor COIs'!$D$4:$D$503,(_calc!$E$49-500)))&amp;". ")&amp;IF(LEN(IF(LEN(INDEX('Vendor COIs'!$F$4:$F$503,(_calc!$E$49-500)))=0,"",INDEX('Vendor COIs'!$F$4:$F$503,(_calc!$E$49-500))))=0,"","Meets minimum: "&amp;IF(LEN(INDEX('Vendor COIs'!$F$4:$F$503,(_calc!$E$49-500)))=0,"",INDEX('Vendor COIs'!$F$4:$F$503,(_calc!$E$49-500)))&amp;". ")&amp;IF(LEN(IF(LEN(INDEX('Vendor COIs'!$G$4:$G$503,(_calc!$E$49-500)))=0,"",INDEX('Vendor COIs'!$G$4:$G$503,(_calc!$E$49-500))))=0,"","Additional insured: "&amp;IF(LEN(INDEX('Vendor COIs'!$G$4:$G$503,(_calc!$E$49-500)))=0,"",INDEX('Vendor COIs'!$G$4:$G$503,(_calc!$E$49-500)))&amp;". ")&amp;IF(LEN(IF(LEN(INDEX('Vendor COIs'!$M$4:$M$503,(_calc!$E$49-500)))=0,"",INDEX('Vendor COIs'!$M$4:$M$503,(_calc!$E$49-500))))=0,"","Vendor contact: "&amp;IF(LEN(INDEX('Vendor COIs'!$M$4:$M$503,(_calc!$E$49-500)))=0,"",INDEX('Vendor COIs'!$M$4:$M$503,(_calc!$E$49-500)))&amp;". ")&amp;IF(LEN(IF(LEN(INDEX('Vendor COIs'!$P$4:$P$503,(_calc!$E$49-500)))=0,"",INDEX('Vendor COIs'!$P$4:$P$503,(_calc!$E$49-500))))=0,"",IF(LEN(INDEX('Vendor COIs'!$P$4:$P$503,(_calc!$E$49-500)))=0,"",INDEX('Vendor COIs'!$P$4:$P$503,(_calc!$E$49-500)))))))</f>
        <v/>
      </c>
      <c r="G47" s="46">
        <f>IF(_calc!$E$49="","",IF(_calc!$E$49&lt;=500,IF(LEN(INDEX('Our policies'!$R$4:$R$503,_calc!$E$49))=0,"",INDEX('Our policies'!$R$4:$R$503,_calc!$E$49)),IF(LEN(INDEX('Vendor COIs'!$O$4:$O$503,(_calc!$E$49-500)))=0,"",INDEX('Vendor COIs'!$O$4:$O$503,(_calc!$E$49-500)))))</f>
        <v/>
      </c>
      <c r="H47" s="46">
        <f>IF(_calc!$E$49="","",IF(_calc!$E$49&lt;=500,IF(LEN(INDEX('Our policies'!$G$4:$G$503,_calc!$E$49))=0,"",INDEX('Our policies'!$G$4:$G$503,_calc!$E$49)),""))</f>
        <v/>
      </c>
      <c r="I47" s="46">
        <f>IF(_calc!$E$49="","",IF(_calc!$E$49&lt;=500,IF(LEN(INDEX('Our policies'!$H$4:$H$503,_calc!$E$49))=0,"",INDEX('Our policies'!$H$4:$H$503,_calc!$E$49)),""))</f>
        <v/>
      </c>
      <c r="K47" s="46">
        <f>IF(_calc!$E$49="","",IF(_calc!$E$49&lt;=500,IF(LEN(INDEX('Our policies'!$P$4:$P$503,_calc!$E$49))=0,"",INDEX('Our policies'!$P$4:$P$503,_calc!$E$49)),IF(LEN(INDEX('Vendor COIs'!$N$4:$N$503,(_calc!$E$49-500)))=0,"",INDEX('Vendor COIs'!$N$4:$N$503,(_calc!$E$49-500)))))</f>
        <v/>
      </c>
    </row>
    <row r="48">
      <c r="A48" s="46">
        <f>IF(_calc!$E$50="","",IF(_calc!$E$50&lt;=500,IF(LEN(INDEX('Our policies'!$A$4:$A$503,_calc!$E$50))=0,"",INDEX('Our policies'!$A$4:$A$503,_calc!$E$50)),"COI – "&amp;IF(LEN(INDEX('Vendor COIs'!$A$4:$A$503,(_calc!$E$50-500)))=0,"",INDEX('Vendor COIs'!$A$4:$A$503,(_calc!$E$50-500)))&amp;" – "&amp;IF(LEN(INDEX('Vendor COIs'!$B$4:$B$503,(_calc!$E$50-500)))=0,"",INDEX('Vendor COIs'!$B$4:$B$503,(_calc!$E$50-500)))))</f>
        <v/>
      </c>
      <c r="B48" s="46">
        <f>IF(_calc!$E$50="","",IF(_calc!$E$50&lt;=500,IF(ISNUMBER(INDEX('Our policies'!$J$4:$J$503,_calc!$E$50)),TEXT(INDEX('Our policies'!$J$4:$J$503,_calc!$E$50),"yyyy-mm-dd"),""),IF(ISNUMBER(INDEX('Vendor COIs'!$H$4:$H$503,(_calc!$E$50-500))),TEXT(INDEX('Vendor COIs'!$H$4:$H$503,(_calc!$E$50-500)),"yyyy-mm-dd"),"")))</f>
        <v/>
      </c>
      <c r="C48" s="46">
        <f>IF(_calc!$E$50="","",IF(_calc!$E$50&lt;=500,"Insurance","Certificate of insurance"))</f>
        <v/>
      </c>
      <c r="D48" s="46">
        <f>IF(_calc!$E$50="","",IF(_calc!$E$50&lt;=500,IF(ISNUMBER(INDEX('Our policies'!$I$4:$I$503,_calc!$E$50)),TEXT(INDEX('Our policies'!$I$4:$I$503,_calc!$E$50),"yyyy-mm-dd"),""),""))</f>
        <v/>
      </c>
      <c r="E48" s="46">
        <f>IF(_calc!$E$50="","",IF(_calc!$E$50&lt;=500,IF(LEN(INDEX('Our policies'!$Q$4:$Q$503,_calc!$E$50))=0,"",INDEX('Our policies'!$Q$4:$Q$503,_calc!$E$50)),"Medium"))</f>
        <v/>
      </c>
      <c r="F48" s="46">
        <f>IF(_calc!$E$50="","",IF(_calc!$E$50&lt;=500,TRIM(IF(LEN(IF(LEN(INDEX('Our policies'!$B$4:$B$503,_calc!$E$50))=0,"",INDEX('Our policies'!$B$4:$B$503,_calc!$E$50)))=0,"","Cover: "&amp;IF(LEN(INDEX('Our policies'!$B$4:$B$503,_calc!$E$50))=0,"",INDEX('Our policies'!$B$4:$B$503,_calc!$E$50))&amp;". ")&amp;IF(LEN(IF(LEN(INDEX('Our policies'!$C$4:$C$503,_calc!$E$50))=0,"",INDEX('Our policies'!$C$4:$C$503,_calc!$E$50)))=0,"","Insurer: "&amp;IF(LEN(INDEX('Our policies'!$C$4:$C$503,_calc!$E$50))=0,"",INDEX('Our policies'!$C$4:$C$503,_calc!$E$50))&amp;". ")&amp;IF(LEN(IF(LEN(INDEX('Our policies'!$D$4:$D$503,_calc!$E$50))=0,"",INDEX('Our policies'!$D$4:$D$503,_calc!$E$50)))=0,"","Broker: "&amp;IF(LEN(INDEX('Our policies'!$D$4:$D$503,_calc!$E$50))=0,"",INDEX('Our policies'!$D$4:$D$503,_calc!$E$50))&amp;". ")&amp;IF(LEN(IF(LEN(INDEX('Our policies'!$E$4:$E$503,_calc!$E$50))=0,"",INDEX('Our policies'!$E$4:$E$503,_calc!$E$50)))=0,"","Policy no.: "&amp;IF(LEN(INDEX('Our policies'!$E$4:$E$503,_calc!$E$50))=0,"",INDEX('Our policies'!$E$4:$E$503,_calc!$E$50))&amp;". ")&amp;IF(LEN(IF(LEN(INDEX('Our policies'!$S$4:$S$503,_calc!$E$50))=0,"",INDEX('Our policies'!$S$4:$S$503,_calc!$E$50)))=0,"",IF(LEN(INDEX('Our policies'!$S$4:$S$503,_calc!$E$50))=0,"",INDEX('Our policies'!$S$4:$S$503,_calc!$E$50)))),TRIM(IF(LEN(IF(LEN(INDEX('Vendor COIs'!$C$4:$C$503,(_calc!$E$50-500)))=0,"",INDEX('Vendor COIs'!$C$4:$C$503,(_calc!$E$50-500))))=0,"","Insurer: "&amp;IF(LEN(INDEX('Vendor COIs'!$C$4:$C$503,(_calc!$E$50-500)))=0,"",INDEX('Vendor COIs'!$C$4:$C$503,(_calc!$E$50-500)))&amp;". ")&amp;IF(LEN(IF(LEN(INDEX('Vendor COIs'!$D$4:$D$503,(_calc!$E$50-500)))=0,"",INDEX('Vendor COIs'!$D$4:$D$503,(_calc!$E$50-500))))=0,"","Policy no.: "&amp;IF(LEN(INDEX('Vendor COIs'!$D$4:$D$503,(_calc!$E$50-500)))=0,"",INDEX('Vendor COIs'!$D$4:$D$503,(_calc!$E$50-500)))&amp;". ")&amp;IF(LEN(IF(LEN(INDEX('Vendor COIs'!$F$4:$F$503,(_calc!$E$50-500)))=0,"",INDEX('Vendor COIs'!$F$4:$F$503,(_calc!$E$50-500))))=0,"","Meets minimum: "&amp;IF(LEN(INDEX('Vendor COIs'!$F$4:$F$503,(_calc!$E$50-500)))=0,"",INDEX('Vendor COIs'!$F$4:$F$503,(_calc!$E$50-500)))&amp;". ")&amp;IF(LEN(IF(LEN(INDEX('Vendor COIs'!$G$4:$G$503,(_calc!$E$50-500)))=0,"",INDEX('Vendor COIs'!$G$4:$G$503,(_calc!$E$50-500))))=0,"","Additional insured: "&amp;IF(LEN(INDEX('Vendor COIs'!$G$4:$G$503,(_calc!$E$50-500)))=0,"",INDEX('Vendor COIs'!$G$4:$G$503,(_calc!$E$50-500)))&amp;". ")&amp;IF(LEN(IF(LEN(INDEX('Vendor COIs'!$M$4:$M$503,(_calc!$E$50-500)))=0,"",INDEX('Vendor COIs'!$M$4:$M$503,(_calc!$E$50-500))))=0,"","Vendor contact: "&amp;IF(LEN(INDEX('Vendor COIs'!$M$4:$M$503,(_calc!$E$50-500)))=0,"",INDEX('Vendor COIs'!$M$4:$M$503,(_calc!$E$50-500)))&amp;". ")&amp;IF(LEN(IF(LEN(INDEX('Vendor COIs'!$P$4:$P$503,(_calc!$E$50-500)))=0,"",INDEX('Vendor COIs'!$P$4:$P$503,(_calc!$E$50-500))))=0,"",IF(LEN(INDEX('Vendor COIs'!$P$4:$P$503,(_calc!$E$50-500)))=0,"",INDEX('Vendor COIs'!$P$4:$P$503,(_calc!$E$50-500)))))))</f>
        <v/>
      </c>
      <c r="G48" s="46">
        <f>IF(_calc!$E$50="","",IF(_calc!$E$50&lt;=500,IF(LEN(INDEX('Our policies'!$R$4:$R$503,_calc!$E$50))=0,"",INDEX('Our policies'!$R$4:$R$503,_calc!$E$50)),IF(LEN(INDEX('Vendor COIs'!$O$4:$O$503,(_calc!$E$50-500)))=0,"",INDEX('Vendor COIs'!$O$4:$O$503,(_calc!$E$50-500)))))</f>
        <v/>
      </c>
      <c r="H48" s="46">
        <f>IF(_calc!$E$50="","",IF(_calc!$E$50&lt;=500,IF(LEN(INDEX('Our policies'!$G$4:$G$503,_calc!$E$50))=0,"",INDEX('Our policies'!$G$4:$G$503,_calc!$E$50)),""))</f>
        <v/>
      </c>
      <c r="I48" s="46">
        <f>IF(_calc!$E$50="","",IF(_calc!$E$50&lt;=500,IF(LEN(INDEX('Our policies'!$H$4:$H$503,_calc!$E$50))=0,"",INDEX('Our policies'!$H$4:$H$503,_calc!$E$50)),""))</f>
        <v/>
      </c>
      <c r="K48" s="46">
        <f>IF(_calc!$E$50="","",IF(_calc!$E$50&lt;=500,IF(LEN(INDEX('Our policies'!$P$4:$P$503,_calc!$E$50))=0,"",INDEX('Our policies'!$P$4:$P$503,_calc!$E$50)),IF(LEN(INDEX('Vendor COIs'!$N$4:$N$503,(_calc!$E$50-500)))=0,"",INDEX('Vendor COIs'!$N$4:$N$503,(_calc!$E$50-500)))))</f>
        <v/>
      </c>
    </row>
    <row r="49">
      <c r="A49" s="46">
        <f>IF(_calc!$E$51="","",IF(_calc!$E$51&lt;=500,IF(LEN(INDEX('Our policies'!$A$4:$A$503,_calc!$E$51))=0,"",INDEX('Our policies'!$A$4:$A$503,_calc!$E$51)),"COI – "&amp;IF(LEN(INDEX('Vendor COIs'!$A$4:$A$503,(_calc!$E$51-500)))=0,"",INDEX('Vendor COIs'!$A$4:$A$503,(_calc!$E$51-500)))&amp;" – "&amp;IF(LEN(INDEX('Vendor COIs'!$B$4:$B$503,(_calc!$E$51-500)))=0,"",INDEX('Vendor COIs'!$B$4:$B$503,(_calc!$E$51-500)))))</f>
        <v/>
      </c>
      <c r="B49" s="46">
        <f>IF(_calc!$E$51="","",IF(_calc!$E$51&lt;=500,IF(ISNUMBER(INDEX('Our policies'!$J$4:$J$503,_calc!$E$51)),TEXT(INDEX('Our policies'!$J$4:$J$503,_calc!$E$51),"yyyy-mm-dd"),""),IF(ISNUMBER(INDEX('Vendor COIs'!$H$4:$H$503,(_calc!$E$51-500))),TEXT(INDEX('Vendor COIs'!$H$4:$H$503,(_calc!$E$51-500)),"yyyy-mm-dd"),"")))</f>
        <v/>
      </c>
      <c r="C49" s="46">
        <f>IF(_calc!$E$51="","",IF(_calc!$E$51&lt;=500,"Insurance","Certificate of insurance"))</f>
        <v/>
      </c>
      <c r="D49" s="46">
        <f>IF(_calc!$E$51="","",IF(_calc!$E$51&lt;=500,IF(ISNUMBER(INDEX('Our policies'!$I$4:$I$503,_calc!$E$51)),TEXT(INDEX('Our policies'!$I$4:$I$503,_calc!$E$51),"yyyy-mm-dd"),""),""))</f>
        <v/>
      </c>
      <c r="E49" s="46">
        <f>IF(_calc!$E$51="","",IF(_calc!$E$51&lt;=500,IF(LEN(INDEX('Our policies'!$Q$4:$Q$503,_calc!$E$51))=0,"",INDEX('Our policies'!$Q$4:$Q$503,_calc!$E$51)),"Medium"))</f>
        <v/>
      </c>
      <c r="F49" s="46">
        <f>IF(_calc!$E$51="","",IF(_calc!$E$51&lt;=500,TRIM(IF(LEN(IF(LEN(INDEX('Our policies'!$B$4:$B$503,_calc!$E$51))=0,"",INDEX('Our policies'!$B$4:$B$503,_calc!$E$51)))=0,"","Cover: "&amp;IF(LEN(INDEX('Our policies'!$B$4:$B$503,_calc!$E$51))=0,"",INDEX('Our policies'!$B$4:$B$503,_calc!$E$51))&amp;". ")&amp;IF(LEN(IF(LEN(INDEX('Our policies'!$C$4:$C$503,_calc!$E$51))=0,"",INDEX('Our policies'!$C$4:$C$503,_calc!$E$51)))=0,"","Insurer: "&amp;IF(LEN(INDEX('Our policies'!$C$4:$C$503,_calc!$E$51))=0,"",INDEX('Our policies'!$C$4:$C$503,_calc!$E$51))&amp;". ")&amp;IF(LEN(IF(LEN(INDEX('Our policies'!$D$4:$D$503,_calc!$E$51))=0,"",INDEX('Our policies'!$D$4:$D$503,_calc!$E$51)))=0,"","Broker: "&amp;IF(LEN(INDEX('Our policies'!$D$4:$D$503,_calc!$E$51))=0,"",INDEX('Our policies'!$D$4:$D$503,_calc!$E$51))&amp;". ")&amp;IF(LEN(IF(LEN(INDEX('Our policies'!$E$4:$E$503,_calc!$E$51))=0,"",INDEX('Our policies'!$E$4:$E$503,_calc!$E$51)))=0,"","Policy no.: "&amp;IF(LEN(INDEX('Our policies'!$E$4:$E$503,_calc!$E$51))=0,"",INDEX('Our policies'!$E$4:$E$503,_calc!$E$51))&amp;". ")&amp;IF(LEN(IF(LEN(INDEX('Our policies'!$S$4:$S$503,_calc!$E$51))=0,"",INDEX('Our policies'!$S$4:$S$503,_calc!$E$51)))=0,"",IF(LEN(INDEX('Our policies'!$S$4:$S$503,_calc!$E$51))=0,"",INDEX('Our policies'!$S$4:$S$503,_calc!$E$51)))),TRIM(IF(LEN(IF(LEN(INDEX('Vendor COIs'!$C$4:$C$503,(_calc!$E$51-500)))=0,"",INDEX('Vendor COIs'!$C$4:$C$503,(_calc!$E$51-500))))=0,"","Insurer: "&amp;IF(LEN(INDEX('Vendor COIs'!$C$4:$C$503,(_calc!$E$51-500)))=0,"",INDEX('Vendor COIs'!$C$4:$C$503,(_calc!$E$51-500)))&amp;". ")&amp;IF(LEN(IF(LEN(INDEX('Vendor COIs'!$D$4:$D$503,(_calc!$E$51-500)))=0,"",INDEX('Vendor COIs'!$D$4:$D$503,(_calc!$E$51-500))))=0,"","Policy no.: "&amp;IF(LEN(INDEX('Vendor COIs'!$D$4:$D$503,(_calc!$E$51-500)))=0,"",INDEX('Vendor COIs'!$D$4:$D$503,(_calc!$E$51-500)))&amp;". ")&amp;IF(LEN(IF(LEN(INDEX('Vendor COIs'!$F$4:$F$503,(_calc!$E$51-500)))=0,"",INDEX('Vendor COIs'!$F$4:$F$503,(_calc!$E$51-500))))=0,"","Meets minimum: "&amp;IF(LEN(INDEX('Vendor COIs'!$F$4:$F$503,(_calc!$E$51-500)))=0,"",INDEX('Vendor COIs'!$F$4:$F$503,(_calc!$E$51-500)))&amp;". ")&amp;IF(LEN(IF(LEN(INDEX('Vendor COIs'!$G$4:$G$503,(_calc!$E$51-500)))=0,"",INDEX('Vendor COIs'!$G$4:$G$503,(_calc!$E$51-500))))=0,"","Additional insured: "&amp;IF(LEN(INDEX('Vendor COIs'!$G$4:$G$503,(_calc!$E$51-500)))=0,"",INDEX('Vendor COIs'!$G$4:$G$503,(_calc!$E$51-500)))&amp;". ")&amp;IF(LEN(IF(LEN(INDEX('Vendor COIs'!$M$4:$M$503,(_calc!$E$51-500)))=0,"",INDEX('Vendor COIs'!$M$4:$M$503,(_calc!$E$51-500))))=0,"","Vendor contact: "&amp;IF(LEN(INDEX('Vendor COIs'!$M$4:$M$503,(_calc!$E$51-500)))=0,"",INDEX('Vendor COIs'!$M$4:$M$503,(_calc!$E$51-500)))&amp;". ")&amp;IF(LEN(IF(LEN(INDEX('Vendor COIs'!$P$4:$P$503,(_calc!$E$51-500)))=0,"",INDEX('Vendor COIs'!$P$4:$P$503,(_calc!$E$51-500))))=0,"",IF(LEN(INDEX('Vendor COIs'!$P$4:$P$503,(_calc!$E$51-500)))=0,"",INDEX('Vendor COIs'!$P$4:$P$503,(_calc!$E$51-500)))))))</f>
        <v/>
      </c>
      <c r="G49" s="46">
        <f>IF(_calc!$E$51="","",IF(_calc!$E$51&lt;=500,IF(LEN(INDEX('Our policies'!$R$4:$R$503,_calc!$E$51))=0,"",INDEX('Our policies'!$R$4:$R$503,_calc!$E$51)),IF(LEN(INDEX('Vendor COIs'!$O$4:$O$503,(_calc!$E$51-500)))=0,"",INDEX('Vendor COIs'!$O$4:$O$503,(_calc!$E$51-500)))))</f>
        <v/>
      </c>
      <c r="H49" s="46">
        <f>IF(_calc!$E$51="","",IF(_calc!$E$51&lt;=500,IF(LEN(INDEX('Our policies'!$G$4:$G$503,_calc!$E$51))=0,"",INDEX('Our policies'!$G$4:$G$503,_calc!$E$51)),""))</f>
        <v/>
      </c>
      <c r="I49" s="46">
        <f>IF(_calc!$E$51="","",IF(_calc!$E$51&lt;=500,IF(LEN(INDEX('Our policies'!$H$4:$H$503,_calc!$E$51))=0,"",INDEX('Our policies'!$H$4:$H$503,_calc!$E$51)),""))</f>
        <v/>
      </c>
      <c r="K49" s="46">
        <f>IF(_calc!$E$51="","",IF(_calc!$E$51&lt;=500,IF(LEN(INDEX('Our policies'!$P$4:$P$503,_calc!$E$51))=0,"",INDEX('Our policies'!$P$4:$P$503,_calc!$E$51)),IF(LEN(INDEX('Vendor COIs'!$N$4:$N$503,(_calc!$E$51-500)))=0,"",INDEX('Vendor COIs'!$N$4:$N$503,(_calc!$E$51-500)))))</f>
        <v/>
      </c>
    </row>
    <row r="50">
      <c r="A50" s="46">
        <f>IF(_calc!$E$52="","",IF(_calc!$E$52&lt;=500,IF(LEN(INDEX('Our policies'!$A$4:$A$503,_calc!$E$52))=0,"",INDEX('Our policies'!$A$4:$A$503,_calc!$E$52)),"COI – "&amp;IF(LEN(INDEX('Vendor COIs'!$A$4:$A$503,(_calc!$E$52-500)))=0,"",INDEX('Vendor COIs'!$A$4:$A$503,(_calc!$E$52-500)))&amp;" – "&amp;IF(LEN(INDEX('Vendor COIs'!$B$4:$B$503,(_calc!$E$52-500)))=0,"",INDEX('Vendor COIs'!$B$4:$B$503,(_calc!$E$52-500)))))</f>
        <v/>
      </c>
      <c r="B50" s="46">
        <f>IF(_calc!$E$52="","",IF(_calc!$E$52&lt;=500,IF(ISNUMBER(INDEX('Our policies'!$J$4:$J$503,_calc!$E$52)),TEXT(INDEX('Our policies'!$J$4:$J$503,_calc!$E$52),"yyyy-mm-dd"),""),IF(ISNUMBER(INDEX('Vendor COIs'!$H$4:$H$503,(_calc!$E$52-500))),TEXT(INDEX('Vendor COIs'!$H$4:$H$503,(_calc!$E$52-500)),"yyyy-mm-dd"),"")))</f>
        <v/>
      </c>
      <c r="C50" s="46">
        <f>IF(_calc!$E$52="","",IF(_calc!$E$52&lt;=500,"Insurance","Certificate of insurance"))</f>
        <v/>
      </c>
      <c r="D50" s="46">
        <f>IF(_calc!$E$52="","",IF(_calc!$E$52&lt;=500,IF(ISNUMBER(INDEX('Our policies'!$I$4:$I$503,_calc!$E$52)),TEXT(INDEX('Our policies'!$I$4:$I$503,_calc!$E$52),"yyyy-mm-dd"),""),""))</f>
        <v/>
      </c>
      <c r="E50" s="46">
        <f>IF(_calc!$E$52="","",IF(_calc!$E$52&lt;=500,IF(LEN(INDEX('Our policies'!$Q$4:$Q$503,_calc!$E$52))=0,"",INDEX('Our policies'!$Q$4:$Q$503,_calc!$E$52)),"Medium"))</f>
        <v/>
      </c>
      <c r="F50" s="46">
        <f>IF(_calc!$E$52="","",IF(_calc!$E$52&lt;=500,TRIM(IF(LEN(IF(LEN(INDEX('Our policies'!$B$4:$B$503,_calc!$E$52))=0,"",INDEX('Our policies'!$B$4:$B$503,_calc!$E$52)))=0,"","Cover: "&amp;IF(LEN(INDEX('Our policies'!$B$4:$B$503,_calc!$E$52))=0,"",INDEX('Our policies'!$B$4:$B$503,_calc!$E$52))&amp;". ")&amp;IF(LEN(IF(LEN(INDEX('Our policies'!$C$4:$C$503,_calc!$E$52))=0,"",INDEX('Our policies'!$C$4:$C$503,_calc!$E$52)))=0,"","Insurer: "&amp;IF(LEN(INDEX('Our policies'!$C$4:$C$503,_calc!$E$52))=0,"",INDEX('Our policies'!$C$4:$C$503,_calc!$E$52))&amp;". ")&amp;IF(LEN(IF(LEN(INDEX('Our policies'!$D$4:$D$503,_calc!$E$52))=0,"",INDEX('Our policies'!$D$4:$D$503,_calc!$E$52)))=0,"","Broker: "&amp;IF(LEN(INDEX('Our policies'!$D$4:$D$503,_calc!$E$52))=0,"",INDEX('Our policies'!$D$4:$D$503,_calc!$E$52))&amp;". ")&amp;IF(LEN(IF(LEN(INDEX('Our policies'!$E$4:$E$503,_calc!$E$52))=0,"",INDEX('Our policies'!$E$4:$E$503,_calc!$E$52)))=0,"","Policy no.: "&amp;IF(LEN(INDEX('Our policies'!$E$4:$E$503,_calc!$E$52))=0,"",INDEX('Our policies'!$E$4:$E$503,_calc!$E$52))&amp;". ")&amp;IF(LEN(IF(LEN(INDEX('Our policies'!$S$4:$S$503,_calc!$E$52))=0,"",INDEX('Our policies'!$S$4:$S$503,_calc!$E$52)))=0,"",IF(LEN(INDEX('Our policies'!$S$4:$S$503,_calc!$E$52))=0,"",INDEX('Our policies'!$S$4:$S$503,_calc!$E$52)))),TRIM(IF(LEN(IF(LEN(INDEX('Vendor COIs'!$C$4:$C$503,(_calc!$E$52-500)))=0,"",INDEX('Vendor COIs'!$C$4:$C$503,(_calc!$E$52-500))))=0,"","Insurer: "&amp;IF(LEN(INDEX('Vendor COIs'!$C$4:$C$503,(_calc!$E$52-500)))=0,"",INDEX('Vendor COIs'!$C$4:$C$503,(_calc!$E$52-500)))&amp;". ")&amp;IF(LEN(IF(LEN(INDEX('Vendor COIs'!$D$4:$D$503,(_calc!$E$52-500)))=0,"",INDEX('Vendor COIs'!$D$4:$D$503,(_calc!$E$52-500))))=0,"","Policy no.: "&amp;IF(LEN(INDEX('Vendor COIs'!$D$4:$D$503,(_calc!$E$52-500)))=0,"",INDEX('Vendor COIs'!$D$4:$D$503,(_calc!$E$52-500)))&amp;". ")&amp;IF(LEN(IF(LEN(INDEX('Vendor COIs'!$F$4:$F$503,(_calc!$E$52-500)))=0,"",INDEX('Vendor COIs'!$F$4:$F$503,(_calc!$E$52-500))))=0,"","Meets minimum: "&amp;IF(LEN(INDEX('Vendor COIs'!$F$4:$F$503,(_calc!$E$52-500)))=0,"",INDEX('Vendor COIs'!$F$4:$F$503,(_calc!$E$52-500)))&amp;". ")&amp;IF(LEN(IF(LEN(INDEX('Vendor COIs'!$G$4:$G$503,(_calc!$E$52-500)))=0,"",INDEX('Vendor COIs'!$G$4:$G$503,(_calc!$E$52-500))))=0,"","Additional insured: "&amp;IF(LEN(INDEX('Vendor COIs'!$G$4:$G$503,(_calc!$E$52-500)))=0,"",INDEX('Vendor COIs'!$G$4:$G$503,(_calc!$E$52-500)))&amp;". ")&amp;IF(LEN(IF(LEN(INDEX('Vendor COIs'!$M$4:$M$503,(_calc!$E$52-500)))=0,"",INDEX('Vendor COIs'!$M$4:$M$503,(_calc!$E$52-500))))=0,"","Vendor contact: "&amp;IF(LEN(INDEX('Vendor COIs'!$M$4:$M$503,(_calc!$E$52-500)))=0,"",INDEX('Vendor COIs'!$M$4:$M$503,(_calc!$E$52-500)))&amp;". ")&amp;IF(LEN(IF(LEN(INDEX('Vendor COIs'!$P$4:$P$503,(_calc!$E$52-500)))=0,"",INDEX('Vendor COIs'!$P$4:$P$503,(_calc!$E$52-500))))=0,"",IF(LEN(INDEX('Vendor COIs'!$P$4:$P$503,(_calc!$E$52-500)))=0,"",INDEX('Vendor COIs'!$P$4:$P$503,(_calc!$E$52-500)))))))</f>
        <v/>
      </c>
      <c r="G50" s="46">
        <f>IF(_calc!$E$52="","",IF(_calc!$E$52&lt;=500,IF(LEN(INDEX('Our policies'!$R$4:$R$503,_calc!$E$52))=0,"",INDEX('Our policies'!$R$4:$R$503,_calc!$E$52)),IF(LEN(INDEX('Vendor COIs'!$O$4:$O$503,(_calc!$E$52-500)))=0,"",INDEX('Vendor COIs'!$O$4:$O$503,(_calc!$E$52-500)))))</f>
        <v/>
      </c>
      <c r="H50" s="46">
        <f>IF(_calc!$E$52="","",IF(_calc!$E$52&lt;=500,IF(LEN(INDEX('Our policies'!$G$4:$G$503,_calc!$E$52))=0,"",INDEX('Our policies'!$G$4:$G$503,_calc!$E$52)),""))</f>
        <v/>
      </c>
      <c r="I50" s="46">
        <f>IF(_calc!$E$52="","",IF(_calc!$E$52&lt;=500,IF(LEN(INDEX('Our policies'!$H$4:$H$503,_calc!$E$52))=0,"",INDEX('Our policies'!$H$4:$H$503,_calc!$E$52)),""))</f>
        <v/>
      </c>
      <c r="K50" s="46">
        <f>IF(_calc!$E$52="","",IF(_calc!$E$52&lt;=500,IF(LEN(INDEX('Our policies'!$P$4:$P$503,_calc!$E$52))=0,"",INDEX('Our policies'!$P$4:$P$503,_calc!$E$52)),IF(LEN(INDEX('Vendor COIs'!$N$4:$N$503,(_calc!$E$52-500)))=0,"",INDEX('Vendor COIs'!$N$4:$N$503,(_calc!$E$52-500)))))</f>
        <v/>
      </c>
    </row>
    <row r="51">
      <c r="A51" s="46">
        <f>IF(_calc!$E$53="","",IF(_calc!$E$53&lt;=500,IF(LEN(INDEX('Our policies'!$A$4:$A$503,_calc!$E$53))=0,"",INDEX('Our policies'!$A$4:$A$503,_calc!$E$53)),"COI – "&amp;IF(LEN(INDEX('Vendor COIs'!$A$4:$A$503,(_calc!$E$53-500)))=0,"",INDEX('Vendor COIs'!$A$4:$A$503,(_calc!$E$53-500)))&amp;" – "&amp;IF(LEN(INDEX('Vendor COIs'!$B$4:$B$503,(_calc!$E$53-500)))=0,"",INDEX('Vendor COIs'!$B$4:$B$503,(_calc!$E$53-500)))))</f>
        <v/>
      </c>
      <c r="B51" s="46">
        <f>IF(_calc!$E$53="","",IF(_calc!$E$53&lt;=500,IF(ISNUMBER(INDEX('Our policies'!$J$4:$J$503,_calc!$E$53)),TEXT(INDEX('Our policies'!$J$4:$J$503,_calc!$E$53),"yyyy-mm-dd"),""),IF(ISNUMBER(INDEX('Vendor COIs'!$H$4:$H$503,(_calc!$E$53-500))),TEXT(INDEX('Vendor COIs'!$H$4:$H$503,(_calc!$E$53-500)),"yyyy-mm-dd"),"")))</f>
        <v/>
      </c>
      <c r="C51" s="46">
        <f>IF(_calc!$E$53="","",IF(_calc!$E$53&lt;=500,"Insurance","Certificate of insurance"))</f>
        <v/>
      </c>
      <c r="D51" s="46">
        <f>IF(_calc!$E$53="","",IF(_calc!$E$53&lt;=500,IF(ISNUMBER(INDEX('Our policies'!$I$4:$I$503,_calc!$E$53)),TEXT(INDEX('Our policies'!$I$4:$I$503,_calc!$E$53),"yyyy-mm-dd"),""),""))</f>
        <v/>
      </c>
      <c r="E51" s="46">
        <f>IF(_calc!$E$53="","",IF(_calc!$E$53&lt;=500,IF(LEN(INDEX('Our policies'!$Q$4:$Q$503,_calc!$E$53))=0,"",INDEX('Our policies'!$Q$4:$Q$503,_calc!$E$53)),"Medium"))</f>
        <v/>
      </c>
      <c r="F51" s="46">
        <f>IF(_calc!$E$53="","",IF(_calc!$E$53&lt;=500,TRIM(IF(LEN(IF(LEN(INDEX('Our policies'!$B$4:$B$503,_calc!$E$53))=0,"",INDEX('Our policies'!$B$4:$B$503,_calc!$E$53)))=0,"","Cover: "&amp;IF(LEN(INDEX('Our policies'!$B$4:$B$503,_calc!$E$53))=0,"",INDEX('Our policies'!$B$4:$B$503,_calc!$E$53))&amp;". ")&amp;IF(LEN(IF(LEN(INDEX('Our policies'!$C$4:$C$503,_calc!$E$53))=0,"",INDEX('Our policies'!$C$4:$C$503,_calc!$E$53)))=0,"","Insurer: "&amp;IF(LEN(INDEX('Our policies'!$C$4:$C$503,_calc!$E$53))=0,"",INDEX('Our policies'!$C$4:$C$503,_calc!$E$53))&amp;". ")&amp;IF(LEN(IF(LEN(INDEX('Our policies'!$D$4:$D$503,_calc!$E$53))=0,"",INDEX('Our policies'!$D$4:$D$503,_calc!$E$53)))=0,"","Broker: "&amp;IF(LEN(INDEX('Our policies'!$D$4:$D$503,_calc!$E$53))=0,"",INDEX('Our policies'!$D$4:$D$503,_calc!$E$53))&amp;". ")&amp;IF(LEN(IF(LEN(INDEX('Our policies'!$E$4:$E$503,_calc!$E$53))=0,"",INDEX('Our policies'!$E$4:$E$503,_calc!$E$53)))=0,"","Policy no.: "&amp;IF(LEN(INDEX('Our policies'!$E$4:$E$503,_calc!$E$53))=0,"",INDEX('Our policies'!$E$4:$E$503,_calc!$E$53))&amp;". ")&amp;IF(LEN(IF(LEN(INDEX('Our policies'!$S$4:$S$503,_calc!$E$53))=0,"",INDEX('Our policies'!$S$4:$S$503,_calc!$E$53)))=0,"",IF(LEN(INDEX('Our policies'!$S$4:$S$503,_calc!$E$53))=0,"",INDEX('Our policies'!$S$4:$S$503,_calc!$E$53)))),TRIM(IF(LEN(IF(LEN(INDEX('Vendor COIs'!$C$4:$C$503,(_calc!$E$53-500)))=0,"",INDEX('Vendor COIs'!$C$4:$C$503,(_calc!$E$53-500))))=0,"","Insurer: "&amp;IF(LEN(INDEX('Vendor COIs'!$C$4:$C$503,(_calc!$E$53-500)))=0,"",INDEX('Vendor COIs'!$C$4:$C$503,(_calc!$E$53-500)))&amp;". ")&amp;IF(LEN(IF(LEN(INDEX('Vendor COIs'!$D$4:$D$503,(_calc!$E$53-500)))=0,"",INDEX('Vendor COIs'!$D$4:$D$503,(_calc!$E$53-500))))=0,"","Policy no.: "&amp;IF(LEN(INDEX('Vendor COIs'!$D$4:$D$503,(_calc!$E$53-500)))=0,"",INDEX('Vendor COIs'!$D$4:$D$503,(_calc!$E$53-500)))&amp;". ")&amp;IF(LEN(IF(LEN(INDEX('Vendor COIs'!$F$4:$F$503,(_calc!$E$53-500)))=0,"",INDEX('Vendor COIs'!$F$4:$F$503,(_calc!$E$53-500))))=0,"","Meets minimum: "&amp;IF(LEN(INDEX('Vendor COIs'!$F$4:$F$503,(_calc!$E$53-500)))=0,"",INDEX('Vendor COIs'!$F$4:$F$503,(_calc!$E$53-500)))&amp;". ")&amp;IF(LEN(IF(LEN(INDEX('Vendor COIs'!$G$4:$G$503,(_calc!$E$53-500)))=0,"",INDEX('Vendor COIs'!$G$4:$G$503,(_calc!$E$53-500))))=0,"","Additional insured: "&amp;IF(LEN(INDEX('Vendor COIs'!$G$4:$G$503,(_calc!$E$53-500)))=0,"",INDEX('Vendor COIs'!$G$4:$G$503,(_calc!$E$53-500)))&amp;". ")&amp;IF(LEN(IF(LEN(INDEX('Vendor COIs'!$M$4:$M$503,(_calc!$E$53-500)))=0,"",INDEX('Vendor COIs'!$M$4:$M$503,(_calc!$E$53-500))))=0,"","Vendor contact: "&amp;IF(LEN(INDEX('Vendor COIs'!$M$4:$M$503,(_calc!$E$53-500)))=0,"",INDEX('Vendor COIs'!$M$4:$M$503,(_calc!$E$53-500)))&amp;". ")&amp;IF(LEN(IF(LEN(INDEX('Vendor COIs'!$P$4:$P$503,(_calc!$E$53-500)))=0,"",INDEX('Vendor COIs'!$P$4:$P$503,(_calc!$E$53-500))))=0,"",IF(LEN(INDEX('Vendor COIs'!$P$4:$P$503,(_calc!$E$53-500)))=0,"",INDEX('Vendor COIs'!$P$4:$P$503,(_calc!$E$53-500)))))))</f>
        <v/>
      </c>
      <c r="G51" s="46">
        <f>IF(_calc!$E$53="","",IF(_calc!$E$53&lt;=500,IF(LEN(INDEX('Our policies'!$R$4:$R$503,_calc!$E$53))=0,"",INDEX('Our policies'!$R$4:$R$503,_calc!$E$53)),IF(LEN(INDEX('Vendor COIs'!$O$4:$O$503,(_calc!$E$53-500)))=0,"",INDEX('Vendor COIs'!$O$4:$O$503,(_calc!$E$53-500)))))</f>
        <v/>
      </c>
      <c r="H51" s="46">
        <f>IF(_calc!$E$53="","",IF(_calc!$E$53&lt;=500,IF(LEN(INDEX('Our policies'!$G$4:$G$503,_calc!$E$53))=0,"",INDEX('Our policies'!$G$4:$G$503,_calc!$E$53)),""))</f>
        <v/>
      </c>
      <c r="I51" s="46">
        <f>IF(_calc!$E$53="","",IF(_calc!$E$53&lt;=500,IF(LEN(INDEX('Our policies'!$H$4:$H$503,_calc!$E$53))=0,"",INDEX('Our policies'!$H$4:$H$503,_calc!$E$53)),""))</f>
        <v/>
      </c>
      <c r="K51" s="46">
        <f>IF(_calc!$E$53="","",IF(_calc!$E$53&lt;=500,IF(LEN(INDEX('Our policies'!$P$4:$P$503,_calc!$E$53))=0,"",INDEX('Our policies'!$P$4:$P$503,_calc!$E$53)),IF(LEN(INDEX('Vendor COIs'!$N$4:$N$503,(_calc!$E$53-500)))=0,"",INDEX('Vendor COIs'!$N$4:$N$503,(_calc!$E$53-500)))))</f>
        <v/>
      </c>
    </row>
    <row r="52">
      <c r="A52" s="46">
        <f>IF(_calc!$E$54="","",IF(_calc!$E$54&lt;=500,IF(LEN(INDEX('Our policies'!$A$4:$A$503,_calc!$E$54))=0,"",INDEX('Our policies'!$A$4:$A$503,_calc!$E$54)),"COI – "&amp;IF(LEN(INDEX('Vendor COIs'!$A$4:$A$503,(_calc!$E$54-500)))=0,"",INDEX('Vendor COIs'!$A$4:$A$503,(_calc!$E$54-500)))&amp;" – "&amp;IF(LEN(INDEX('Vendor COIs'!$B$4:$B$503,(_calc!$E$54-500)))=0,"",INDEX('Vendor COIs'!$B$4:$B$503,(_calc!$E$54-500)))))</f>
        <v/>
      </c>
      <c r="B52" s="46">
        <f>IF(_calc!$E$54="","",IF(_calc!$E$54&lt;=500,IF(ISNUMBER(INDEX('Our policies'!$J$4:$J$503,_calc!$E$54)),TEXT(INDEX('Our policies'!$J$4:$J$503,_calc!$E$54),"yyyy-mm-dd"),""),IF(ISNUMBER(INDEX('Vendor COIs'!$H$4:$H$503,(_calc!$E$54-500))),TEXT(INDEX('Vendor COIs'!$H$4:$H$503,(_calc!$E$54-500)),"yyyy-mm-dd"),"")))</f>
        <v/>
      </c>
      <c r="C52" s="46">
        <f>IF(_calc!$E$54="","",IF(_calc!$E$54&lt;=500,"Insurance","Certificate of insurance"))</f>
        <v/>
      </c>
      <c r="D52" s="46">
        <f>IF(_calc!$E$54="","",IF(_calc!$E$54&lt;=500,IF(ISNUMBER(INDEX('Our policies'!$I$4:$I$503,_calc!$E$54)),TEXT(INDEX('Our policies'!$I$4:$I$503,_calc!$E$54),"yyyy-mm-dd"),""),""))</f>
        <v/>
      </c>
      <c r="E52" s="46">
        <f>IF(_calc!$E$54="","",IF(_calc!$E$54&lt;=500,IF(LEN(INDEX('Our policies'!$Q$4:$Q$503,_calc!$E$54))=0,"",INDEX('Our policies'!$Q$4:$Q$503,_calc!$E$54)),"Medium"))</f>
        <v/>
      </c>
      <c r="F52" s="46">
        <f>IF(_calc!$E$54="","",IF(_calc!$E$54&lt;=500,TRIM(IF(LEN(IF(LEN(INDEX('Our policies'!$B$4:$B$503,_calc!$E$54))=0,"",INDEX('Our policies'!$B$4:$B$503,_calc!$E$54)))=0,"","Cover: "&amp;IF(LEN(INDEX('Our policies'!$B$4:$B$503,_calc!$E$54))=0,"",INDEX('Our policies'!$B$4:$B$503,_calc!$E$54))&amp;". ")&amp;IF(LEN(IF(LEN(INDEX('Our policies'!$C$4:$C$503,_calc!$E$54))=0,"",INDEX('Our policies'!$C$4:$C$503,_calc!$E$54)))=0,"","Insurer: "&amp;IF(LEN(INDEX('Our policies'!$C$4:$C$503,_calc!$E$54))=0,"",INDEX('Our policies'!$C$4:$C$503,_calc!$E$54))&amp;". ")&amp;IF(LEN(IF(LEN(INDEX('Our policies'!$D$4:$D$503,_calc!$E$54))=0,"",INDEX('Our policies'!$D$4:$D$503,_calc!$E$54)))=0,"","Broker: "&amp;IF(LEN(INDEX('Our policies'!$D$4:$D$503,_calc!$E$54))=0,"",INDEX('Our policies'!$D$4:$D$503,_calc!$E$54))&amp;". ")&amp;IF(LEN(IF(LEN(INDEX('Our policies'!$E$4:$E$503,_calc!$E$54))=0,"",INDEX('Our policies'!$E$4:$E$503,_calc!$E$54)))=0,"","Policy no.: "&amp;IF(LEN(INDEX('Our policies'!$E$4:$E$503,_calc!$E$54))=0,"",INDEX('Our policies'!$E$4:$E$503,_calc!$E$54))&amp;". ")&amp;IF(LEN(IF(LEN(INDEX('Our policies'!$S$4:$S$503,_calc!$E$54))=0,"",INDEX('Our policies'!$S$4:$S$503,_calc!$E$54)))=0,"",IF(LEN(INDEX('Our policies'!$S$4:$S$503,_calc!$E$54))=0,"",INDEX('Our policies'!$S$4:$S$503,_calc!$E$54)))),TRIM(IF(LEN(IF(LEN(INDEX('Vendor COIs'!$C$4:$C$503,(_calc!$E$54-500)))=0,"",INDEX('Vendor COIs'!$C$4:$C$503,(_calc!$E$54-500))))=0,"","Insurer: "&amp;IF(LEN(INDEX('Vendor COIs'!$C$4:$C$503,(_calc!$E$54-500)))=0,"",INDEX('Vendor COIs'!$C$4:$C$503,(_calc!$E$54-500)))&amp;". ")&amp;IF(LEN(IF(LEN(INDEX('Vendor COIs'!$D$4:$D$503,(_calc!$E$54-500)))=0,"",INDEX('Vendor COIs'!$D$4:$D$503,(_calc!$E$54-500))))=0,"","Policy no.: "&amp;IF(LEN(INDEX('Vendor COIs'!$D$4:$D$503,(_calc!$E$54-500)))=0,"",INDEX('Vendor COIs'!$D$4:$D$503,(_calc!$E$54-500)))&amp;". ")&amp;IF(LEN(IF(LEN(INDEX('Vendor COIs'!$F$4:$F$503,(_calc!$E$54-500)))=0,"",INDEX('Vendor COIs'!$F$4:$F$503,(_calc!$E$54-500))))=0,"","Meets minimum: "&amp;IF(LEN(INDEX('Vendor COIs'!$F$4:$F$503,(_calc!$E$54-500)))=0,"",INDEX('Vendor COIs'!$F$4:$F$503,(_calc!$E$54-500)))&amp;". ")&amp;IF(LEN(IF(LEN(INDEX('Vendor COIs'!$G$4:$G$503,(_calc!$E$54-500)))=0,"",INDEX('Vendor COIs'!$G$4:$G$503,(_calc!$E$54-500))))=0,"","Additional insured: "&amp;IF(LEN(INDEX('Vendor COIs'!$G$4:$G$503,(_calc!$E$54-500)))=0,"",INDEX('Vendor COIs'!$G$4:$G$503,(_calc!$E$54-500)))&amp;". ")&amp;IF(LEN(IF(LEN(INDEX('Vendor COIs'!$M$4:$M$503,(_calc!$E$54-500)))=0,"",INDEX('Vendor COIs'!$M$4:$M$503,(_calc!$E$54-500))))=0,"","Vendor contact: "&amp;IF(LEN(INDEX('Vendor COIs'!$M$4:$M$503,(_calc!$E$54-500)))=0,"",INDEX('Vendor COIs'!$M$4:$M$503,(_calc!$E$54-500)))&amp;". ")&amp;IF(LEN(IF(LEN(INDEX('Vendor COIs'!$P$4:$P$503,(_calc!$E$54-500)))=0,"",INDEX('Vendor COIs'!$P$4:$P$503,(_calc!$E$54-500))))=0,"",IF(LEN(INDEX('Vendor COIs'!$P$4:$P$503,(_calc!$E$54-500)))=0,"",INDEX('Vendor COIs'!$P$4:$P$503,(_calc!$E$54-500)))))))</f>
        <v/>
      </c>
      <c r="G52" s="46">
        <f>IF(_calc!$E$54="","",IF(_calc!$E$54&lt;=500,IF(LEN(INDEX('Our policies'!$R$4:$R$503,_calc!$E$54))=0,"",INDEX('Our policies'!$R$4:$R$503,_calc!$E$54)),IF(LEN(INDEX('Vendor COIs'!$O$4:$O$503,(_calc!$E$54-500)))=0,"",INDEX('Vendor COIs'!$O$4:$O$503,(_calc!$E$54-500)))))</f>
        <v/>
      </c>
      <c r="H52" s="46">
        <f>IF(_calc!$E$54="","",IF(_calc!$E$54&lt;=500,IF(LEN(INDEX('Our policies'!$G$4:$G$503,_calc!$E$54))=0,"",INDEX('Our policies'!$G$4:$G$503,_calc!$E$54)),""))</f>
        <v/>
      </c>
      <c r="I52" s="46">
        <f>IF(_calc!$E$54="","",IF(_calc!$E$54&lt;=500,IF(LEN(INDEX('Our policies'!$H$4:$H$503,_calc!$E$54))=0,"",INDEX('Our policies'!$H$4:$H$503,_calc!$E$54)),""))</f>
        <v/>
      </c>
      <c r="K52" s="46">
        <f>IF(_calc!$E$54="","",IF(_calc!$E$54&lt;=500,IF(LEN(INDEX('Our policies'!$P$4:$P$503,_calc!$E$54))=0,"",INDEX('Our policies'!$P$4:$P$503,_calc!$E$54)),IF(LEN(INDEX('Vendor COIs'!$N$4:$N$503,(_calc!$E$54-500)))=0,"",INDEX('Vendor COIs'!$N$4:$N$503,(_calc!$E$54-500)))))</f>
        <v/>
      </c>
    </row>
    <row r="53">
      <c r="A53" s="46">
        <f>IF(_calc!$E$55="","",IF(_calc!$E$55&lt;=500,IF(LEN(INDEX('Our policies'!$A$4:$A$503,_calc!$E$55))=0,"",INDEX('Our policies'!$A$4:$A$503,_calc!$E$55)),"COI – "&amp;IF(LEN(INDEX('Vendor COIs'!$A$4:$A$503,(_calc!$E$55-500)))=0,"",INDEX('Vendor COIs'!$A$4:$A$503,(_calc!$E$55-500)))&amp;" – "&amp;IF(LEN(INDEX('Vendor COIs'!$B$4:$B$503,(_calc!$E$55-500)))=0,"",INDEX('Vendor COIs'!$B$4:$B$503,(_calc!$E$55-500)))))</f>
        <v/>
      </c>
      <c r="B53" s="46">
        <f>IF(_calc!$E$55="","",IF(_calc!$E$55&lt;=500,IF(ISNUMBER(INDEX('Our policies'!$J$4:$J$503,_calc!$E$55)),TEXT(INDEX('Our policies'!$J$4:$J$503,_calc!$E$55),"yyyy-mm-dd"),""),IF(ISNUMBER(INDEX('Vendor COIs'!$H$4:$H$503,(_calc!$E$55-500))),TEXT(INDEX('Vendor COIs'!$H$4:$H$503,(_calc!$E$55-500)),"yyyy-mm-dd"),"")))</f>
        <v/>
      </c>
      <c r="C53" s="46">
        <f>IF(_calc!$E$55="","",IF(_calc!$E$55&lt;=500,"Insurance","Certificate of insurance"))</f>
        <v/>
      </c>
      <c r="D53" s="46">
        <f>IF(_calc!$E$55="","",IF(_calc!$E$55&lt;=500,IF(ISNUMBER(INDEX('Our policies'!$I$4:$I$503,_calc!$E$55)),TEXT(INDEX('Our policies'!$I$4:$I$503,_calc!$E$55),"yyyy-mm-dd"),""),""))</f>
        <v/>
      </c>
      <c r="E53" s="46">
        <f>IF(_calc!$E$55="","",IF(_calc!$E$55&lt;=500,IF(LEN(INDEX('Our policies'!$Q$4:$Q$503,_calc!$E$55))=0,"",INDEX('Our policies'!$Q$4:$Q$503,_calc!$E$55)),"Medium"))</f>
        <v/>
      </c>
      <c r="F53" s="46">
        <f>IF(_calc!$E$55="","",IF(_calc!$E$55&lt;=500,TRIM(IF(LEN(IF(LEN(INDEX('Our policies'!$B$4:$B$503,_calc!$E$55))=0,"",INDEX('Our policies'!$B$4:$B$503,_calc!$E$55)))=0,"","Cover: "&amp;IF(LEN(INDEX('Our policies'!$B$4:$B$503,_calc!$E$55))=0,"",INDEX('Our policies'!$B$4:$B$503,_calc!$E$55))&amp;". ")&amp;IF(LEN(IF(LEN(INDEX('Our policies'!$C$4:$C$503,_calc!$E$55))=0,"",INDEX('Our policies'!$C$4:$C$503,_calc!$E$55)))=0,"","Insurer: "&amp;IF(LEN(INDEX('Our policies'!$C$4:$C$503,_calc!$E$55))=0,"",INDEX('Our policies'!$C$4:$C$503,_calc!$E$55))&amp;". ")&amp;IF(LEN(IF(LEN(INDEX('Our policies'!$D$4:$D$503,_calc!$E$55))=0,"",INDEX('Our policies'!$D$4:$D$503,_calc!$E$55)))=0,"","Broker: "&amp;IF(LEN(INDEX('Our policies'!$D$4:$D$503,_calc!$E$55))=0,"",INDEX('Our policies'!$D$4:$D$503,_calc!$E$55))&amp;". ")&amp;IF(LEN(IF(LEN(INDEX('Our policies'!$E$4:$E$503,_calc!$E$55))=0,"",INDEX('Our policies'!$E$4:$E$503,_calc!$E$55)))=0,"","Policy no.: "&amp;IF(LEN(INDEX('Our policies'!$E$4:$E$503,_calc!$E$55))=0,"",INDEX('Our policies'!$E$4:$E$503,_calc!$E$55))&amp;". ")&amp;IF(LEN(IF(LEN(INDEX('Our policies'!$S$4:$S$503,_calc!$E$55))=0,"",INDEX('Our policies'!$S$4:$S$503,_calc!$E$55)))=0,"",IF(LEN(INDEX('Our policies'!$S$4:$S$503,_calc!$E$55))=0,"",INDEX('Our policies'!$S$4:$S$503,_calc!$E$55)))),TRIM(IF(LEN(IF(LEN(INDEX('Vendor COIs'!$C$4:$C$503,(_calc!$E$55-500)))=0,"",INDEX('Vendor COIs'!$C$4:$C$503,(_calc!$E$55-500))))=0,"","Insurer: "&amp;IF(LEN(INDEX('Vendor COIs'!$C$4:$C$503,(_calc!$E$55-500)))=0,"",INDEX('Vendor COIs'!$C$4:$C$503,(_calc!$E$55-500)))&amp;". ")&amp;IF(LEN(IF(LEN(INDEX('Vendor COIs'!$D$4:$D$503,(_calc!$E$55-500)))=0,"",INDEX('Vendor COIs'!$D$4:$D$503,(_calc!$E$55-500))))=0,"","Policy no.: "&amp;IF(LEN(INDEX('Vendor COIs'!$D$4:$D$503,(_calc!$E$55-500)))=0,"",INDEX('Vendor COIs'!$D$4:$D$503,(_calc!$E$55-500)))&amp;". ")&amp;IF(LEN(IF(LEN(INDEX('Vendor COIs'!$F$4:$F$503,(_calc!$E$55-500)))=0,"",INDEX('Vendor COIs'!$F$4:$F$503,(_calc!$E$55-500))))=0,"","Meets minimum: "&amp;IF(LEN(INDEX('Vendor COIs'!$F$4:$F$503,(_calc!$E$55-500)))=0,"",INDEX('Vendor COIs'!$F$4:$F$503,(_calc!$E$55-500)))&amp;". ")&amp;IF(LEN(IF(LEN(INDEX('Vendor COIs'!$G$4:$G$503,(_calc!$E$55-500)))=0,"",INDEX('Vendor COIs'!$G$4:$G$503,(_calc!$E$55-500))))=0,"","Additional insured: "&amp;IF(LEN(INDEX('Vendor COIs'!$G$4:$G$503,(_calc!$E$55-500)))=0,"",INDEX('Vendor COIs'!$G$4:$G$503,(_calc!$E$55-500)))&amp;". ")&amp;IF(LEN(IF(LEN(INDEX('Vendor COIs'!$M$4:$M$503,(_calc!$E$55-500)))=0,"",INDEX('Vendor COIs'!$M$4:$M$503,(_calc!$E$55-500))))=0,"","Vendor contact: "&amp;IF(LEN(INDEX('Vendor COIs'!$M$4:$M$503,(_calc!$E$55-500)))=0,"",INDEX('Vendor COIs'!$M$4:$M$503,(_calc!$E$55-500)))&amp;". ")&amp;IF(LEN(IF(LEN(INDEX('Vendor COIs'!$P$4:$P$503,(_calc!$E$55-500)))=0,"",INDEX('Vendor COIs'!$P$4:$P$503,(_calc!$E$55-500))))=0,"",IF(LEN(INDEX('Vendor COIs'!$P$4:$P$503,(_calc!$E$55-500)))=0,"",INDEX('Vendor COIs'!$P$4:$P$503,(_calc!$E$55-500)))))))</f>
        <v/>
      </c>
      <c r="G53" s="46">
        <f>IF(_calc!$E$55="","",IF(_calc!$E$55&lt;=500,IF(LEN(INDEX('Our policies'!$R$4:$R$503,_calc!$E$55))=0,"",INDEX('Our policies'!$R$4:$R$503,_calc!$E$55)),IF(LEN(INDEX('Vendor COIs'!$O$4:$O$503,(_calc!$E$55-500)))=0,"",INDEX('Vendor COIs'!$O$4:$O$503,(_calc!$E$55-500)))))</f>
        <v/>
      </c>
      <c r="H53" s="46">
        <f>IF(_calc!$E$55="","",IF(_calc!$E$55&lt;=500,IF(LEN(INDEX('Our policies'!$G$4:$G$503,_calc!$E$55))=0,"",INDEX('Our policies'!$G$4:$G$503,_calc!$E$55)),""))</f>
        <v/>
      </c>
      <c r="I53" s="46">
        <f>IF(_calc!$E$55="","",IF(_calc!$E$55&lt;=500,IF(LEN(INDEX('Our policies'!$H$4:$H$503,_calc!$E$55))=0,"",INDEX('Our policies'!$H$4:$H$503,_calc!$E$55)),""))</f>
        <v/>
      </c>
      <c r="K53" s="46">
        <f>IF(_calc!$E$55="","",IF(_calc!$E$55&lt;=500,IF(LEN(INDEX('Our policies'!$P$4:$P$503,_calc!$E$55))=0,"",INDEX('Our policies'!$P$4:$P$503,_calc!$E$55)),IF(LEN(INDEX('Vendor COIs'!$N$4:$N$503,(_calc!$E$55-500)))=0,"",INDEX('Vendor COIs'!$N$4:$N$503,(_calc!$E$55-500)))))</f>
        <v/>
      </c>
    </row>
    <row r="54">
      <c r="A54" s="46">
        <f>IF(_calc!$E$56="","",IF(_calc!$E$56&lt;=500,IF(LEN(INDEX('Our policies'!$A$4:$A$503,_calc!$E$56))=0,"",INDEX('Our policies'!$A$4:$A$503,_calc!$E$56)),"COI – "&amp;IF(LEN(INDEX('Vendor COIs'!$A$4:$A$503,(_calc!$E$56-500)))=0,"",INDEX('Vendor COIs'!$A$4:$A$503,(_calc!$E$56-500)))&amp;" – "&amp;IF(LEN(INDEX('Vendor COIs'!$B$4:$B$503,(_calc!$E$56-500)))=0,"",INDEX('Vendor COIs'!$B$4:$B$503,(_calc!$E$56-500)))))</f>
        <v/>
      </c>
      <c r="B54" s="46">
        <f>IF(_calc!$E$56="","",IF(_calc!$E$56&lt;=500,IF(ISNUMBER(INDEX('Our policies'!$J$4:$J$503,_calc!$E$56)),TEXT(INDEX('Our policies'!$J$4:$J$503,_calc!$E$56),"yyyy-mm-dd"),""),IF(ISNUMBER(INDEX('Vendor COIs'!$H$4:$H$503,(_calc!$E$56-500))),TEXT(INDEX('Vendor COIs'!$H$4:$H$503,(_calc!$E$56-500)),"yyyy-mm-dd"),"")))</f>
        <v/>
      </c>
      <c r="C54" s="46">
        <f>IF(_calc!$E$56="","",IF(_calc!$E$56&lt;=500,"Insurance","Certificate of insurance"))</f>
        <v/>
      </c>
      <c r="D54" s="46">
        <f>IF(_calc!$E$56="","",IF(_calc!$E$56&lt;=500,IF(ISNUMBER(INDEX('Our policies'!$I$4:$I$503,_calc!$E$56)),TEXT(INDEX('Our policies'!$I$4:$I$503,_calc!$E$56),"yyyy-mm-dd"),""),""))</f>
        <v/>
      </c>
      <c r="E54" s="46">
        <f>IF(_calc!$E$56="","",IF(_calc!$E$56&lt;=500,IF(LEN(INDEX('Our policies'!$Q$4:$Q$503,_calc!$E$56))=0,"",INDEX('Our policies'!$Q$4:$Q$503,_calc!$E$56)),"Medium"))</f>
        <v/>
      </c>
      <c r="F54" s="46">
        <f>IF(_calc!$E$56="","",IF(_calc!$E$56&lt;=500,TRIM(IF(LEN(IF(LEN(INDEX('Our policies'!$B$4:$B$503,_calc!$E$56))=0,"",INDEX('Our policies'!$B$4:$B$503,_calc!$E$56)))=0,"","Cover: "&amp;IF(LEN(INDEX('Our policies'!$B$4:$B$503,_calc!$E$56))=0,"",INDEX('Our policies'!$B$4:$B$503,_calc!$E$56))&amp;". ")&amp;IF(LEN(IF(LEN(INDEX('Our policies'!$C$4:$C$503,_calc!$E$56))=0,"",INDEX('Our policies'!$C$4:$C$503,_calc!$E$56)))=0,"","Insurer: "&amp;IF(LEN(INDEX('Our policies'!$C$4:$C$503,_calc!$E$56))=0,"",INDEX('Our policies'!$C$4:$C$503,_calc!$E$56))&amp;". ")&amp;IF(LEN(IF(LEN(INDEX('Our policies'!$D$4:$D$503,_calc!$E$56))=0,"",INDEX('Our policies'!$D$4:$D$503,_calc!$E$56)))=0,"","Broker: "&amp;IF(LEN(INDEX('Our policies'!$D$4:$D$503,_calc!$E$56))=0,"",INDEX('Our policies'!$D$4:$D$503,_calc!$E$56))&amp;". ")&amp;IF(LEN(IF(LEN(INDEX('Our policies'!$E$4:$E$503,_calc!$E$56))=0,"",INDEX('Our policies'!$E$4:$E$503,_calc!$E$56)))=0,"","Policy no.: "&amp;IF(LEN(INDEX('Our policies'!$E$4:$E$503,_calc!$E$56))=0,"",INDEX('Our policies'!$E$4:$E$503,_calc!$E$56))&amp;". ")&amp;IF(LEN(IF(LEN(INDEX('Our policies'!$S$4:$S$503,_calc!$E$56))=0,"",INDEX('Our policies'!$S$4:$S$503,_calc!$E$56)))=0,"",IF(LEN(INDEX('Our policies'!$S$4:$S$503,_calc!$E$56))=0,"",INDEX('Our policies'!$S$4:$S$503,_calc!$E$56)))),TRIM(IF(LEN(IF(LEN(INDEX('Vendor COIs'!$C$4:$C$503,(_calc!$E$56-500)))=0,"",INDEX('Vendor COIs'!$C$4:$C$503,(_calc!$E$56-500))))=0,"","Insurer: "&amp;IF(LEN(INDEX('Vendor COIs'!$C$4:$C$503,(_calc!$E$56-500)))=0,"",INDEX('Vendor COIs'!$C$4:$C$503,(_calc!$E$56-500)))&amp;". ")&amp;IF(LEN(IF(LEN(INDEX('Vendor COIs'!$D$4:$D$503,(_calc!$E$56-500)))=0,"",INDEX('Vendor COIs'!$D$4:$D$503,(_calc!$E$56-500))))=0,"","Policy no.: "&amp;IF(LEN(INDEX('Vendor COIs'!$D$4:$D$503,(_calc!$E$56-500)))=0,"",INDEX('Vendor COIs'!$D$4:$D$503,(_calc!$E$56-500)))&amp;". ")&amp;IF(LEN(IF(LEN(INDEX('Vendor COIs'!$F$4:$F$503,(_calc!$E$56-500)))=0,"",INDEX('Vendor COIs'!$F$4:$F$503,(_calc!$E$56-500))))=0,"","Meets minimum: "&amp;IF(LEN(INDEX('Vendor COIs'!$F$4:$F$503,(_calc!$E$56-500)))=0,"",INDEX('Vendor COIs'!$F$4:$F$503,(_calc!$E$56-500)))&amp;". ")&amp;IF(LEN(IF(LEN(INDEX('Vendor COIs'!$G$4:$G$503,(_calc!$E$56-500)))=0,"",INDEX('Vendor COIs'!$G$4:$G$503,(_calc!$E$56-500))))=0,"","Additional insured: "&amp;IF(LEN(INDEX('Vendor COIs'!$G$4:$G$503,(_calc!$E$56-500)))=0,"",INDEX('Vendor COIs'!$G$4:$G$503,(_calc!$E$56-500)))&amp;". ")&amp;IF(LEN(IF(LEN(INDEX('Vendor COIs'!$M$4:$M$503,(_calc!$E$56-500)))=0,"",INDEX('Vendor COIs'!$M$4:$M$503,(_calc!$E$56-500))))=0,"","Vendor contact: "&amp;IF(LEN(INDEX('Vendor COIs'!$M$4:$M$503,(_calc!$E$56-500)))=0,"",INDEX('Vendor COIs'!$M$4:$M$503,(_calc!$E$56-500)))&amp;". ")&amp;IF(LEN(IF(LEN(INDEX('Vendor COIs'!$P$4:$P$503,(_calc!$E$56-500)))=0,"",INDEX('Vendor COIs'!$P$4:$P$503,(_calc!$E$56-500))))=0,"",IF(LEN(INDEX('Vendor COIs'!$P$4:$P$503,(_calc!$E$56-500)))=0,"",INDEX('Vendor COIs'!$P$4:$P$503,(_calc!$E$56-500)))))))</f>
        <v/>
      </c>
      <c r="G54" s="46">
        <f>IF(_calc!$E$56="","",IF(_calc!$E$56&lt;=500,IF(LEN(INDEX('Our policies'!$R$4:$R$503,_calc!$E$56))=0,"",INDEX('Our policies'!$R$4:$R$503,_calc!$E$56)),IF(LEN(INDEX('Vendor COIs'!$O$4:$O$503,(_calc!$E$56-500)))=0,"",INDEX('Vendor COIs'!$O$4:$O$503,(_calc!$E$56-500)))))</f>
        <v/>
      </c>
      <c r="H54" s="46">
        <f>IF(_calc!$E$56="","",IF(_calc!$E$56&lt;=500,IF(LEN(INDEX('Our policies'!$G$4:$G$503,_calc!$E$56))=0,"",INDEX('Our policies'!$G$4:$G$503,_calc!$E$56)),""))</f>
        <v/>
      </c>
      <c r="I54" s="46">
        <f>IF(_calc!$E$56="","",IF(_calc!$E$56&lt;=500,IF(LEN(INDEX('Our policies'!$H$4:$H$503,_calc!$E$56))=0,"",INDEX('Our policies'!$H$4:$H$503,_calc!$E$56)),""))</f>
        <v/>
      </c>
      <c r="K54" s="46">
        <f>IF(_calc!$E$56="","",IF(_calc!$E$56&lt;=500,IF(LEN(INDEX('Our policies'!$P$4:$P$503,_calc!$E$56))=0,"",INDEX('Our policies'!$P$4:$P$503,_calc!$E$56)),IF(LEN(INDEX('Vendor COIs'!$N$4:$N$503,(_calc!$E$56-500)))=0,"",INDEX('Vendor COIs'!$N$4:$N$503,(_calc!$E$56-500)))))</f>
        <v/>
      </c>
    </row>
    <row r="55">
      <c r="A55" s="46">
        <f>IF(_calc!$E$57="","",IF(_calc!$E$57&lt;=500,IF(LEN(INDEX('Our policies'!$A$4:$A$503,_calc!$E$57))=0,"",INDEX('Our policies'!$A$4:$A$503,_calc!$E$57)),"COI – "&amp;IF(LEN(INDEX('Vendor COIs'!$A$4:$A$503,(_calc!$E$57-500)))=0,"",INDEX('Vendor COIs'!$A$4:$A$503,(_calc!$E$57-500)))&amp;" – "&amp;IF(LEN(INDEX('Vendor COIs'!$B$4:$B$503,(_calc!$E$57-500)))=0,"",INDEX('Vendor COIs'!$B$4:$B$503,(_calc!$E$57-500)))))</f>
        <v/>
      </c>
      <c r="B55" s="46">
        <f>IF(_calc!$E$57="","",IF(_calc!$E$57&lt;=500,IF(ISNUMBER(INDEX('Our policies'!$J$4:$J$503,_calc!$E$57)),TEXT(INDEX('Our policies'!$J$4:$J$503,_calc!$E$57),"yyyy-mm-dd"),""),IF(ISNUMBER(INDEX('Vendor COIs'!$H$4:$H$503,(_calc!$E$57-500))),TEXT(INDEX('Vendor COIs'!$H$4:$H$503,(_calc!$E$57-500)),"yyyy-mm-dd"),"")))</f>
        <v/>
      </c>
      <c r="C55" s="46">
        <f>IF(_calc!$E$57="","",IF(_calc!$E$57&lt;=500,"Insurance","Certificate of insurance"))</f>
        <v/>
      </c>
      <c r="D55" s="46">
        <f>IF(_calc!$E$57="","",IF(_calc!$E$57&lt;=500,IF(ISNUMBER(INDEX('Our policies'!$I$4:$I$503,_calc!$E$57)),TEXT(INDEX('Our policies'!$I$4:$I$503,_calc!$E$57),"yyyy-mm-dd"),""),""))</f>
        <v/>
      </c>
      <c r="E55" s="46">
        <f>IF(_calc!$E$57="","",IF(_calc!$E$57&lt;=500,IF(LEN(INDEX('Our policies'!$Q$4:$Q$503,_calc!$E$57))=0,"",INDEX('Our policies'!$Q$4:$Q$503,_calc!$E$57)),"Medium"))</f>
        <v/>
      </c>
      <c r="F55" s="46">
        <f>IF(_calc!$E$57="","",IF(_calc!$E$57&lt;=500,TRIM(IF(LEN(IF(LEN(INDEX('Our policies'!$B$4:$B$503,_calc!$E$57))=0,"",INDEX('Our policies'!$B$4:$B$503,_calc!$E$57)))=0,"","Cover: "&amp;IF(LEN(INDEX('Our policies'!$B$4:$B$503,_calc!$E$57))=0,"",INDEX('Our policies'!$B$4:$B$503,_calc!$E$57))&amp;". ")&amp;IF(LEN(IF(LEN(INDEX('Our policies'!$C$4:$C$503,_calc!$E$57))=0,"",INDEX('Our policies'!$C$4:$C$503,_calc!$E$57)))=0,"","Insurer: "&amp;IF(LEN(INDEX('Our policies'!$C$4:$C$503,_calc!$E$57))=0,"",INDEX('Our policies'!$C$4:$C$503,_calc!$E$57))&amp;". ")&amp;IF(LEN(IF(LEN(INDEX('Our policies'!$D$4:$D$503,_calc!$E$57))=0,"",INDEX('Our policies'!$D$4:$D$503,_calc!$E$57)))=0,"","Broker: "&amp;IF(LEN(INDEX('Our policies'!$D$4:$D$503,_calc!$E$57))=0,"",INDEX('Our policies'!$D$4:$D$503,_calc!$E$57))&amp;". ")&amp;IF(LEN(IF(LEN(INDEX('Our policies'!$E$4:$E$503,_calc!$E$57))=0,"",INDEX('Our policies'!$E$4:$E$503,_calc!$E$57)))=0,"","Policy no.: "&amp;IF(LEN(INDEX('Our policies'!$E$4:$E$503,_calc!$E$57))=0,"",INDEX('Our policies'!$E$4:$E$503,_calc!$E$57))&amp;". ")&amp;IF(LEN(IF(LEN(INDEX('Our policies'!$S$4:$S$503,_calc!$E$57))=0,"",INDEX('Our policies'!$S$4:$S$503,_calc!$E$57)))=0,"",IF(LEN(INDEX('Our policies'!$S$4:$S$503,_calc!$E$57))=0,"",INDEX('Our policies'!$S$4:$S$503,_calc!$E$57)))),TRIM(IF(LEN(IF(LEN(INDEX('Vendor COIs'!$C$4:$C$503,(_calc!$E$57-500)))=0,"",INDEX('Vendor COIs'!$C$4:$C$503,(_calc!$E$57-500))))=0,"","Insurer: "&amp;IF(LEN(INDEX('Vendor COIs'!$C$4:$C$503,(_calc!$E$57-500)))=0,"",INDEX('Vendor COIs'!$C$4:$C$503,(_calc!$E$57-500)))&amp;". ")&amp;IF(LEN(IF(LEN(INDEX('Vendor COIs'!$D$4:$D$503,(_calc!$E$57-500)))=0,"",INDEX('Vendor COIs'!$D$4:$D$503,(_calc!$E$57-500))))=0,"","Policy no.: "&amp;IF(LEN(INDEX('Vendor COIs'!$D$4:$D$503,(_calc!$E$57-500)))=0,"",INDEX('Vendor COIs'!$D$4:$D$503,(_calc!$E$57-500)))&amp;". ")&amp;IF(LEN(IF(LEN(INDEX('Vendor COIs'!$F$4:$F$503,(_calc!$E$57-500)))=0,"",INDEX('Vendor COIs'!$F$4:$F$503,(_calc!$E$57-500))))=0,"","Meets minimum: "&amp;IF(LEN(INDEX('Vendor COIs'!$F$4:$F$503,(_calc!$E$57-500)))=0,"",INDEX('Vendor COIs'!$F$4:$F$503,(_calc!$E$57-500)))&amp;". ")&amp;IF(LEN(IF(LEN(INDEX('Vendor COIs'!$G$4:$G$503,(_calc!$E$57-500)))=0,"",INDEX('Vendor COIs'!$G$4:$G$503,(_calc!$E$57-500))))=0,"","Additional insured: "&amp;IF(LEN(INDEX('Vendor COIs'!$G$4:$G$503,(_calc!$E$57-500)))=0,"",INDEX('Vendor COIs'!$G$4:$G$503,(_calc!$E$57-500)))&amp;". ")&amp;IF(LEN(IF(LEN(INDEX('Vendor COIs'!$M$4:$M$503,(_calc!$E$57-500)))=0,"",INDEX('Vendor COIs'!$M$4:$M$503,(_calc!$E$57-500))))=0,"","Vendor contact: "&amp;IF(LEN(INDEX('Vendor COIs'!$M$4:$M$503,(_calc!$E$57-500)))=0,"",INDEX('Vendor COIs'!$M$4:$M$503,(_calc!$E$57-500)))&amp;". ")&amp;IF(LEN(IF(LEN(INDEX('Vendor COIs'!$P$4:$P$503,(_calc!$E$57-500)))=0,"",INDEX('Vendor COIs'!$P$4:$P$503,(_calc!$E$57-500))))=0,"",IF(LEN(INDEX('Vendor COIs'!$P$4:$P$503,(_calc!$E$57-500)))=0,"",INDEX('Vendor COIs'!$P$4:$P$503,(_calc!$E$57-500)))))))</f>
        <v/>
      </c>
      <c r="G55" s="46">
        <f>IF(_calc!$E$57="","",IF(_calc!$E$57&lt;=500,IF(LEN(INDEX('Our policies'!$R$4:$R$503,_calc!$E$57))=0,"",INDEX('Our policies'!$R$4:$R$503,_calc!$E$57)),IF(LEN(INDEX('Vendor COIs'!$O$4:$O$503,(_calc!$E$57-500)))=0,"",INDEX('Vendor COIs'!$O$4:$O$503,(_calc!$E$57-500)))))</f>
        <v/>
      </c>
      <c r="H55" s="46">
        <f>IF(_calc!$E$57="","",IF(_calc!$E$57&lt;=500,IF(LEN(INDEX('Our policies'!$G$4:$G$503,_calc!$E$57))=0,"",INDEX('Our policies'!$G$4:$G$503,_calc!$E$57)),""))</f>
        <v/>
      </c>
      <c r="I55" s="46">
        <f>IF(_calc!$E$57="","",IF(_calc!$E$57&lt;=500,IF(LEN(INDEX('Our policies'!$H$4:$H$503,_calc!$E$57))=0,"",INDEX('Our policies'!$H$4:$H$503,_calc!$E$57)),""))</f>
        <v/>
      </c>
      <c r="K55" s="46">
        <f>IF(_calc!$E$57="","",IF(_calc!$E$57&lt;=500,IF(LEN(INDEX('Our policies'!$P$4:$P$503,_calc!$E$57))=0,"",INDEX('Our policies'!$P$4:$P$503,_calc!$E$57)),IF(LEN(INDEX('Vendor COIs'!$N$4:$N$503,(_calc!$E$57-500)))=0,"",INDEX('Vendor COIs'!$N$4:$N$503,(_calc!$E$57-500)))))</f>
        <v/>
      </c>
    </row>
    <row r="56">
      <c r="A56" s="46">
        <f>IF(_calc!$E$58="","",IF(_calc!$E$58&lt;=500,IF(LEN(INDEX('Our policies'!$A$4:$A$503,_calc!$E$58))=0,"",INDEX('Our policies'!$A$4:$A$503,_calc!$E$58)),"COI – "&amp;IF(LEN(INDEX('Vendor COIs'!$A$4:$A$503,(_calc!$E$58-500)))=0,"",INDEX('Vendor COIs'!$A$4:$A$503,(_calc!$E$58-500)))&amp;" – "&amp;IF(LEN(INDEX('Vendor COIs'!$B$4:$B$503,(_calc!$E$58-500)))=0,"",INDEX('Vendor COIs'!$B$4:$B$503,(_calc!$E$58-500)))))</f>
        <v/>
      </c>
      <c r="B56" s="46">
        <f>IF(_calc!$E$58="","",IF(_calc!$E$58&lt;=500,IF(ISNUMBER(INDEX('Our policies'!$J$4:$J$503,_calc!$E$58)),TEXT(INDEX('Our policies'!$J$4:$J$503,_calc!$E$58),"yyyy-mm-dd"),""),IF(ISNUMBER(INDEX('Vendor COIs'!$H$4:$H$503,(_calc!$E$58-500))),TEXT(INDEX('Vendor COIs'!$H$4:$H$503,(_calc!$E$58-500)),"yyyy-mm-dd"),"")))</f>
        <v/>
      </c>
      <c r="C56" s="46">
        <f>IF(_calc!$E$58="","",IF(_calc!$E$58&lt;=500,"Insurance","Certificate of insurance"))</f>
        <v/>
      </c>
      <c r="D56" s="46">
        <f>IF(_calc!$E$58="","",IF(_calc!$E$58&lt;=500,IF(ISNUMBER(INDEX('Our policies'!$I$4:$I$503,_calc!$E$58)),TEXT(INDEX('Our policies'!$I$4:$I$503,_calc!$E$58),"yyyy-mm-dd"),""),""))</f>
        <v/>
      </c>
      <c r="E56" s="46">
        <f>IF(_calc!$E$58="","",IF(_calc!$E$58&lt;=500,IF(LEN(INDEX('Our policies'!$Q$4:$Q$503,_calc!$E$58))=0,"",INDEX('Our policies'!$Q$4:$Q$503,_calc!$E$58)),"Medium"))</f>
        <v/>
      </c>
      <c r="F56" s="46">
        <f>IF(_calc!$E$58="","",IF(_calc!$E$58&lt;=500,TRIM(IF(LEN(IF(LEN(INDEX('Our policies'!$B$4:$B$503,_calc!$E$58))=0,"",INDEX('Our policies'!$B$4:$B$503,_calc!$E$58)))=0,"","Cover: "&amp;IF(LEN(INDEX('Our policies'!$B$4:$B$503,_calc!$E$58))=0,"",INDEX('Our policies'!$B$4:$B$503,_calc!$E$58))&amp;". ")&amp;IF(LEN(IF(LEN(INDEX('Our policies'!$C$4:$C$503,_calc!$E$58))=0,"",INDEX('Our policies'!$C$4:$C$503,_calc!$E$58)))=0,"","Insurer: "&amp;IF(LEN(INDEX('Our policies'!$C$4:$C$503,_calc!$E$58))=0,"",INDEX('Our policies'!$C$4:$C$503,_calc!$E$58))&amp;". ")&amp;IF(LEN(IF(LEN(INDEX('Our policies'!$D$4:$D$503,_calc!$E$58))=0,"",INDEX('Our policies'!$D$4:$D$503,_calc!$E$58)))=0,"","Broker: "&amp;IF(LEN(INDEX('Our policies'!$D$4:$D$503,_calc!$E$58))=0,"",INDEX('Our policies'!$D$4:$D$503,_calc!$E$58))&amp;". ")&amp;IF(LEN(IF(LEN(INDEX('Our policies'!$E$4:$E$503,_calc!$E$58))=0,"",INDEX('Our policies'!$E$4:$E$503,_calc!$E$58)))=0,"","Policy no.: "&amp;IF(LEN(INDEX('Our policies'!$E$4:$E$503,_calc!$E$58))=0,"",INDEX('Our policies'!$E$4:$E$503,_calc!$E$58))&amp;". ")&amp;IF(LEN(IF(LEN(INDEX('Our policies'!$S$4:$S$503,_calc!$E$58))=0,"",INDEX('Our policies'!$S$4:$S$503,_calc!$E$58)))=0,"",IF(LEN(INDEX('Our policies'!$S$4:$S$503,_calc!$E$58))=0,"",INDEX('Our policies'!$S$4:$S$503,_calc!$E$58)))),TRIM(IF(LEN(IF(LEN(INDEX('Vendor COIs'!$C$4:$C$503,(_calc!$E$58-500)))=0,"",INDEX('Vendor COIs'!$C$4:$C$503,(_calc!$E$58-500))))=0,"","Insurer: "&amp;IF(LEN(INDEX('Vendor COIs'!$C$4:$C$503,(_calc!$E$58-500)))=0,"",INDEX('Vendor COIs'!$C$4:$C$503,(_calc!$E$58-500)))&amp;". ")&amp;IF(LEN(IF(LEN(INDEX('Vendor COIs'!$D$4:$D$503,(_calc!$E$58-500)))=0,"",INDEX('Vendor COIs'!$D$4:$D$503,(_calc!$E$58-500))))=0,"","Policy no.: "&amp;IF(LEN(INDEX('Vendor COIs'!$D$4:$D$503,(_calc!$E$58-500)))=0,"",INDEX('Vendor COIs'!$D$4:$D$503,(_calc!$E$58-500)))&amp;". ")&amp;IF(LEN(IF(LEN(INDEX('Vendor COIs'!$F$4:$F$503,(_calc!$E$58-500)))=0,"",INDEX('Vendor COIs'!$F$4:$F$503,(_calc!$E$58-500))))=0,"","Meets minimum: "&amp;IF(LEN(INDEX('Vendor COIs'!$F$4:$F$503,(_calc!$E$58-500)))=0,"",INDEX('Vendor COIs'!$F$4:$F$503,(_calc!$E$58-500)))&amp;". ")&amp;IF(LEN(IF(LEN(INDEX('Vendor COIs'!$G$4:$G$503,(_calc!$E$58-500)))=0,"",INDEX('Vendor COIs'!$G$4:$G$503,(_calc!$E$58-500))))=0,"","Additional insured: "&amp;IF(LEN(INDEX('Vendor COIs'!$G$4:$G$503,(_calc!$E$58-500)))=0,"",INDEX('Vendor COIs'!$G$4:$G$503,(_calc!$E$58-500)))&amp;". ")&amp;IF(LEN(IF(LEN(INDEX('Vendor COIs'!$M$4:$M$503,(_calc!$E$58-500)))=0,"",INDEX('Vendor COIs'!$M$4:$M$503,(_calc!$E$58-500))))=0,"","Vendor contact: "&amp;IF(LEN(INDEX('Vendor COIs'!$M$4:$M$503,(_calc!$E$58-500)))=0,"",INDEX('Vendor COIs'!$M$4:$M$503,(_calc!$E$58-500)))&amp;". ")&amp;IF(LEN(IF(LEN(INDEX('Vendor COIs'!$P$4:$P$503,(_calc!$E$58-500)))=0,"",INDEX('Vendor COIs'!$P$4:$P$503,(_calc!$E$58-500))))=0,"",IF(LEN(INDEX('Vendor COIs'!$P$4:$P$503,(_calc!$E$58-500)))=0,"",INDEX('Vendor COIs'!$P$4:$P$503,(_calc!$E$58-500)))))))</f>
        <v/>
      </c>
      <c r="G56" s="46">
        <f>IF(_calc!$E$58="","",IF(_calc!$E$58&lt;=500,IF(LEN(INDEX('Our policies'!$R$4:$R$503,_calc!$E$58))=0,"",INDEX('Our policies'!$R$4:$R$503,_calc!$E$58)),IF(LEN(INDEX('Vendor COIs'!$O$4:$O$503,(_calc!$E$58-500)))=0,"",INDEX('Vendor COIs'!$O$4:$O$503,(_calc!$E$58-500)))))</f>
        <v/>
      </c>
      <c r="H56" s="46">
        <f>IF(_calc!$E$58="","",IF(_calc!$E$58&lt;=500,IF(LEN(INDEX('Our policies'!$G$4:$G$503,_calc!$E$58))=0,"",INDEX('Our policies'!$G$4:$G$503,_calc!$E$58)),""))</f>
        <v/>
      </c>
      <c r="I56" s="46">
        <f>IF(_calc!$E$58="","",IF(_calc!$E$58&lt;=500,IF(LEN(INDEX('Our policies'!$H$4:$H$503,_calc!$E$58))=0,"",INDEX('Our policies'!$H$4:$H$503,_calc!$E$58)),""))</f>
        <v/>
      </c>
      <c r="K56" s="46">
        <f>IF(_calc!$E$58="","",IF(_calc!$E$58&lt;=500,IF(LEN(INDEX('Our policies'!$P$4:$P$503,_calc!$E$58))=0,"",INDEX('Our policies'!$P$4:$P$503,_calc!$E$58)),IF(LEN(INDEX('Vendor COIs'!$N$4:$N$503,(_calc!$E$58-500)))=0,"",INDEX('Vendor COIs'!$N$4:$N$503,(_calc!$E$58-500)))))</f>
        <v/>
      </c>
    </row>
    <row r="57">
      <c r="A57" s="46">
        <f>IF(_calc!$E$59="","",IF(_calc!$E$59&lt;=500,IF(LEN(INDEX('Our policies'!$A$4:$A$503,_calc!$E$59))=0,"",INDEX('Our policies'!$A$4:$A$503,_calc!$E$59)),"COI – "&amp;IF(LEN(INDEX('Vendor COIs'!$A$4:$A$503,(_calc!$E$59-500)))=0,"",INDEX('Vendor COIs'!$A$4:$A$503,(_calc!$E$59-500)))&amp;" – "&amp;IF(LEN(INDEX('Vendor COIs'!$B$4:$B$503,(_calc!$E$59-500)))=0,"",INDEX('Vendor COIs'!$B$4:$B$503,(_calc!$E$59-500)))))</f>
        <v/>
      </c>
      <c r="B57" s="46">
        <f>IF(_calc!$E$59="","",IF(_calc!$E$59&lt;=500,IF(ISNUMBER(INDEX('Our policies'!$J$4:$J$503,_calc!$E$59)),TEXT(INDEX('Our policies'!$J$4:$J$503,_calc!$E$59),"yyyy-mm-dd"),""),IF(ISNUMBER(INDEX('Vendor COIs'!$H$4:$H$503,(_calc!$E$59-500))),TEXT(INDEX('Vendor COIs'!$H$4:$H$503,(_calc!$E$59-500)),"yyyy-mm-dd"),"")))</f>
        <v/>
      </c>
      <c r="C57" s="46">
        <f>IF(_calc!$E$59="","",IF(_calc!$E$59&lt;=500,"Insurance","Certificate of insurance"))</f>
        <v/>
      </c>
      <c r="D57" s="46">
        <f>IF(_calc!$E$59="","",IF(_calc!$E$59&lt;=500,IF(ISNUMBER(INDEX('Our policies'!$I$4:$I$503,_calc!$E$59)),TEXT(INDEX('Our policies'!$I$4:$I$503,_calc!$E$59),"yyyy-mm-dd"),""),""))</f>
        <v/>
      </c>
      <c r="E57" s="46">
        <f>IF(_calc!$E$59="","",IF(_calc!$E$59&lt;=500,IF(LEN(INDEX('Our policies'!$Q$4:$Q$503,_calc!$E$59))=0,"",INDEX('Our policies'!$Q$4:$Q$503,_calc!$E$59)),"Medium"))</f>
        <v/>
      </c>
      <c r="F57" s="46">
        <f>IF(_calc!$E$59="","",IF(_calc!$E$59&lt;=500,TRIM(IF(LEN(IF(LEN(INDEX('Our policies'!$B$4:$B$503,_calc!$E$59))=0,"",INDEX('Our policies'!$B$4:$B$503,_calc!$E$59)))=0,"","Cover: "&amp;IF(LEN(INDEX('Our policies'!$B$4:$B$503,_calc!$E$59))=0,"",INDEX('Our policies'!$B$4:$B$503,_calc!$E$59))&amp;". ")&amp;IF(LEN(IF(LEN(INDEX('Our policies'!$C$4:$C$503,_calc!$E$59))=0,"",INDEX('Our policies'!$C$4:$C$503,_calc!$E$59)))=0,"","Insurer: "&amp;IF(LEN(INDEX('Our policies'!$C$4:$C$503,_calc!$E$59))=0,"",INDEX('Our policies'!$C$4:$C$503,_calc!$E$59))&amp;". ")&amp;IF(LEN(IF(LEN(INDEX('Our policies'!$D$4:$D$503,_calc!$E$59))=0,"",INDEX('Our policies'!$D$4:$D$503,_calc!$E$59)))=0,"","Broker: "&amp;IF(LEN(INDEX('Our policies'!$D$4:$D$503,_calc!$E$59))=0,"",INDEX('Our policies'!$D$4:$D$503,_calc!$E$59))&amp;". ")&amp;IF(LEN(IF(LEN(INDEX('Our policies'!$E$4:$E$503,_calc!$E$59))=0,"",INDEX('Our policies'!$E$4:$E$503,_calc!$E$59)))=0,"","Policy no.: "&amp;IF(LEN(INDEX('Our policies'!$E$4:$E$503,_calc!$E$59))=0,"",INDEX('Our policies'!$E$4:$E$503,_calc!$E$59))&amp;". ")&amp;IF(LEN(IF(LEN(INDEX('Our policies'!$S$4:$S$503,_calc!$E$59))=0,"",INDEX('Our policies'!$S$4:$S$503,_calc!$E$59)))=0,"",IF(LEN(INDEX('Our policies'!$S$4:$S$503,_calc!$E$59))=0,"",INDEX('Our policies'!$S$4:$S$503,_calc!$E$59)))),TRIM(IF(LEN(IF(LEN(INDEX('Vendor COIs'!$C$4:$C$503,(_calc!$E$59-500)))=0,"",INDEX('Vendor COIs'!$C$4:$C$503,(_calc!$E$59-500))))=0,"","Insurer: "&amp;IF(LEN(INDEX('Vendor COIs'!$C$4:$C$503,(_calc!$E$59-500)))=0,"",INDEX('Vendor COIs'!$C$4:$C$503,(_calc!$E$59-500)))&amp;". ")&amp;IF(LEN(IF(LEN(INDEX('Vendor COIs'!$D$4:$D$503,(_calc!$E$59-500)))=0,"",INDEX('Vendor COIs'!$D$4:$D$503,(_calc!$E$59-500))))=0,"","Policy no.: "&amp;IF(LEN(INDEX('Vendor COIs'!$D$4:$D$503,(_calc!$E$59-500)))=0,"",INDEX('Vendor COIs'!$D$4:$D$503,(_calc!$E$59-500)))&amp;". ")&amp;IF(LEN(IF(LEN(INDEX('Vendor COIs'!$F$4:$F$503,(_calc!$E$59-500)))=0,"",INDEX('Vendor COIs'!$F$4:$F$503,(_calc!$E$59-500))))=0,"","Meets minimum: "&amp;IF(LEN(INDEX('Vendor COIs'!$F$4:$F$503,(_calc!$E$59-500)))=0,"",INDEX('Vendor COIs'!$F$4:$F$503,(_calc!$E$59-500)))&amp;". ")&amp;IF(LEN(IF(LEN(INDEX('Vendor COIs'!$G$4:$G$503,(_calc!$E$59-500)))=0,"",INDEX('Vendor COIs'!$G$4:$G$503,(_calc!$E$59-500))))=0,"","Additional insured: "&amp;IF(LEN(INDEX('Vendor COIs'!$G$4:$G$503,(_calc!$E$59-500)))=0,"",INDEX('Vendor COIs'!$G$4:$G$503,(_calc!$E$59-500)))&amp;". ")&amp;IF(LEN(IF(LEN(INDEX('Vendor COIs'!$M$4:$M$503,(_calc!$E$59-500)))=0,"",INDEX('Vendor COIs'!$M$4:$M$503,(_calc!$E$59-500))))=0,"","Vendor contact: "&amp;IF(LEN(INDEX('Vendor COIs'!$M$4:$M$503,(_calc!$E$59-500)))=0,"",INDEX('Vendor COIs'!$M$4:$M$503,(_calc!$E$59-500)))&amp;". ")&amp;IF(LEN(IF(LEN(INDEX('Vendor COIs'!$P$4:$P$503,(_calc!$E$59-500)))=0,"",INDEX('Vendor COIs'!$P$4:$P$503,(_calc!$E$59-500))))=0,"",IF(LEN(INDEX('Vendor COIs'!$P$4:$P$503,(_calc!$E$59-500)))=0,"",INDEX('Vendor COIs'!$P$4:$P$503,(_calc!$E$59-500)))))))</f>
        <v/>
      </c>
      <c r="G57" s="46">
        <f>IF(_calc!$E$59="","",IF(_calc!$E$59&lt;=500,IF(LEN(INDEX('Our policies'!$R$4:$R$503,_calc!$E$59))=0,"",INDEX('Our policies'!$R$4:$R$503,_calc!$E$59)),IF(LEN(INDEX('Vendor COIs'!$O$4:$O$503,(_calc!$E$59-500)))=0,"",INDEX('Vendor COIs'!$O$4:$O$503,(_calc!$E$59-500)))))</f>
        <v/>
      </c>
      <c r="H57" s="46">
        <f>IF(_calc!$E$59="","",IF(_calc!$E$59&lt;=500,IF(LEN(INDEX('Our policies'!$G$4:$G$503,_calc!$E$59))=0,"",INDEX('Our policies'!$G$4:$G$503,_calc!$E$59)),""))</f>
        <v/>
      </c>
      <c r="I57" s="46">
        <f>IF(_calc!$E$59="","",IF(_calc!$E$59&lt;=500,IF(LEN(INDEX('Our policies'!$H$4:$H$503,_calc!$E$59))=0,"",INDEX('Our policies'!$H$4:$H$503,_calc!$E$59)),""))</f>
        <v/>
      </c>
      <c r="K57" s="46">
        <f>IF(_calc!$E$59="","",IF(_calc!$E$59&lt;=500,IF(LEN(INDEX('Our policies'!$P$4:$P$503,_calc!$E$59))=0,"",INDEX('Our policies'!$P$4:$P$503,_calc!$E$59)),IF(LEN(INDEX('Vendor COIs'!$N$4:$N$503,(_calc!$E$59-500)))=0,"",INDEX('Vendor COIs'!$N$4:$N$503,(_calc!$E$59-500)))))</f>
        <v/>
      </c>
    </row>
    <row r="58">
      <c r="A58" s="46">
        <f>IF(_calc!$E$60="","",IF(_calc!$E$60&lt;=500,IF(LEN(INDEX('Our policies'!$A$4:$A$503,_calc!$E$60))=0,"",INDEX('Our policies'!$A$4:$A$503,_calc!$E$60)),"COI – "&amp;IF(LEN(INDEX('Vendor COIs'!$A$4:$A$503,(_calc!$E$60-500)))=0,"",INDEX('Vendor COIs'!$A$4:$A$503,(_calc!$E$60-500)))&amp;" – "&amp;IF(LEN(INDEX('Vendor COIs'!$B$4:$B$503,(_calc!$E$60-500)))=0,"",INDEX('Vendor COIs'!$B$4:$B$503,(_calc!$E$60-500)))))</f>
        <v/>
      </c>
      <c r="B58" s="46">
        <f>IF(_calc!$E$60="","",IF(_calc!$E$60&lt;=500,IF(ISNUMBER(INDEX('Our policies'!$J$4:$J$503,_calc!$E$60)),TEXT(INDEX('Our policies'!$J$4:$J$503,_calc!$E$60),"yyyy-mm-dd"),""),IF(ISNUMBER(INDEX('Vendor COIs'!$H$4:$H$503,(_calc!$E$60-500))),TEXT(INDEX('Vendor COIs'!$H$4:$H$503,(_calc!$E$60-500)),"yyyy-mm-dd"),"")))</f>
        <v/>
      </c>
      <c r="C58" s="46">
        <f>IF(_calc!$E$60="","",IF(_calc!$E$60&lt;=500,"Insurance","Certificate of insurance"))</f>
        <v/>
      </c>
      <c r="D58" s="46">
        <f>IF(_calc!$E$60="","",IF(_calc!$E$60&lt;=500,IF(ISNUMBER(INDEX('Our policies'!$I$4:$I$503,_calc!$E$60)),TEXT(INDEX('Our policies'!$I$4:$I$503,_calc!$E$60),"yyyy-mm-dd"),""),""))</f>
        <v/>
      </c>
      <c r="E58" s="46">
        <f>IF(_calc!$E$60="","",IF(_calc!$E$60&lt;=500,IF(LEN(INDEX('Our policies'!$Q$4:$Q$503,_calc!$E$60))=0,"",INDEX('Our policies'!$Q$4:$Q$503,_calc!$E$60)),"Medium"))</f>
        <v/>
      </c>
      <c r="F58" s="46">
        <f>IF(_calc!$E$60="","",IF(_calc!$E$60&lt;=500,TRIM(IF(LEN(IF(LEN(INDEX('Our policies'!$B$4:$B$503,_calc!$E$60))=0,"",INDEX('Our policies'!$B$4:$B$503,_calc!$E$60)))=0,"","Cover: "&amp;IF(LEN(INDEX('Our policies'!$B$4:$B$503,_calc!$E$60))=0,"",INDEX('Our policies'!$B$4:$B$503,_calc!$E$60))&amp;". ")&amp;IF(LEN(IF(LEN(INDEX('Our policies'!$C$4:$C$503,_calc!$E$60))=0,"",INDEX('Our policies'!$C$4:$C$503,_calc!$E$60)))=0,"","Insurer: "&amp;IF(LEN(INDEX('Our policies'!$C$4:$C$503,_calc!$E$60))=0,"",INDEX('Our policies'!$C$4:$C$503,_calc!$E$60))&amp;". ")&amp;IF(LEN(IF(LEN(INDEX('Our policies'!$D$4:$D$503,_calc!$E$60))=0,"",INDEX('Our policies'!$D$4:$D$503,_calc!$E$60)))=0,"","Broker: "&amp;IF(LEN(INDEX('Our policies'!$D$4:$D$503,_calc!$E$60))=0,"",INDEX('Our policies'!$D$4:$D$503,_calc!$E$60))&amp;". ")&amp;IF(LEN(IF(LEN(INDEX('Our policies'!$E$4:$E$503,_calc!$E$60))=0,"",INDEX('Our policies'!$E$4:$E$503,_calc!$E$60)))=0,"","Policy no.: "&amp;IF(LEN(INDEX('Our policies'!$E$4:$E$503,_calc!$E$60))=0,"",INDEX('Our policies'!$E$4:$E$503,_calc!$E$60))&amp;". ")&amp;IF(LEN(IF(LEN(INDEX('Our policies'!$S$4:$S$503,_calc!$E$60))=0,"",INDEX('Our policies'!$S$4:$S$503,_calc!$E$60)))=0,"",IF(LEN(INDEX('Our policies'!$S$4:$S$503,_calc!$E$60))=0,"",INDEX('Our policies'!$S$4:$S$503,_calc!$E$60)))),TRIM(IF(LEN(IF(LEN(INDEX('Vendor COIs'!$C$4:$C$503,(_calc!$E$60-500)))=0,"",INDEX('Vendor COIs'!$C$4:$C$503,(_calc!$E$60-500))))=0,"","Insurer: "&amp;IF(LEN(INDEX('Vendor COIs'!$C$4:$C$503,(_calc!$E$60-500)))=0,"",INDEX('Vendor COIs'!$C$4:$C$503,(_calc!$E$60-500)))&amp;". ")&amp;IF(LEN(IF(LEN(INDEX('Vendor COIs'!$D$4:$D$503,(_calc!$E$60-500)))=0,"",INDEX('Vendor COIs'!$D$4:$D$503,(_calc!$E$60-500))))=0,"","Policy no.: "&amp;IF(LEN(INDEX('Vendor COIs'!$D$4:$D$503,(_calc!$E$60-500)))=0,"",INDEX('Vendor COIs'!$D$4:$D$503,(_calc!$E$60-500)))&amp;". ")&amp;IF(LEN(IF(LEN(INDEX('Vendor COIs'!$F$4:$F$503,(_calc!$E$60-500)))=0,"",INDEX('Vendor COIs'!$F$4:$F$503,(_calc!$E$60-500))))=0,"","Meets minimum: "&amp;IF(LEN(INDEX('Vendor COIs'!$F$4:$F$503,(_calc!$E$60-500)))=0,"",INDEX('Vendor COIs'!$F$4:$F$503,(_calc!$E$60-500)))&amp;". ")&amp;IF(LEN(IF(LEN(INDEX('Vendor COIs'!$G$4:$G$503,(_calc!$E$60-500)))=0,"",INDEX('Vendor COIs'!$G$4:$G$503,(_calc!$E$60-500))))=0,"","Additional insured: "&amp;IF(LEN(INDEX('Vendor COIs'!$G$4:$G$503,(_calc!$E$60-500)))=0,"",INDEX('Vendor COIs'!$G$4:$G$503,(_calc!$E$60-500)))&amp;". ")&amp;IF(LEN(IF(LEN(INDEX('Vendor COIs'!$M$4:$M$503,(_calc!$E$60-500)))=0,"",INDEX('Vendor COIs'!$M$4:$M$503,(_calc!$E$60-500))))=0,"","Vendor contact: "&amp;IF(LEN(INDEX('Vendor COIs'!$M$4:$M$503,(_calc!$E$60-500)))=0,"",INDEX('Vendor COIs'!$M$4:$M$503,(_calc!$E$60-500)))&amp;". ")&amp;IF(LEN(IF(LEN(INDEX('Vendor COIs'!$P$4:$P$503,(_calc!$E$60-500)))=0,"",INDEX('Vendor COIs'!$P$4:$P$503,(_calc!$E$60-500))))=0,"",IF(LEN(INDEX('Vendor COIs'!$P$4:$P$503,(_calc!$E$60-500)))=0,"",INDEX('Vendor COIs'!$P$4:$P$503,(_calc!$E$60-500)))))))</f>
        <v/>
      </c>
      <c r="G58" s="46">
        <f>IF(_calc!$E$60="","",IF(_calc!$E$60&lt;=500,IF(LEN(INDEX('Our policies'!$R$4:$R$503,_calc!$E$60))=0,"",INDEX('Our policies'!$R$4:$R$503,_calc!$E$60)),IF(LEN(INDEX('Vendor COIs'!$O$4:$O$503,(_calc!$E$60-500)))=0,"",INDEX('Vendor COIs'!$O$4:$O$503,(_calc!$E$60-500)))))</f>
        <v/>
      </c>
      <c r="H58" s="46">
        <f>IF(_calc!$E$60="","",IF(_calc!$E$60&lt;=500,IF(LEN(INDEX('Our policies'!$G$4:$G$503,_calc!$E$60))=0,"",INDEX('Our policies'!$G$4:$G$503,_calc!$E$60)),""))</f>
        <v/>
      </c>
      <c r="I58" s="46">
        <f>IF(_calc!$E$60="","",IF(_calc!$E$60&lt;=500,IF(LEN(INDEX('Our policies'!$H$4:$H$503,_calc!$E$60))=0,"",INDEX('Our policies'!$H$4:$H$503,_calc!$E$60)),""))</f>
        <v/>
      </c>
      <c r="K58" s="46">
        <f>IF(_calc!$E$60="","",IF(_calc!$E$60&lt;=500,IF(LEN(INDEX('Our policies'!$P$4:$P$503,_calc!$E$60))=0,"",INDEX('Our policies'!$P$4:$P$503,_calc!$E$60)),IF(LEN(INDEX('Vendor COIs'!$N$4:$N$503,(_calc!$E$60-500)))=0,"",INDEX('Vendor COIs'!$N$4:$N$503,(_calc!$E$60-500)))))</f>
        <v/>
      </c>
    </row>
    <row r="59">
      <c r="A59" s="46">
        <f>IF(_calc!$E$61="","",IF(_calc!$E$61&lt;=500,IF(LEN(INDEX('Our policies'!$A$4:$A$503,_calc!$E$61))=0,"",INDEX('Our policies'!$A$4:$A$503,_calc!$E$61)),"COI – "&amp;IF(LEN(INDEX('Vendor COIs'!$A$4:$A$503,(_calc!$E$61-500)))=0,"",INDEX('Vendor COIs'!$A$4:$A$503,(_calc!$E$61-500)))&amp;" – "&amp;IF(LEN(INDEX('Vendor COIs'!$B$4:$B$503,(_calc!$E$61-500)))=0,"",INDEX('Vendor COIs'!$B$4:$B$503,(_calc!$E$61-500)))))</f>
        <v/>
      </c>
      <c r="B59" s="46">
        <f>IF(_calc!$E$61="","",IF(_calc!$E$61&lt;=500,IF(ISNUMBER(INDEX('Our policies'!$J$4:$J$503,_calc!$E$61)),TEXT(INDEX('Our policies'!$J$4:$J$503,_calc!$E$61),"yyyy-mm-dd"),""),IF(ISNUMBER(INDEX('Vendor COIs'!$H$4:$H$503,(_calc!$E$61-500))),TEXT(INDEX('Vendor COIs'!$H$4:$H$503,(_calc!$E$61-500)),"yyyy-mm-dd"),"")))</f>
        <v/>
      </c>
      <c r="C59" s="46">
        <f>IF(_calc!$E$61="","",IF(_calc!$E$61&lt;=500,"Insurance","Certificate of insurance"))</f>
        <v/>
      </c>
      <c r="D59" s="46">
        <f>IF(_calc!$E$61="","",IF(_calc!$E$61&lt;=500,IF(ISNUMBER(INDEX('Our policies'!$I$4:$I$503,_calc!$E$61)),TEXT(INDEX('Our policies'!$I$4:$I$503,_calc!$E$61),"yyyy-mm-dd"),""),""))</f>
        <v/>
      </c>
      <c r="E59" s="46">
        <f>IF(_calc!$E$61="","",IF(_calc!$E$61&lt;=500,IF(LEN(INDEX('Our policies'!$Q$4:$Q$503,_calc!$E$61))=0,"",INDEX('Our policies'!$Q$4:$Q$503,_calc!$E$61)),"Medium"))</f>
        <v/>
      </c>
      <c r="F59" s="46">
        <f>IF(_calc!$E$61="","",IF(_calc!$E$61&lt;=500,TRIM(IF(LEN(IF(LEN(INDEX('Our policies'!$B$4:$B$503,_calc!$E$61))=0,"",INDEX('Our policies'!$B$4:$B$503,_calc!$E$61)))=0,"","Cover: "&amp;IF(LEN(INDEX('Our policies'!$B$4:$B$503,_calc!$E$61))=0,"",INDEX('Our policies'!$B$4:$B$503,_calc!$E$61))&amp;". ")&amp;IF(LEN(IF(LEN(INDEX('Our policies'!$C$4:$C$503,_calc!$E$61))=0,"",INDEX('Our policies'!$C$4:$C$503,_calc!$E$61)))=0,"","Insurer: "&amp;IF(LEN(INDEX('Our policies'!$C$4:$C$503,_calc!$E$61))=0,"",INDEX('Our policies'!$C$4:$C$503,_calc!$E$61))&amp;". ")&amp;IF(LEN(IF(LEN(INDEX('Our policies'!$D$4:$D$503,_calc!$E$61))=0,"",INDEX('Our policies'!$D$4:$D$503,_calc!$E$61)))=0,"","Broker: "&amp;IF(LEN(INDEX('Our policies'!$D$4:$D$503,_calc!$E$61))=0,"",INDEX('Our policies'!$D$4:$D$503,_calc!$E$61))&amp;". ")&amp;IF(LEN(IF(LEN(INDEX('Our policies'!$E$4:$E$503,_calc!$E$61))=0,"",INDEX('Our policies'!$E$4:$E$503,_calc!$E$61)))=0,"","Policy no.: "&amp;IF(LEN(INDEX('Our policies'!$E$4:$E$503,_calc!$E$61))=0,"",INDEX('Our policies'!$E$4:$E$503,_calc!$E$61))&amp;". ")&amp;IF(LEN(IF(LEN(INDEX('Our policies'!$S$4:$S$503,_calc!$E$61))=0,"",INDEX('Our policies'!$S$4:$S$503,_calc!$E$61)))=0,"",IF(LEN(INDEX('Our policies'!$S$4:$S$503,_calc!$E$61))=0,"",INDEX('Our policies'!$S$4:$S$503,_calc!$E$61)))),TRIM(IF(LEN(IF(LEN(INDEX('Vendor COIs'!$C$4:$C$503,(_calc!$E$61-500)))=0,"",INDEX('Vendor COIs'!$C$4:$C$503,(_calc!$E$61-500))))=0,"","Insurer: "&amp;IF(LEN(INDEX('Vendor COIs'!$C$4:$C$503,(_calc!$E$61-500)))=0,"",INDEX('Vendor COIs'!$C$4:$C$503,(_calc!$E$61-500)))&amp;". ")&amp;IF(LEN(IF(LEN(INDEX('Vendor COIs'!$D$4:$D$503,(_calc!$E$61-500)))=0,"",INDEX('Vendor COIs'!$D$4:$D$503,(_calc!$E$61-500))))=0,"","Policy no.: "&amp;IF(LEN(INDEX('Vendor COIs'!$D$4:$D$503,(_calc!$E$61-500)))=0,"",INDEX('Vendor COIs'!$D$4:$D$503,(_calc!$E$61-500)))&amp;". ")&amp;IF(LEN(IF(LEN(INDEX('Vendor COIs'!$F$4:$F$503,(_calc!$E$61-500)))=0,"",INDEX('Vendor COIs'!$F$4:$F$503,(_calc!$E$61-500))))=0,"","Meets minimum: "&amp;IF(LEN(INDEX('Vendor COIs'!$F$4:$F$503,(_calc!$E$61-500)))=0,"",INDEX('Vendor COIs'!$F$4:$F$503,(_calc!$E$61-500)))&amp;". ")&amp;IF(LEN(IF(LEN(INDEX('Vendor COIs'!$G$4:$G$503,(_calc!$E$61-500)))=0,"",INDEX('Vendor COIs'!$G$4:$G$503,(_calc!$E$61-500))))=0,"","Additional insured: "&amp;IF(LEN(INDEX('Vendor COIs'!$G$4:$G$503,(_calc!$E$61-500)))=0,"",INDEX('Vendor COIs'!$G$4:$G$503,(_calc!$E$61-500)))&amp;". ")&amp;IF(LEN(IF(LEN(INDEX('Vendor COIs'!$M$4:$M$503,(_calc!$E$61-500)))=0,"",INDEX('Vendor COIs'!$M$4:$M$503,(_calc!$E$61-500))))=0,"","Vendor contact: "&amp;IF(LEN(INDEX('Vendor COIs'!$M$4:$M$503,(_calc!$E$61-500)))=0,"",INDEX('Vendor COIs'!$M$4:$M$503,(_calc!$E$61-500)))&amp;". ")&amp;IF(LEN(IF(LEN(INDEX('Vendor COIs'!$P$4:$P$503,(_calc!$E$61-500)))=0,"",INDEX('Vendor COIs'!$P$4:$P$503,(_calc!$E$61-500))))=0,"",IF(LEN(INDEX('Vendor COIs'!$P$4:$P$503,(_calc!$E$61-500)))=0,"",INDEX('Vendor COIs'!$P$4:$P$503,(_calc!$E$61-500)))))))</f>
        <v/>
      </c>
      <c r="G59" s="46">
        <f>IF(_calc!$E$61="","",IF(_calc!$E$61&lt;=500,IF(LEN(INDEX('Our policies'!$R$4:$R$503,_calc!$E$61))=0,"",INDEX('Our policies'!$R$4:$R$503,_calc!$E$61)),IF(LEN(INDEX('Vendor COIs'!$O$4:$O$503,(_calc!$E$61-500)))=0,"",INDEX('Vendor COIs'!$O$4:$O$503,(_calc!$E$61-500)))))</f>
        <v/>
      </c>
      <c r="H59" s="46">
        <f>IF(_calc!$E$61="","",IF(_calc!$E$61&lt;=500,IF(LEN(INDEX('Our policies'!$G$4:$G$503,_calc!$E$61))=0,"",INDEX('Our policies'!$G$4:$G$503,_calc!$E$61)),""))</f>
        <v/>
      </c>
      <c r="I59" s="46">
        <f>IF(_calc!$E$61="","",IF(_calc!$E$61&lt;=500,IF(LEN(INDEX('Our policies'!$H$4:$H$503,_calc!$E$61))=0,"",INDEX('Our policies'!$H$4:$H$503,_calc!$E$61)),""))</f>
        <v/>
      </c>
      <c r="K59" s="46">
        <f>IF(_calc!$E$61="","",IF(_calc!$E$61&lt;=500,IF(LEN(INDEX('Our policies'!$P$4:$P$503,_calc!$E$61))=0,"",INDEX('Our policies'!$P$4:$P$503,_calc!$E$61)),IF(LEN(INDEX('Vendor COIs'!$N$4:$N$503,(_calc!$E$61-500)))=0,"",INDEX('Vendor COIs'!$N$4:$N$503,(_calc!$E$61-500)))))</f>
        <v/>
      </c>
    </row>
    <row r="60">
      <c r="A60" s="46">
        <f>IF(_calc!$E$62="","",IF(_calc!$E$62&lt;=500,IF(LEN(INDEX('Our policies'!$A$4:$A$503,_calc!$E$62))=0,"",INDEX('Our policies'!$A$4:$A$503,_calc!$E$62)),"COI – "&amp;IF(LEN(INDEX('Vendor COIs'!$A$4:$A$503,(_calc!$E$62-500)))=0,"",INDEX('Vendor COIs'!$A$4:$A$503,(_calc!$E$62-500)))&amp;" – "&amp;IF(LEN(INDEX('Vendor COIs'!$B$4:$B$503,(_calc!$E$62-500)))=0,"",INDEX('Vendor COIs'!$B$4:$B$503,(_calc!$E$62-500)))))</f>
        <v/>
      </c>
      <c r="B60" s="46">
        <f>IF(_calc!$E$62="","",IF(_calc!$E$62&lt;=500,IF(ISNUMBER(INDEX('Our policies'!$J$4:$J$503,_calc!$E$62)),TEXT(INDEX('Our policies'!$J$4:$J$503,_calc!$E$62),"yyyy-mm-dd"),""),IF(ISNUMBER(INDEX('Vendor COIs'!$H$4:$H$503,(_calc!$E$62-500))),TEXT(INDEX('Vendor COIs'!$H$4:$H$503,(_calc!$E$62-500)),"yyyy-mm-dd"),"")))</f>
        <v/>
      </c>
      <c r="C60" s="46">
        <f>IF(_calc!$E$62="","",IF(_calc!$E$62&lt;=500,"Insurance","Certificate of insurance"))</f>
        <v/>
      </c>
      <c r="D60" s="46">
        <f>IF(_calc!$E$62="","",IF(_calc!$E$62&lt;=500,IF(ISNUMBER(INDEX('Our policies'!$I$4:$I$503,_calc!$E$62)),TEXT(INDEX('Our policies'!$I$4:$I$503,_calc!$E$62),"yyyy-mm-dd"),""),""))</f>
        <v/>
      </c>
      <c r="E60" s="46">
        <f>IF(_calc!$E$62="","",IF(_calc!$E$62&lt;=500,IF(LEN(INDEX('Our policies'!$Q$4:$Q$503,_calc!$E$62))=0,"",INDEX('Our policies'!$Q$4:$Q$503,_calc!$E$62)),"Medium"))</f>
        <v/>
      </c>
      <c r="F60" s="46">
        <f>IF(_calc!$E$62="","",IF(_calc!$E$62&lt;=500,TRIM(IF(LEN(IF(LEN(INDEX('Our policies'!$B$4:$B$503,_calc!$E$62))=0,"",INDEX('Our policies'!$B$4:$B$503,_calc!$E$62)))=0,"","Cover: "&amp;IF(LEN(INDEX('Our policies'!$B$4:$B$503,_calc!$E$62))=0,"",INDEX('Our policies'!$B$4:$B$503,_calc!$E$62))&amp;". ")&amp;IF(LEN(IF(LEN(INDEX('Our policies'!$C$4:$C$503,_calc!$E$62))=0,"",INDEX('Our policies'!$C$4:$C$503,_calc!$E$62)))=0,"","Insurer: "&amp;IF(LEN(INDEX('Our policies'!$C$4:$C$503,_calc!$E$62))=0,"",INDEX('Our policies'!$C$4:$C$503,_calc!$E$62))&amp;". ")&amp;IF(LEN(IF(LEN(INDEX('Our policies'!$D$4:$D$503,_calc!$E$62))=0,"",INDEX('Our policies'!$D$4:$D$503,_calc!$E$62)))=0,"","Broker: "&amp;IF(LEN(INDEX('Our policies'!$D$4:$D$503,_calc!$E$62))=0,"",INDEX('Our policies'!$D$4:$D$503,_calc!$E$62))&amp;". ")&amp;IF(LEN(IF(LEN(INDEX('Our policies'!$E$4:$E$503,_calc!$E$62))=0,"",INDEX('Our policies'!$E$4:$E$503,_calc!$E$62)))=0,"","Policy no.: "&amp;IF(LEN(INDEX('Our policies'!$E$4:$E$503,_calc!$E$62))=0,"",INDEX('Our policies'!$E$4:$E$503,_calc!$E$62))&amp;". ")&amp;IF(LEN(IF(LEN(INDEX('Our policies'!$S$4:$S$503,_calc!$E$62))=0,"",INDEX('Our policies'!$S$4:$S$503,_calc!$E$62)))=0,"",IF(LEN(INDEX('Our policies'!$S$4:$S$503,_calc!$E$62))=0,"",INDEX('Our policies'!$S$4:$S$503,_calc!$E$62)))),TRIM(IF(LEN(IF(LEN(INDEX('Vendor COIs'!$C$4:$C$503,(_calc!$E$62-500)))=0,"",INDEX('Vendor COIs'!$C$4:$C$503,(_calc!$E$62-500))))=0,"","Insurer: "&amp;IF(LEN(INDEX('Vendor COIs'!$C$4:$C$503,(_calc!$E$62-500)))=0,"",INDEX('Vendor COIs'!$C$4:$C$503,(_calc!$E$62-500)))&amp;". ")&amp;IF(LEN(IF(LEN(INDEX('Vendor COIs'!$D$4:$D$503,(_calc!$E$62-500)))=0,"",INDEX('Vendor COIs'!$D$4:$D$503,(_calc!$E$62-500))))=0,"","Policy no.: "&amp;IF(LEN(INDEX('Vendor COIs'!$D$4:$D$503,(_calc!$E$62-500)))=0,"",INDEX('Vendor COIs'!$D$4:$D$503,(_calc!$E$62-500)))&amp;". ")&amp;IF(LEN(IF(LEN(INDEX('Vendor COIs'!$F$4:$F$503,(_calc!$E$62-500)))=0,"",INDEX('Vendor COIs'!$F$4:$F$503,(_calc!$E$62-500))))=0,"","Meets minimum: "&amp;IF(LEN(INDEX('Vendor COIs'!$F$4:$F$503,(_calc!$E$62-500)))=0,"",INDEX('Vendor COIs'!$F$4:$F$503,(_calc!$E$62-500)))&amp;". ")&amp;IF(LEN(IF(LEN(INDEX('Vendor COIs'!$G$4:$G$503,(_calc!$E$62-500)))=0,"",INDEX('Vendor COIs'!$G$4:$G$503,(_calc!$E$62-500))))=0,"","Additional insured: "&amp;IF(LEN(INDEX('Vendor COIs'!$G$4:$G$503,(_calc!$E$62-500)))=0,"",INDEX('Vendor COIs'!$G$4:$G$503,(_calc!$E$62-500)))&amp;". ")&amp;IF(LEN(IF(LEN(INDEX('Vendor COIs'!$M$4:$M$503,(_calc!$E$62-500)))=0,"",INDEX('Vendor COIs'!$M$4:$M$503,(_calc!$E$62-500))))=0,"","Vendor contact: "&amp;IF(LEN(INDEX('Vendor COIs'!$M$4:$M$503,(_calc!$E$62-500)))=0,"",INDEX('Vendor COIs'!$M$4:$M$503,(_calc!$E$62-500)))&amp;". ")&amp;IF(LEN(IF(LEN(INDEX('Vendor COIs'!$P$4:$P$503,(_calc!$E$62-500)))=0,"",INDEX('Vendor COIs'!$P$4:$P$503,(_calc!$E$62-500))))=0,"",IF(LEN(INDEX('Vendor COIs'!$P$4:$P$503,(_calc!$E$62-500)))=0,"",INDEX('Vendor COIs'!$P$4:$P$503,(_calc!$E$62-500)))))))</f>
        <v/>
      </c>
      <c r="G60" s="46">
        <f>IF(_calc!$E$62="","",IF(_calc!$E$62&lt;=500,IF(LEN(INDEX('Our policies'!$R$4:$R$503,_calc!$E$62))=0,"",INDEX('Our policies'!$R$4:$R$503,_calc!$E$62)),IF(LEN(INDEX('Vendor COIs'!$O$4:$O$503,(_calc!$E$62-500)))=0,"",INDEX('Vendor COIs'!$O$4:$O$503,(_calc!$E$62-500)))))</f>
        <v/>
      </c>
      <c r="H60" s="46">
        <f>IF(_calc!$E$62="","",IF(_calc!$E$62&lt;=500,IF(LEN(INDEX('Our policies'!$G$4:$G$503,_calc!$E$62))=0,"",INDEX('Our policies'!$G$4:$G$503,_calc!$E$62)),""))</f>
        <v/>
      </c>
      <c r="I60" s="46">
        <f>IF(_calc!$E$62="","",IF(_calc!$E$62&lt;=500,IF(LEN(INDEX('Our policies'!$H$4:$H$503,_calc!$E$62))=0,"",INDEX('Our policies'!$H$4:$H$503,_calc!$E$62)),""))</f>
        <v/>
      </c>
      <c r="K60" s="46">
        <f>IF(_calc!$E$62="","",IF(_calc!$E$62&lt;=500,IF(LEN(INDEX('Our policies'!$P$4:$P$503,_calc!$E$62))=0,"",INDEX('Our policies'!$P$4:$P$503,_calc!$E$62)),IF(LEN(INDEX('Vendor COIs'!$N$4:$N$503,(_calc!$E$62-500)))=0,"",INDEX('Vendor COIs'!$N$4:$N$503,(_calc!$E$62-500)))))</f>
        <v/>
      </c>
    </row>
    <row r="61">
      <c r="A61" s="46">
        <f>IF(_calc!$E$63="","",IF(_calc!$E$63&lt;=500,IF(LEN(INDEX('Our policies'!$A$4:$A$503,_calc!$E$63))=0,"",INDEX('Our policies'!$A$4:$A$503,_calc!$E$63)),"COI – "&amp;IF(LEN(INDEX('Vendor COIs'!$A$4:$A$503,(_calc!$E$63-500)))=0,"",INDEX('Vendor COIs'!$A$4:$A$503,(_calc!$E$63-500)))&amp;" – "&amp;IF(LEN(INDEX('Vendor COIs'!$B$4:$B$503,(_calc!$E$63-500)))=0,"",INDEX('Vendor COIs'!$B$4:$B$503,(_calc!$E$63-500)))))</f>
        <v/>
      </c>
      <c r="B61" s="46">
        <f>IF(_calc!$E$63="","",IF(_calc!$E$63&lt;=500,IF(ISNUMBER(INDEX('Our policies'!$J$4:$J$503,_calc!$E$63)),TEXT(INDEX('Our policies'!$J$4:$J$503,_calc!$E$63),"yyyy-mm-dd"),""),IF(ISNUMBER(INDEX('Vendor COIs'!$H$4:$H$503,(_calc!$E$63-500))),TEXT(INDEX('Vendor COIs'!$H$4:$H$503,(_calc!$E$63-500)),"yyyy-mm-dd"),"")))</f>
        <v/>
      </c>
      <c r="C61" s="46">
        <f>IF(_calc!$E$63="","",IF(_calc!$E$63&lt;=500,"Insurance","Certificate of insurance"))</f>
        <v/>
      </c>
      <c r="D61" s="46">
        <f>IF(_calc!$E$63="","",IF(_calc!$E$63&lt;=500,IF(ISNUMBER(INDEX('Our policies'!$I$4:$I$503,_calc!$E$63)),TEXT(INDEX('Our policies'!$I$4:$I$503,_calc!$E$63),"yyyy-mm-dd"),""),""))</f>
        <v/>
      </c>
      <c r="E61" s="46">
        <f>IF(_calc!$E$63="","",IF(_calc!$E$63&lt;=500,IF(LEN(INDEX('Our policies'!$Q$4:$Q$503,_calc!$E$63))=0,"",INDEX('Our policies'!$Q$4:$Q$503,_calc!$E$63)),"Medium"))</f>
        <v/>
      </c>
      <c r="F61" s="46">
        <f>IF(_calc!$E$63="","",IF(_calc!$E$63&lt;=500,TRIM(IF(LEN(IF(LEN(INDEX('Our policies'!$B$4:$B$503,_calc!$E$63))=0,"",INDEX('Our policies'!$B$4:$B$503,_calc!$E$63)))=0,"","Cover: "&amp;IF(LEN(INDEX('Our policies'!$B$4:$B$503,_calc!$E$63))=0,"",INDEX('Our policies'!$B$4:$B$503,_calc!$E$63))&amp;". ")&amp;IF(LEN(IF(LEN(INDEX('Our policies'!$C$4:$C$503,_calc!$E$63))=0,"",INDEX('Our policies'!$C$4:$C$503,_calc!$E$63)))=0,"","Insurer: "&amp;IF(LEN(INDEX('Our policies'!$C$4:$C$503,_calc!$E$63))=0,"",INDEX('Our policies'!$C$4:$C$503,_calc!$E$63))&amp;". ")&amp;IF(LEN(IF(LEN(INDEX('Our policies'!$D$4:$D$503,_calc!$E$63))=0,"",INDEX('Our policies'!$D$4:$D$503,_calc!$E$63)))=0,"","Broker: "&amp;IF(LEN(INDEX('Our policies'!$D$4:$D$503,_calc!$E$63))=0,"",INDEX('Our policies'!$D$4:$D$503,_calc!$E$63))&amp;". ")&amp;IF(LEN(IF(LEN(INDEX('Our policies'!$E$4:$E$503,_calc!$E$63))=0,"",INDEX('Our policies'!$E$4:$E$503,_calc!$E$63)))=0,"","Policy no.: "&amp;IF(LEN(INDEX('Our policies'!$E$4:$E$503,_calc!$E$63))=0,"",INDEX('Our policies'!$E$4:$E$503,_calc!$E$63))&amp;". ")&amp;IF(LEN(IF(LEN(INDEX('Our policies'!$S$4:$S$503,_calc!$E$63))=0,"",INDEX('Our policies'!$S$4:$S$503,_calc!$E$63)))=0,"",IF(LEN(INDEX('Our policies'!$S$4:$S$503,_calc!$E$63))=0,"",INDEX('Our policies'!$S$4:$S$503,_calc!$E$63)))),TRIM(IF(LEN(IF(LEN(INDEX('Vendor COIs'!$C$4:$C$503,(_calc!$E$63-500)))=0,"",INDEX('Vendor COIs'!$C$4:$C$503,(_calc!$E$63-500))))=0,"","Insurer: "&amp;IF(LEN(INDEX('Vendor COIs'!$C$4:$C$503,(_calc!$E$63-500)))=0,"",INDEX('Vendor COIs'!$C$4:$C$503,(_calc!$E$63-500)))&amp;". ")&amp;IF(LEN(IF(LEN(INDEX('Vendor COIs'!$D$4:$D$503,(_calc!$E$63-500)))=0,"",INDEX('Vendor COIs'!$D$4:$D$503,(_calc!$E$63-500))))=0,"","Policy no.: "&amp;IF(LEN(INDEX('Vendor COIs'!$D$4:$D$503,(_calc!$E$63-500)))=0,"",INDEX('Vendor COIs'!$D$4:$D$503,(_calc!$E$63-500)))&amp;". ")&amp;IF(LEN(IF(LEN(INDEX('Vendor COIs'!$F$4:$F$503,(_calc!$E$63-500)))=0,"",INDEX('Vendor COIs'!$F$4:$F$503,(_calc!$E$63-500))))=0,"","Meets minimum: "&amp;IF(LEN(INDEX('Vendor COIs'!$F$4:$F$503,(_calc!$E$63-500)))=0,"",INDEX('Vendor COIs'!$F$4:$F$503,(_calc!$E$63-500)))&amp;". ")&amp;IF(LEN(IF(LEN(INDEX('Vendor COIs'!$G$4:$G$503,(_calc!$E$63-500)))=0,"",INDEX('Vendor COIs'!$G$4:$G$503,(_calc!$E$63-500))))=0,"","Additional insured: "&amp;IF(LEN(INDEX('Vendor COIs'!$G$4:$G$503,(_calc!$E$63-500)))=0,"",INDEX('Vendor COIs'!$G$4:$G$503,(_calc!$E$63-500)))&amp;". ")&amp;IF(LEN(IF(LEN(INDEX('Vendor COIs'!$M$4:$M$503,(_calc!$E$63-500)))=0,"",INDEX('Vendor COIs'!$M$4:$M$503,(_calc!$E$63-500))))=0,"","Vendor contact: "&amp;IF(LEN(INDEX('Vendor COIs'!$M$4:$M$503,(_calc!$E$63-500)))=0,"",INDEX('Vendor COIs'!$M$4:$M$503,(_calc!$E$63-500)))&amp;". ")&amp;IF(LEN(IF(LEN(INDEX('Vendor COIs'!$P$4:$P$503,(_calc!$E$63-500)))=0,"",INDEX('Vendor COIs'!$P$4:$P$503,(_calc!$E$63-500))))=0,"",IF(LEN(INDEX('Vendor COIs'!$P$4:$P$503,(_calc!$E$63-500)))=0,"",INDEX('Vendor COIs'!$P$4:$P$503,(_calc!$E$63-500)))))))</f>
        <v/>
      </c>
      <c r="G61" s="46">
        <f>IF(_calc!$E$63="","",IF(_calc!$E$63&lt;=500,IF(LEN(INDEX('Our policies'!$R$4:$R$503,_calc!$E$63))=0,"",INDEX('Our policies'!$R$4:$R$503,_calc!$E$63)),IF(LEN(INDEX('Vendor COIs'!$O$4:$O$503,(_calc!$E$63-500)))=0,"",INDEX('Vendor COIs'!$O$4:$O$503,(_calc!$E$63-500)))))</f>
        <v/>
      </c>
      <c r="H61" s="46">
        <f>IF(_calc!$E$63="","",IF(_calc!$E$63&lt;=500,IF(LEN(INDEX('Our policies'!$G$4:$G$503,_calc!$E$63))=0,"",INDEX('Our policies'!$G$4:$G$503,_calc!$E$63)),""))</f>
        <v/>
      </c>
      <c r="I61" s="46">
        <f>IF(_calc!$E$63="","",IF(_calc!$E$63&lt;=500,IF(LEN(INDEX('Our policies'!$H$4:$H$503,_calc!$E$63))=0,"",INDEX('Our policies'!$H$4:$H$503,_calc!$E$63)),""))</f>
        <v/>
      </c>
      <c r="K61" s="46">
        <f>IF(_calc!$E$63="","",IF(_calc!$E$63&lt;=500,IF(LEN(INDEX('Our policies'!$P$4:$P$503,_calc!$E$63))=0,"",INDEX('Our policies'!$P$4:$P$503,_calc!$E$63)),IF(LEN(INDEX('Vendor COIs'!$N$4:$N$503,(_calc!$E$63-500)))=0,"",INDEX('Vendor COIs'!$N$4:$N$503,(_calc!$E$63-500)))))</f>
        <v/>
      </c>
    </row>
    <row r="62">
      <c r="A62" s="46">
        <f>IF(_calc!$E$64="","",IF(_calc!$E$64&lt;=500,IF(LEN(INDEX('Our policies'!$A$4:$A$503,_calc!$E$64))=0,"",INDEX('Our policies'!$A$4:$A$503,_calc!$E$64)),"COI – "&amp;IF(LEN(INDEX('Vendor COIs'!$A$4:$A$503,(_calc!$E$64-500)))=0,"",INDEX('Vendor COIs'!$A$4:$A$503,(_calc!$E$64-500)))&amp;" – "&amp;IF(LEN(INDEX('Vendor COIs'!$B$4:$B$503,(_calc!$E$64-500)))=0,"",INDEX('Vendor COIs'!$B$4:$B$503,(_calc!$E$64-500)))))</f>
        <v/>
      </c>
      <c r="B62" s="46">
        <f>IF(_calc!$E$64="","",IF(_calc!$E$64&lt;=500,IF(ISNUMBER(INDEX('Our policies'!$J$4:$J$503,_calc!$E$64)),TEXT(INDEX('Our policies'!$J$4:$J$503,_calc!$E$64),"yyyy-mm-dd"),""),IF(ISNUMBER(INDEX('Vendor COIs'!$H$4:$H$503,(_calc!$E$64-500))),TEXT(INDEX('Vendor COIs'!$H$4:$H$503,(_calc!$E$64-500)),"yyyy-mm-dd"),"")))</f>
        <v/>
      </c>
      <c r="C62" s="46">
        <f>IF(_calc!$E$64="","",IF(_calc!$E$64&lt;=500,"Insurance","Certificate of insurance"))</f>
        <v/>
      </c>
      <c r="D62" s="46">
        <f>IF(_calc!$E$64="","",IF(_calc!$E$64&lt;=500,IF(ISNUMBER(INDEX('Our policies'!$I$4:$I$503,_calc!$E$64)),TEXT(INDEX('Our policies'!$I$4:$I$503,_calc!$E$64),"yyyy-mm-dd"),""),""))</f>
        <v/>
      </c>
      <c r="E62" s="46">
        <f>IF(_calc!$E$64="","",IF(_calc!$E$64&lt;=500,IF(LEN(INDEX('Our policies'!$Q$4:$Q$503,_calc!$E$64))=0,"",INDEX('Our policies'!$Q$4:$Q$503,_calc!$E$64)),"Medium"))</f>
        <v/>
      </c>
      <c r="F62" s="46">
        <f>IF(_calc!$E$64="","",IF(_calc!$E$64&lt;=500,TRIM(IF(LEN(IF(LEN(INDEX('Our policies'!$B$4:$B$503,_calc!$E$64))=0,"",INDEX('Our policies'!$B$4:$B$503,_calc!$E$64)))=0,"","Cover: "&amp;IF(LEN(INDEX('Our policies'!$B$4:$B$503,_calc!$E$64))=0,"",INDEX('Our policies'!$B$4:$B$503,_calc!$E$64))&amp;". ")&amp;IF(LEN(IF(LEN(INDEX('Our policies'!$C$4:$C$503,_calc!$E$64))=0,"",INDEX('Our policies'!$C$4:$C$503,_calc!$E$64)))=0,"","Insurer: "&amp;IF(LEN(INDEX('Our policies'!$C$4:$C$503,_calc!$E$64))=0,"",INDEX('Our policies'!$C$4:$C$503,_calc!$E$64))&amp;". ")&amp;IF(LEN(IF(LEN(INDEX('Our policies'!$D$4:$D$503,_calc!$E$64))=0,"",INDEX('Our policies'!$D$4:$D$503,_calc!$E$64)))=0,"","Broker: "&amp;IF(LEN(INDEX('Our policies'!$D$4:$D$503,_calc!$E$64))=0,"",INDEX('Our policies'!$D$4:$D$503,_calc!$E$64))&amp;". ")&amp;IF(LEN(IF(LEN(INDEX('Our policies'!$E$4:$E$503,_calc!$E$64))=0,"",INDEX('Our policies'!$E$4:$E$503,_calc!$E$64)))=0,"","Policy no.: "&amp;IF(LEN(INDEX('Our policies'!$E$4:$E$503,_calc!$E$64))=0,"",INDEX('Our policies'!$E$4:$E$503,_calc!$E$64))&amp;". ")&amp;IF(LEN(IF(LEN(INDEX('Our policies'!$S$4:$S$503,_calc!$E$64))=0,"",INDEX('Our policies'!$S$4:$S$503,_calc!$E$64)))=0,"",IF(LEN(INDEX('Our policies'!$S$4:$S$503,_calc!$E$64))=0,"",INDEX('Our policies'!$S$4:$S$503,_calc!$E$64)))),TRIM(IF(LEN(IF(LEN(INDEX('Vendor COIs'!$C$4:$C$503,(_calc!$E$64-500)))=0,"",INDEX('Vendor COIs'!$C$4:$C$503,(_calc!$E$64-500))))=0,"","Insurer: "&amp;IF(LEN(INDEX('Vendor COIs'!$C$4:$C$503,(_calc!$E$64-500)))=0,"",INDEX('Vendor COIs'!$C$4:$C$503,(_calc!$E$64-500)))&amp;". ")&amp;IF(LEN(IF(LEN(INDEX('Vendor COIs'!$D$4:$D$503,(_calc!$E$64-500)))=0,"",INDEX('Vendor COIs'!$D$4:$D$503,(_calc!$E$64-500))))=0,"","Policy no.: "&amp;IF(LEN(INDEX('Vendor COIs'!$D$4:$D$503,(_calc!$E$64-500)))=0,"",INDEX('Vendor COIs'!$D$4:$D$503,(_calc!$E$64-500)))&amp;". ")&amp;IF(LEN(IF(LEN(INDEX('Vendor COIs'!$F$4:$F$503,(_calc!$E$64-500)))=0,"",INDEX('Vendor COIs'!$F$4:$F$503,(_calc!$E$64-500))))=0,"","Meets minimum: "&amp;IF(LEN(INDEX('Vendor COIs'!$F$4:$F$503,(_calc!$E$64-500)))=0,"",INDEX('Vendor COIs'!$F$4:$F$503,(_calc!$E$64-500)))&amp;". ")&amp;IF(LEN(IF(LEN(INDEX('Vendor COIs'!$G$4:$G$503,(_calc!$E$64-500)))=0,"",INDEX('Vendor COIs'!$G$4:$G$503,(_calc!$E$64-500))))=0,"","Additional insured: "&amp;IF(LEN(INDEX('Vendor COIs'!$G$4:$G$503,(_calc!$E$64-500)))=0,"",INDEX('Vendor COIs'!$G$4:$G$503,(_calc!$E$64-500)))&amp;". ")&amp;IF(LEN(IF(LEN(INDEX('Vendor COIs'!$M$4:$M$503,(_calc!$E$64-500)))=0,"",INDEX('Vendor COIs'!$M$4:$M$503,(_calc!$E$64-500))))=0,"","Vendor contact: "&amp;IF(LEN(INDEX('Vendor COIs'!$M$4:$M$503,(_calc!$E$64-500)))=0,"",INDEX('Vendor COIs'!$M$4:$M$503,(_calc!$E$64-500)))&amp;". ")&amp;IF(LEN(IF(LEN(INDEX('Vendor COIs'!$P$4:$P$503,(_calc!$E$64-500)))=0,"",INDEX('Vendor COIs'!$P$4:$P$503,(_calc!$E$64-500))))=0,"",IF(LEN(INDEX('Vendor COIs'!$P$4:$P$503,(_calc!$E$64-500)))=0,"",INDEX('Vendor COIs'!$P$4:$P$503,(_calc!$E$64-500)))))))</f>
        <v/>
      </c>
      <c r="G62" s="46">
        <f>IF(_calc!$E$64="","",IF(_calc!$E$64&lt;=500,IF(LEN(INDEX('Our policies'!$R$4:$R$503,_calc!$E$64))=0,"",INDEX('Our policies'!$R$4:$R$503,_calc!$E$64)),IF(LEN(INDEX('Vendor COIs'!$O$4:$O$503,(_calc!$E$64-500)))=0,"",INDEX('Vendor COIs'!$O$4:$O$503,(_calc!$E$64-500)))))</f>
        <v/>
      </c>
      <c r="H62" s="46">
        <f>IF(_calc!$E$64="","",IF(_calc!$E$64&lt;=500,IF(LEN(INDEX('Our policies'!$G$4:$G$503,_calc!$E$64))=0,"",INDEX('Our policies'!$G$4:$G$503,_calc!$E$64)),""))</f>
        <v/>
      </c>
      <c r="I62" s="46">
        <f>IF(_calc!$E$64="","",IF(_calc!$E$64&lt;=500,IF(LEN(INDEX('Our policies'!$H$4:$H$503,_calc!$E$64))=0,"",INDEX('Our policies'!$H$4:$H$503,_calc!$E$64)),""))</f>
        <v/>
      </c>
      <c r="K62" s="46">
        <f>IF(_calc!$E$64="","",IF(_calc!$E$64&lt;=500,IF(LEN(INDEX('Our policies'!$P$4:$P$503,_calc!$E$64))=0,"",INDEX('Our policies'!$P$4:$P$503,_calc!$E$64)),IF(LEN(INDEX('Vendor COIs'!$N$4:$N$503,(_calc!$E$64-500)))=0,"",INDEX('Vendor COIs'!$N$4:$N$503,(_calc!$E$64-500)))))</f>
        <v/>
      </c>
    </row>
    <row r="63">
      <c r="A63" s="46">
        <f>IF(_calc!$E$65="","",IF(_calc!$E$65&lt;=500,IF(LEN(INDEX('Our policies'!$A$4:$A$503,_calc!$E$65))=0,"",INDEX('Our policies'!$A$4:$A$503,_calc!$E$65)),"COI – "&amp;IF(LEN(INDEX('Vendor COIs'!$A$4:$A$503,(_calc!$E$65-500)))=0,"",INDEX('Vendor COIs'!$A$4:$A$503,(_calc!$E$65-500)))&amp;" – "&amp;IF(LEN(INDEX('Vendor COIs'!$B$4:$B$503,(_calc!$E$65-500)))=0,"",INDEX('Vendor COIs'!$B$4:$B$503,(_calc!$E$65-500)))))</f>
        <v/>
      </c>
      <c r="B63" s="46">
        <f>IF(_calc!$E$65="","",IF(_calc!$E$65&lt;=500,IF(ISNUMBER(INDEX('Our policies'!$J$4:$J$503,_calc!$E$65)),TEXT(INDEX('Our policies'!$J$4:$J$503,_calc!$E$65),"yyyy-mm-dd"),""),IF(ISNUMBER(INDEX('Vendor COIs'!$H$4:$H$503,(_calc!$E$65-500))),TEXT(INDEX('Vendor COIs'!$H$4:$H$503,(_calc!$E$65-500)),"yyyy-mm-dd"),"")))</f>
        <v/>
      </c>
      <c r="C63" s="46">
        <f>IF(_calc!$E$65="","",IF(_calc!$E$65&lt;=500,"Insurance","Certificate of insurance"))</f>
        <v/>
      </c>
      <c r="D63" s="46">
        <f>IF(_calc!$E$65="","",IF(_calc!$E$65&lt;=500,IF(ISNUMBER(INDEX('Our policies'!$I$4:$I$503,_calc!$E$65)),TEXT(INDEX('Our policies'!$I$4:$I$503,_calc!$E$65),"yyyy-mm-dd"),""),""))</f>
        <v/>
      </c>
      <c r="E63" s="46">
        <f>IF(_calc!$E$65="","",IF(_calc!$E$65&lt;=500,IF(LEN(INDEX('Our policies'!$Q$4:$Q$503,_calc!$E$65))=0,"",INDEX('Our policies'!$Q$4:$Q$503,_calc!$E$65)),"Medium"))</f>
        <v/>
      </c>
      <c r="F63" s="46">
        <f>IF(_calc!$E$65="","",IF(_calc!$E$65&lt;=500,TRIM(IF(LEN(IF(LEN(INDEX('Our policies'!$B$4:$B$503,_calc!$E$65))=0,"",INDEX('Our policies'!$B$4:$B$503,_calc!$E$65)))=0,"","Cover: "&amp;IF(LEN(INDEX('Our policies'!$B$4:$B$503,_calc!$E$65))=0,"",INDEX('Our policies'!$B$4:$B$503,_calc!$E$65))&amp;". ")&amp;IF(LEN(IF(LEN(INDEX('Our policies'!$C$4:$C$503,_calc!$E$65))=0,"",INDEX('Our policies'!$C$4:$C$503,_calc!$E$65)))=0,"","Insurer: "&amp;IF(LEN(INDEX('Our policies'!$C$4:$C$503,_calc!$E$65))=0,"",INDEX('Our policies'!$C$4:$C$503,_calc!$E$65))&amp;". ")&amp;IF(LEN(IF(LEN(INDEX('Our policies'!$D$4:$D$503,_calc!$E$65))=0,"",INDEX('Our policies'!$D$4:$D$503,_calc!$E$65)))=0,"","Broker: "&amp;IF(LEN(INDEX('Our policies'!$D$4:$D$503,_calc!$E$65))=0,"",INDEX('Our policies'!$D$4:$D$503,_calc!$E$65))&amp;". ")&amp;IF(LEN(IF(LEN(INDEX('Our policies'!$E$4:$E$503,_calc!$E$65))=0,"",INDEX('Our policies'!$E$4:$E$503,_calc!$E$65)))=0,"","Policy no.: "&amp;IF(LEN(INDEX('Our policies'!$E$4:$E$503,_calc!$E$65))=0,"",INDEX('Our policies'!$E$4:$E$503,_calc!$E$65))&amp;". ")&amp;IF(LEN(IF(LEN(INDEX('Our policies'!$S$4:$S$503,_calc!$E$65))=0,"",INDEX('Our policies'!$S$4:$S$503,_calc!$E$65)))=0,"",IF(LEN(INDEX('Our policies'!$S$4:$S$503,_calc!$E$65))=0,"",INDEX('Our policies'!$S$4:$S$503,_calc!$E$65)))),TRIM(IF(LEN(IF(LEN(INDEX('Vendor COIs'!$C$4:$C$503,(_calc!$E$65-500)))=0,"",INDEX('Vendor COIs'!$C$4:$C$503,(_calc!$E$65-500))))=0,"","Insurer: "&amp;IF(LEN(INDEX('Vendor COIs'!$C$4:$C$503,(_calc!$E$65-500)))=0,"",INDEX('Vendor COIs'!$C$4:$C$503,(_calc!$E$65-500)))&amp;". ")&amp;IF(LEN(IF(LEN(INDEX('Vendor COIs'!$D$4:$D$503,(_calc!$E$65-500)))=0,"",INDEX('Vendor COIs'!$D$4:$D$503,(_calc!$E$65-500))))=0,"","Policy no.: "&amp;IF(LEN(INDEX('Vendor COIs'!$D$4:$D$503,(_calc!$E$65-500)))=0,"",INDEX('Vendor COIs'!$D$4:$D$503,(_calc!$E$65-500)))&amp;". ")&amp;IF(LEN(IF(LEN(INDEX('Vendor COIs'!$F$4:$F$503,(_calc!$E$65-500)))=0,"",INDEX('Vendor COIs'!$F$4:$F$503,(_calc!$E$65-500))))=0,"","Meets minimum: "&amp;IF(LEN(INDEX('Vendor COIs'!$F$4:$F$503,(_calc!$E$65-500)))=0,"",INDEX('Vendor COIs'!$F$4:$F$503,(_calc!$E$65-500)))&amp;". ")&amp;IF(LEN(IF(LEN(INDEX('Vendor COIs'!$G$4:$G$503,(_calc!$E$65-500)))=0,"",INDEX('Vendor COIs'!$G$4:$G$503,(_calc!$E$65-500))))=0,"","Additional insured: "&amp;IF(LEN(INDEX('Vendor COIs'!$G$4:$G$503,(_calc!$E$65-500)))=0,"",INDEX('Vendor COIs'!$G$4:$G$503,(_calc!$E$65-500)))&amp;". ")&amp;IF(LEN(IF(LEN(INDEX('Vendor COIs'!$M$4:$M$503,(_calc!$E$65-500)))=0,"",INDEX('Vendor COIs'!$M$4:$M$503,(_calc!$E$65-500))))=0,"","Vendor contact: "&amp;IF(LEN(INDEX('Vendor COIs'!$M$4:$M$503,(_calc!$E$65-500)))=0,"",INDEX('Vendor COIs'!$M$4:$M$503,(_calc!$E$65-500)))&amp;". ")&amp;IF(LEN(IF(LEN(INDEX('Vendor COIs'!$P$4:$P$503,(_calc!$E$65-500)))=0,"",INDEX('Vendor COIs'!$P$4:$P$503,(_calc!$E$65-500))))=0,"",IF(LEN(INDEX('Vendor COIs'!$P$4:$P$503,(_calc!$E$65-500)))=0,"",INDEX('Vendor COIs'!$P$4:$P$503,(_calc!$E$65-500)))))))</f>
        <v/>
      </c>
      <c r="G63" s="46">
        <f>IF(_calc!$E$65="","",IF(_calc!$E$65&lt;=500,IF(LEN(INDEX('Our policies'!$R$4:$R$503,_calc!$E$65))=0,"",INDEX('Our policies'!$R$4:$R$503,_calc!$E$65)),IF(LEN(INDEX('Vendor COIs'!$O$4:$O$503,(_calc!$E$65-500)))=0,"",INDEX('Vendor COIs'!$O$4:$O$503,(_calc!$E$65-500)))))</f>
        <v/>
      </c>
      <c r="H63" s="46">
        <f>IF(_calc!$E$65="","",IF(_calc!$E$65&lt;=500,IF(LEN(INDEX('Our policies'!$G$4:$G$503,_calc!$E$65))=0,"",INDEX('Our policies'!$G$4:$G$503,_calc!$E$65)),""))</f>
        <v/>
      </c>
      <c r="I63" s="46">
        <f>IF(_calc!$E$65="","",IF(_calc!$E$65&lt;=500,IF(LEN(INDEX('Our policies'!$H$4:$H$503,_calc!$E$65))=0,"",INDEX('Our policies'!$H$4:$H$503,_calc!$E$65)),""))</f>
        <v/>
      </c>
      <c r="K63" s="46">
        <f>IF(_calc!$E$65="","",IF(_calc!$E$65&lt;=500,IF(LEN(INDEX('Our policies'!$P$4:$P$503,_calc!$E$65))=0,"",INDEX('Our policies'!$P$4:$P$503,_calc!$E$65)),IF(LEN(INDEX('Vendor COIs'!$N$4:$N$503,(_calc!$E$65-500)))=0,"",INDEX('Vendor COIs'!$N$4:$N$503,(_calc!$E$65-500)))))</f>
        <v/>
      </c>
    </row>
    <row r="64">
      <c r="A64" s="46">
        <f>IF(_calc!$E$66="","",IF(_calc!$E$66&lt;=500,IF(LEN(INDEX('Our policies'!$A$4:$A$503,_calc!$E$66))=0,"",INDEX('Our policies'!$A$4:$A$503,_calc!$E$66)),"COI – "&amp;IF(LEN(INDEX('Vendor COIs'!$A$4:$A$503,(_calc!$E$66-500)))=0,"",INDEX('Vendor COIs'!$A$4:$A$503,(_calc!$E$66-500)))&amp;" – "&amp;IF(LEN(INDEX('Vendor COIs'!$B$4:$B$503,(_calc!$E$66-500)))=0,"",INDEX('Vendor COIs'!$B$4:$B$503,(_calc!$E$66-500)))))</f>
        <v/>
      </c>
      <c r="B64" s="46">
        <f>IF(_calc!$E$66="","",IF(_calc!$E$66&lt;=500,IF(ISNUMBER(INDEX('Our policies'!$J$4:$J$503,_calc!$E$66)),TEXT(INDEX('Our policies'!$J$4:$J$503,_calc!$E$66),"yyyy-mm-dd"),""),IF(ISNUMBER(INDEX('Vendor COIs'!$H$4:$H$503,(_calc!$E$66-500))),TEXT(INDEX('Vendor COIs'!$H$4:$H$503,(_calc!$E$66-500)),"yyyy-mm-dd"),"")))</f>
        <v/>
      </c>
      <c r="C64" s="46">
        <f>IF(_calc!$E$66="","",IF(_calc!$E$66&lt;=500,"Insurance","Certificate of insurance"))</f>
        <v/>
      </c>
      <c r="D64" s="46">
        <f>IF(_calc!$E$66="","",IF(_calc!$E$66&lt;=500,IF(ISNUMBER(INDEX('Our policies'!$I$4:$I$503,_calc!$E$66)),TEXT(INDEX('Our policies'!$I$4:$I$503,_calc!$E$66),"yyyy-mm-dd"),""),""))</f>
        <v/>
      </c>
      <c r="E64" s="46">
        <f>IF(_calc!$E$66="","",IF(_calc!$E$66&lt;=500,IF(LEN(INDEX('Our policies'!$Q$4:$Q$503,_calc!$E$66))=0,"",INDEX('Our policies'!$Q$4:$Q$503,_calc!$E$66)),"Medium"))</f>
        <v/>
      </c>
      <c r="F64" s="46">
        <f>IF(_calc!$E$66="","",IF(_calc!$E$66&lt;=500,TRIM(IF(LEN(IF(LEN(INDEX('Our policies'!$B$4:$B$503,_calc!$E$66))=0,"",INDEX('Our policies'!$B$4:$B$503,_calc!$E$66)))=0,"","Cover: "&amp;IF(LEN(INDEX('Our policies'!$B$4:$B$503,_calc!$E$66))=0,"",INDEX('Our policies'!$B$4:$B$503,_calc!$E$66))&amp;". ")&amp;IF(LEN(IF(LEN(INDEX('Our policies'!$C$4:$C$503,_calc!$E$66))=0,"",INDEX('Our policies'!$C$4:$C$503,_calc!$E$66)))=0,"","Insurer: "&amp;IF(LEN(INDEX('Our policies'!$C$4:$C$503,_calc!$E$66))=0,"",INDEX('Our policies'!$C$4:$C$503,_calc!$E$66))&amp;". ")&amp;IF(LEN(IF(LEN(INDEX('Our policies'!$D$4:$D$503,_calc!$E$66))=0,"",INDEX('Our policies'!$D$4:$D$503,_calc!$E$66)))=0,"","Broker: "&amp;IF(LEN(INDEX('Our policies'!$D$4:$D$503,_calc!$E$66))=0,"",INDEX('Our policies'!$D$4:$D$503,_calc!$E$66))&amp;". ")&amp;IF(LEN(IF(LEN(INDEX('Our policies'!$E$4:$E$503,_calc!$E$66))=0,"",INDEX('Our policies'!$E$4:$E$503,_calc!$E$66)))=0,"","Policy no.: "&amp;IF(LEN(INDEX('Our policies'!$E$4:$E$503,_calc!$E$66))=0,"",INDEX('Our policies'!$E$4:$E$503,_calc!$E$66))&amp;". ")&amp;IF(LEN(IF(LEN(INDEX('Our policies'!$S$4:$S$503,_calc!$E$66))=0,"",INDEX('Our policies'!$S$4:$S$503,_calc!$E$66)))=0,"",IF(LEN(INDEX('Our policies'!$S$4:$S$503,_calc!$E$66))=0,"",INDEX('Our policies'!$S$4:$S$503,_calc!$E$66)))),TRIM(IF(LEN(IF(LEN(INDEX('Vendor COIs'!$C$4:$C$503,(_calc!$E$66-500)))=0,"",INDEX('Vendor COIs'!$C$4:$C$503,(_calc!$E$66-500))))=0,"","Insurer: "&amp;IF(LEN(INDEX('Vendor COIs'!$C$4:$C$503,(_calc!$E$66-500)))=0,"",INDEX('Vendor COIs'!$C$4:$C$503,(_calc!$E$66-500)))&amp;". ")&amp;IF(LEN(IF(LEN(INDEX('Vendor COIs'!$D$4:$D$503,(_calc!$E$66-500)))=0,"",INDEX('Vendor COIs'!$D$4:$D$503,(_calc!$E$66-500))))=0,"","Policy no.: "&amp;IF(LEN(INDEX('Vendor COIs'!$D$4:$D$503,(_calc!$E$66-500)))=0,"",INDEX('Vendor COIs'!$D$4:$D$503,(_calc!$E$66-500)))&amp;". ")&amp;IF(LEN(IF(LEN(INDEX('Vendor COIs'!$F$4:$F$503,(_calc!$E$66-500)))=0,"",INDEX('Vendor COIs'!$F$4:$F$503,(_calc!$E$66-500))))=0,"","Meets minimum: "&amp;IF(LEN(INDEX('Vendor COIs'!$F$4:$F$503,(_calc!$E$66-500)))=0,"",INDEX('Vendor COIs'!$F$4:$F$503,(_calc!$E$66-500)))&amp;". ")&amp;IF(LEN(IF(LEN(INDEX('Vendor COIs'!$G$4:$G$503,(_calc!$E$66-500)))=0,"",INDEX('Vendor COIs'!$G$4:$G$503,(_calc!$E$66-500))))=0,"","Additional insured: "&amp;IF(LEN(INDEX('Vendor COIs'!$G$4:$G$503,(_calc!$E$66-500)))=0,"",INDEX('Vendor COIs'!$G$4:$G$503,(_calc!$E$66-500)))&amp;". ")&amp;IF(LEN(IF(LEN(INDEX('Vendor COIs'!$M$4:$M$503,(_calc!$E$66-500)))=0,"",INDEX('Vendor COIs'!$M$4:$M$503,(_calc!$E$66-500))))=0,"","Vendor contact: "&amp;IF(LEN(INDEX('Vendor COIs'!$M$4:$M$503,(_calc!$E$66-500)))=0,"",INDEX('Vendor COIs'!$M$4:$M$503,(_calc!$E$66-500)))&amp;". ")&amp;IF(LEN(IF(LEN(INDEX('Vendor COIs'!$P$4:$P$503,(_calc!$E$66-500)))=0,"",INDEX('Vendor COIs'!$P$4:$P$503,(_calc!$E$66-500))))=0,"",IF(LEN(INDEX('Vendor COIs'!$P$4:$P$503,(_calc!$E$66-500)))=0,"",INDEX('Vendor COIs'!$P$4:$P$503,(_calc!$E$66-500)))))))</f>
        <v/>
      </c>
      <c r="G64" s="46">
        <f>IF(_calc!$E$66="","",IF(_calc!$E$66&lt;=500,IF(LEN(INDEX('Our policies'!$R$4:$R$503,_calc!$E$66))=0,"",INDEX('Our policies'!$R$4:$R$503,_calc!$E$66)),IF(LEN(INDEX('Vendor COIs'!$O$4:$O$503,(_calc!$E$66-500)))=0,"",INDEX('Vendor COIs'!$O$4:$O$503,(_calc!$E$66-500)))))</f>
        <v/>
      </c>
      <c r="H64" s="46">
        <f>IF(_calc!$E$66="","",IF(_calc!$E$66&lt;=500,IF(LEN(INDEX('Our policies'!$G$4:$G$503,_calc!$E$66))=0,"",INDEX('Our policies'!$G$4:$G$503,_calc!$E$66)),""))</f>
        <v/>
      </c>
      <c r="I64" s="46">
        <f>IF(_calc!$E$66="","",IF(_calc!$E$66&lt;=500,IF(LEN(INDEX('Our policies'!$H$4:$H$503,_calc!$E$66))=0,"",INDEX('Our policies'!$H$4:$H$503,_calc!$E$66)),""))</f>
        <v/>
      </c>
      <c r="K64" s="46">
        <f>IF(_calc!$E$66="","",IF(_calc!$E$66&lt;=500,IF(LEN(INDEX('Our policies'!$P$4:$P$503,_calc!$E$66))=0,"",INDEX('Our policies'!$P$4:$P$503,_calc!$E$66)),IF(LEN(INDEX('Vendor COIs'!$N$4:$N$503,(_calc!$E$66-500)))=0,"",INDEX('Vendor COIs'!$N$4:$N$503,(_calc!$E$66-500)))))</f>
        <v/>
      </c>
    </row>
    <row r="65">
      <c r="A65" s="46">
        <f>IF(_calc!$E$67="","",IF(_calc!$E$67&lt;=500,IF(LEN(INDEX('Our policies'!$A$4:$A$503,_calc!$E$67))=0,"",INDEX('Our policies'!$A$4:$A$503,_calc!$E$67)),"COI – "&amp;IF(LEN(INDEX('Vendor COIs'!$A$4:$A$503,(_calc!$E$67-500)))=0,"",INDEX('Vendor COIs'!$A$4:$A$503,(_calc!$E$67-500)))&amp;" – "&amp;IF(LEN(INDEX('Vendor COIs'!$B$4:$B$503,(_calc!$E$67-500)))=0,"",INDEX('Vendor COIs'!$B$4:$B$503,(_calc!$E$67-500)))))</f>
        <v/>
      </c>
      <c r="B65" s="46">
        <f>IF(_calc!$E$67="","",IF(_calc!$E$67&lt;=500,IF(ISNUMBER(INDEX('Our policies'!$J$4:$J$503,_calc!$E$67)),TEXT(INDEX('Our policies'!$J$4:$J$503,_calc!$E$67),"yyyy-mm-dd"),""),IF(ISNUMBER(INDEX('Vendor COIs'!$H$4:$H$503,(_calc!$E$67-500))),TEXT(INDEX('Vendor COIs'!$H$4:$H$503,(_calc!$E$67-500)),"yyyy-mm-dd"),"")))</f>
        <v/>
      </c>
      <c r="C65" s="46">
        <f>IF(_calc!$E$67="","",IF(_calc!$E$67&lt;=500,"Insurance","Certificate of insurance"))</f>
        <v/>
      </c>
      <c r="D65" s="46">
        <f>IF(_calc!$E$67="","",IF(_calc!$E$67&lt;=500,IF(ISNUMBER(INDEX('Our policies'!$I$4:$I$503,_calc!$E$67)),TEXT(INDEX('Our policies'!$I$4:$I$503,_calc!$E$67),"yyyy-mm-dd"),""),""))</f>
        <v/>
      </c>
      <c r="E65" s="46">
        <f>IF(_calc!$E$67="","",IF(_calc!$E$67&lt;=500,IF(LEN(INDEX('Our policies'!$Q$4:$Q$503,_calc!$E$67))=0,"",INDEX('Our policies'!$Q$4:$Q$503,_calc!$E$67)),"Medium"))</f>
        <v/>
      </c>
      <c r="F65" s="46">
        <f>IF(_calc!$E$67="","",IF(_calc!$E$67&lt;=500,TRIM(IF(LEN(IF(LEN(INDEX('Our policies'!$B$4:$B$503,_calc!$E$67))=0,"",INDEX('Our policies'!$B$4:$B$503,_calc!$E$67)))=0,"","Cover: "&amp;IF(LEN(INDEX('Our policies'!$B$4:$B$503,_calc!$E$67))=0,"",INDEX('Our policies'!$B$4:$B$503,_calc!$E$67))&amp;". ")&amp;IF(LEN(IF(LEN(INDEX('Our policies'!$C$4:$C$503,_calc!$E$67))=0,"",INDEX('Our policies'!$C$4:$C$503,_calc!$E$67)))=0,"","Insurer: "&amp;IF(LEN(INDEX('Our policies'!$C$4:$C$503,_calc!$E$67))=0,"",INDEX('Our policies'!$C$4:$C$503,_calc!$E$67))&amp;". ")&amp;IF(LEN(IF(LEN(INDEX('Our policies'!$D$4:$D$503,_calc!$E$67))=0,"",INDEX('Our policies'!$D$4:$D$503,_calc!$E$67)))=0,"","Broker: "&amp;IF(LEN(INDEX('Our policies'!$D$4:$D$503,_calc!$E$67))=0,"",INDEX('Our policies'!$D$4:$D$503,_calc!$E$67))&amp;". ")&amp;IF(LEN(IF(LEN(INDEX('Our policies'!$E$4:$E$503,_calc!$E$67))=0,"",INDEX('Our policies'!$E$4:$E$503,_calc!$E$67)))=0,"","Policy no.: "&amp;IF(LEN(INDEX('Our policies'!$E$4:$E$503,_calc!$E$67))=0,"",INDEX('Our policies'!$E$4:$E$503,_calc!$E$67))&amp;". ")&amp;IF(LEN(IF(LEN(INDEX('Our policies'!$S$4:$S$503,_calc!$E$67))=0,"",INDEX('Our policies'!$S$4:$S$503,_calc!$E$67)))=0,"",IF(LEN(INDEX('Our policies'!$S$4:$S$503,_calc!$E$67))=0,"",INDEX('Our policies'!$S$4:$S$503,_calc!$E$67)))),TRIM(IF(LEN(IF(LEN(INDEX('Vendor COIs'!$C$4:$C$503,(_calc!$E$67-500)))=0,"",INDEX('Vendor COIs'!$C$4:$C$503,(_calc!$E$67-500))))=0,"","Insurer: "&amp;IF(LEN(INDEX('Vendor COIs'!$C$4:$C$503,(_calc!$E$67-500)))=0,"",INDEX('Vendor COIs'!$C$4:$C$503,(_calc!$E$67-500)))&amp;". ")&amp;IF(LEN(IF(LEN(INDEX('Vendor COIs'!$D$4:$D$503,(_calc!$E$67-500)))=0,"",INDEX('Vendor COIs'!$D$4:$D$503,(_calc!$E$67-500))))=0,"","Policy no.: "&amp;IF(LEN(INDEX('Vendor COIs'!$D$4:$D$503,(_calc!$E$67-500)))=0,"",INDEX('Vendor COIs'!$D$4:$D$503,(_calc!$E$67-500)))&amp;". ")&amp;IF(LEN(IF(LEN(INDEX('Vendor COIs'!$F$4:$F$503,(_calc!$E$67-500)))=0,"",INDEX('Vendor COIs'!$F$4:$F$503,(_calc!$E$67-500))))=0,"","Meets minimum: "&amp;IF(LEN(INDEX('Vendor COIs'!$F$4:$F$503,(_calc!$E$67-500)))=0,"",INDEX('Vendor COIs'!$F$4:$F$503,(_calc!$E$67-500)))&amp;". ")&amp;IF(LEN(IF(LEN(INDEX('Vendor COIs'!$G$4:$G$503,(_calc!$E$67-500)))=0,"",INDEX('Vendor COIs'!$G$4:$G$503,(_calc!$E$67-500))))=0,"","Additional insured: "&amp;IF(LEN(INDEX('Vendor COIs'!$G$4:$G$503,(_calc!$E$67-500)))=0,"",INDEX('Vendor COIs'!$G$4:$G$503,(_calc!$E$67-500)))&amp;". ")&amp;IF(LEN(IF(LEN(INDEX('Vendor COIs'!$M$4:$M$503,(_calc!$E$67-500)))=0,"",INDEX('Vendor COIs'!$M$4:$M$503,(_calc!$E$67-500))))=0,"","Vendor contact: "&amp;IF(LEN(INDEX('Vendor COIs'!$M$4:$M$503,(_calc!$E$67-500)))=0,"",INDEX('Vendor COIs'!$M$4:$M$503,(_calc!$E$67-500)))&amp;". ")&amp;IF(LEN(IF(LEN(INDEX('Vendor COIs'!$P$4:$P$503,(_calc!$E$67-500)))=0,"",INDEX('Vendor COIs'!$P$4:$P$503,(_calc!$E$67-500))))=0,"",IF(LEN(INDEX('Vendor COIs'!$P$4:$P$503,(_calc!$E$67-500)))=0,"",INDEX('Vendor COIs'!$P$4:$P$503,(_calc!$E$67-500)))))))</f>
        <v/>
      </c>
      <c r="G65" s="46">
        <f>IF(_calc!$E$67="","",IF(_calc!$E$67&lt;=500,IF(LEN(INDEX('Our policies'!$R$4:$R$503,_calc!$E$67))=0,"",INDEX('Our policies'!$R$4:$R$503,_calc!$E$67)),IF(LEN(INDEX('Vendor COIs'!$O$4:$O$503,(_calc!$E$67-500)))=0,"",INDEX('Vendor COIs'!$O$4:$O$503,(_calc!$E$67-500)))))</f>
        <v/>
      </c>
      <c r="H65" s="46">
        <f>IF(_calc!$E$67="","",IF(_calc!$E$67&lt;=500,IF(LEN(INDEX('Our policies'!$G$4:$G$503,_calc!$E$67))=0,"",INDEX('Our policies'!$G$4:$G$503,_calc!$E$67)),""))</f>
        <v/>
      </c>
      <c r="I65" s="46">
        <f>IF(_calc!$E$67="","",IF(_calc!$E$67&lt;=500,IF(LEN(INDEX('Our policies'!$H$4:$H$503,_calc!$E$67))=0,"",INDEX('Our policies'!$H$4:$H$503,_calc!$E$67)),""))</f>
        <v/>
      </c>
      <c r="K65" s="46">
        <f>IF(_calc!$E$67="","",IF(_calc!$E$67&lt;=500,IF(LEN(INDEX('Our policies'!$P$4:$P$503,_calc!$E$67))=0,"",INDEX('Our policies'!$P$4:$P$503,_calc!$E$67)),IF(LEN(INDEX('Vendor COIs'!$N$4:$N$503,(_calc!$E$67-500)))=0,"",INDEX('Vendor COIs'!$N$4:$N$503,(_calc!$E$67-500)))))</f>
        <v/>
      </c>
    </row>
    <row r="66">
      <c r="A66" s="46">
        <f>IF(_calc!$E$68="","",IF(_calc!$E$68&lt;=500,IF(LEN(INDEX('Our policies'!$A$4:$A$503,_calc!$E$68))=0,"",INDEX('Our policies'!$A$4:$A$503,_calc!$E$68)),"COI – "&amp;IF(LEN(INDEX('Vendor COIs'!$A$4:$A$503,(_calc!$E$68-500)))=0,"",INDEX('Vendor COIs'!$A$4:$A$503,(_calc!$E$68-500)))&amp;" – "&amp;IF(LEN(INDEX('Vendor COIs'!$B$4:$B$503,(_calc!$E$68-500)))=0,"",INDEX('Vendor COIs'!$B$4:$B$503,(_calc!$E$68-500)))))</f>
        <v/>
      </c>
      <c r="B66" s="46">
        <f>IF(_calc!$E$68="","",IF(_calc!$E$68&lt;=500,IF(ISNUMBER(INDEX('Our policies'!$J$4:$J$503,_calc!$E$68)),TEXT(INDEX('Our policies'!$J$4:$J$503,_calc!$E$68),"yyyy-mm-dd"),""),IF(ISNUMBER(INDEX('Vendor COIs'!$H$4:$H$503,(_calc!$E$68-500))),TEXT(INDEX('Vendor COIs'!$H$4:$H$503,(_calc!$E$68-500)),"yyyy-mm-dd"),"")))</f>
        <v/>
      </c>
      <c r="C66" s="46">
        <f>IF(_calc!$E$68="","",IF(_calc!$E$68&lt;=500,"Insurance","Certificate of insurance"))</f>
        <v/>
      </c>
      <c r="D66" s="46">
        <f>IF(_calc!$E$68="","",IF(_calc!$E$68&lt;=500,IF(ISNUMBER(INDEX('Our policies'!$I$4:$I$503,_calc!$E$68)),TEXT(INDEX('Our policies'!$I$4:$I$503,_calc!$E$68),"yyyy-mm-dd"),""),""))</f>
        <v/>
      </c>
      <c r="E66" s="46">
        <f>IF(_calc!$E$68="","",IF(_calc!$E$68&lt;=500,IF(LEN(INDEX('Our policies'!$Q$4:$Q$503,_calc!$E$68))=0,"",INDEX('Our policies'!$Q$4:$Q$503,_calc!$E$68)),"Medium"))</f>
        <v/>
      </c>
      <c r="F66" s="46">
        <f>IF(_calc!$E$68="","",IF(_calc!$E$68&lt;=500,TRIM(IF(LEN(IF(LEN(INDEX('Our policies'!$B$4:$B$503,_calc!$E$68))=0,"",INDEX('Our policies'!$B$4:$B$503,_calc!$E$68)))=0,"","Cover: "&amp;IF(LEN(INDEX('Our policies'!$B$4:$B$503,_calc!$E$68))=0,"",INDEX('Our policies'!$B$4:$B$503,_calc!$E$68))&amp;". ")&amp;IF(LEN(IF(LEN(INDEX('Our policies'!$C$4:$C$503,_calc!$E$68))=0,"",INDEX('Our policies'!$C$4:$C$503,_calc!$E$68)))=0,"","Insurer: "&amp;IF(LEN(INDEX('Our policies'!$C$4:$C$503,_calc!$E$68))=0,"",INDEX('Our policies'!$C$4:$C$503,_calc!$E$68))&amp;". ")&amp;IF(LEN(IF(LEN(INDEX('Our policies'!$D$4:$D$503,_calc!$E$68))=0,"",INDEX('Our policies'!$D$4:$D$503,_calc!$E$68)))=0,"","Broker: "&amp;IF(LEN(INDEX('Our policies'!$D$4:$D$503,_calc!$E$68))=0,"",INDEX('Our policies'!$D$4:$D$503,_calc!$E$68))&amp;". ")&amp;IF(LEN(IF(LEN(INDEX('Our policies'!$E$4:$E$503,_calc!$E$68))=0,"",INDEX('Our policies'!$E$4:$E$503,_calc!$E$68)))=0,"","Policy no.: "&amp;IF(LEN(INDEX('Our policies'!$E$4:$E$503,_calc!$E$68))=0,"",INDEX('Our policies'!$E$4:$E$503,_calc!$E$68))&amp;". ")&amp;IF(LEN(IF(LEN(INDEX('Our policies'!$S$4:$S$503,_calc!$E$68))=0,"",INDEX('Our policies'!$S$4:$S$503,_calc!$E$68)))=0,"",IF(LEN(INDEX('Our policies'!$S$4:$S$503,_calc!$E$68))=0,"",INDEX('Our policies'!$S$4:$S$503,_calc!$E$68)))),TRIM(IF(LEN(IF(LEN(INDEX('Vendor COIs'!$C$4:$C$503,(_calc!$E$68-500)))=0,"",INDEX('Vendor COIs'!$C$4:$C$503,(_calc!$E$68-500))))=0,"","Insurer: "&amp;IF(LEN(INDEX('Vendor COIs'!$C$4:$C$503,(_calc!$E$68-500)))=0,"",INDEX('Vendor COIs'!$C$4:$C$503,(_calc!$E$68-500)))&amp;". ")&amp;IF(LEN(IF(LEN(INDEX('Vendor COIs'!$D$4:$D$503,(_calc!$E$68-500)))=0,"",INDEX('Vendor COIs'!$D$4:$D$503,(_calc!$E$68-500))))=0,"","Policy no.: "&amp;IF(LEN(INDEX('Vendor COIs'!$D$4:$D$503,(_calc!$E$68-500)))=0,"",INDEX('Vendor COIs'!$D$4:$D$503,(_calc!$E$68-500)))&amp;". ")&amp;IF(LEN(IF(LEN(INDEX('Vendor COIs'!$F$4:$F$503,(_calc!$E$68-500)))=0,"",INDEX('Vendor COIs'!$F$4:$F$503,(_calc!$E$68-500))))=0,"","Meets minimum: "&amp;IF(LEN(INDEX('Vendor COIs'!$F$4:$F$503,(_calc!$E$68-500)))=0,"",INDEX('Vendor COIs'!$F$4:$F$503,(_calc!$E$68-500)))&amp;". ")&amp;IF(LEN(IF(LEN(INDEX('Vendor COIs'!$G$4:$G$503,(_calc!$E$68-500)))=0,"",INDEX('Vendor COIs'!$G$4:$G$503,(_calc!$E$68-500))))=0,"","Additional insured: "&amp;IF(LEN(INDEX('Vendor COIs'!$G$4:$G$503,(_calc!$E$68-500)))=0,"",INDEX('Vendor COIs'!$G$4:$G$503,(_calc!$E$68-500)))&amp;". ")&amp;IF(LEN(IF(LEN(INDEX('Vendor COIs'!$M$4:$M$503,(_calc!$E$68-500)))=0,"",INDEX('Vendor COIs'!$M$4:$M$503,(_calc!$E$68-500))))=0,"","Vendor contact: "&amp;IF(LEN(INDEX('Vendor COIs'!$M$4:$M$503,(_calc!$E$68-500)))=0,"",INDEX('Vendor COIs'!$M$4:$M$503,(_calc!$E$68-500)))&amp;". ")&amp;IF(LEN(IF(LEN(INDEX('Vendor COIs'!$P$4:$P$503,(_calc!$E$68-500)))=0,"",INDEX('Vendor COIs'!$P$4:$P$503,(_calc!$E$68-500))))=0,"",IF(LEN(INDEX('Vendor COIs'!$P$4:$P$503,(_calc!$E$68-500)))=0,"",INDEX('Vendor COIs'!$P$4:$P$503,(_calc!$E$68-500)))))))</f>
        <v/>
      </c>
      <c r="G66" s="46">
        <f>IF(_calc!$E$68="","",IF(_calc!$E$68&lt;=500,IF(LEN(INDEX('Our policies'!$R$4:$R$503,_calc!$E$68))=0,"",INDEX('Our policies'!$R$4:$R$503,_calc!$E$68)),IF(LEN(INDEX('Vendor COIs'!$O$4:$O$503,(_calc!$E$68-500)))=0,"",INDEX('Vendor COIs'!$O$4:$O$503,(_calc!$E$68-500)))))</f>
        <v/>
      </c>
      <c r="H66" s="46">
        <f>IF(_calc!$E$68="","",IF(_calc!$E$68&lt;=500,IF(LEN(INDEX('Our policies'!$G$4:$G$503,_calc!$E$68))=0,"",INDEX('Our policies'!$G$4:$G$503,_calc!$E$68)),""))</f>
        <v/>
      </c>
      <c r="I66" s="46">
        <f>IF(_calc!$E$68="","",IF(_calc!$E$68&lt;=500,IF(LEN(INDEX('Our policies'!$H$4:$H$503,_calc!$E$68))=0,"",INDEX('Our policies'!$H$4:$H$503,_calc!$E$68)),""))</f>
        <v/>
      </c>
      <c r="K66" s="46">
        <f>IF(_calc!$E$68="","",IF(_calc!$E$68&lt;=500,IF(LEN(INDEX('Our policies'!$P$4:$P$503,_calc!$E$68))=0,"",INDEX('Our policies'!$P$4:$P$503,_calc!$E$68)),IF(LEN(INDEX('Vendor COIs'!$N$4:$N$503,(_calc!$E$68-500)))=0,"",INDEX('Vendor COIs'!$N$4:$N$503,(_calc!$E$68-500)))))</f>
        <v/>
      </c>
    </row>
    <row r="67">
      <c r="A67" s="46">
        <f>IF(_calc!$E$69="","",IF(_calc!$E$69&lt;=500,IF(LEN(INDEX('Our policies'!$A$4:$A$503,_calc!$E$69))=0,"",INDEX('Our policies'!$A$4:$A$503,_calc!$E$69)),"COI – "&amp;IF(LEN(INDEX('Vendor COIs'!$A$4:$A$503,(_calc!$E$69-500)))=0,"",INDEX('Vendor COIs'!$A$4:$A$503,(_calc!$E$69-500)))&amp;" – "&amp;IF(LEN(INDEX('Vendor COIs'!$B$4:$B$503,(_calc!$E$69-500)))=0,"",INDEX('Vendor COIs'!$B$4:$B$503,(_calc!$E$69-500)))))</f>
        <v/>
      </c>
      <c r="B67" s="46">
        <f>IF(_calc!$E$69="","",IF(_calc!$E$69&lt;=500,IF(ISNUMBER(INDEX('Our policies'!$J$4:$J$503,_calc!$E$69)),TEXT(INDEX('Our policies'!$J$4:$J$503,_calc!$E$69),"yyyy-mm-dd"),""),IF(ISNUMBER(INDEX('Vendor COIs'!$H$4:$H$503,(_calc!$E$69-500))),TEXT(INDEX('Vendor COIs'!$H$4:$H$503,(_calc!$E$69-500)),"yyyy-mm-dd"),"")))</f>
        <v/>
      </c>
      <c r="C67" s="46">
        <f>IF(_calc!$E$69="","",IF(_calc!$E$69&lt;=500,"Insurance","Certificate of insurance"))</f>
        <v/>
      </c>
      <c r="D67" s="46">
        <f>IF(_calc!$E$69="","",IF(_calc!$E$69&lt;=500,IF(ISNUMBER(INDEX('Our policies'!$I$4:$I$503,_calc!$E$69)),TEXT(INDEX('Our policies'!$I$4:$I$503,_calc!$E$69),"yyyy-mm-dd"),""),""))</f>
        <v/>
      </c>
      <c r="E67" s="46">
        <f>IF(_calc!$E$69="","",IF(_calc!$E$69&lt;=500,IF(LEN(INDEX('Our policies'!$Q$4:$Q$503,_calc!$E$69))=0,"",INDEX('Our policies'!$Q$4:$Q$503,_calc!$E$69)),"Medium"))</f>
        <v/>
      </c>
      <c r="F67" s="46">
        <f>IF(_calc!$E$69="","",IF(_calc!$E$69&lt;=500,TRIM(IF(LEN(IF(LEN(INDEX('Our policies'!$B$4:$B$503,_calc!$E$69))=0,"",INDEX('Our policies'!$B$4:$B$503,_calc!$E$69)))=0,"","Cover: "&amp;IF(LEN(INDEX('Our policies'!$B$4:$B$503,_calc!$E$69))=0,"",INDEX('Our policies'!$B$4:$B$503,_calc!$E$69))&amp;". ")&amp;IF(LEN(IF(LEN(INDEX('Our policies'!$C$4:$C$503,_calc!$E$69))=0,"",INDEX('Our policies'!$C$4:$C$503,_calc!$E$69)))=0,"","Insurer: "&amp;IF(LEN(INDEX('Our policies'!$C$4:$C$503,_calc!$E$69))=0,"",INDEX('Our policies'!$C$4:$C$503,_calc!$E$69))&amp;". ")&amp;IF(LEN(IF(LEN(INDEX('Our policies'!$D$4:$D$503,_calc!$E$69))=0,"",INDEX('Our policies'!$D$4:$D$503,_calc!$E$69)))=0,"","Broker: "&amp;IF(LEN(INDEX('Our policies'!$D$4:$D$503,_calc!$E$69))=0,"",INDEX('Our policies'!$D$4:$D$503,_calc!$E$69))&amp;". ")&amp;IF(LEN(IF(LEN(INDEX('Our policies'!$E$4:$E$503,_calc!$E$69))=0,"",INDEX('Our policies'!$E$4:$E$503,_calc!$E$69)))=0,"","Policy no.: "&amp;IF(LEN(INDEX('Our policies'!$E$4:$E$503,_calc!$E$69))=0,"",INDEX('Our policies'!$E$4:$E$503,_calc!$E$69))&amp;". ")&amp;IF(LEN(IF(LEN(INDEX('Our policies'!$S$4:$S$503,_calc!$E$69))=0,"",INDEX('Our policies'!$S$4:$S$503,_calc!$E$69)))=0,"",IF(LEN(INDEX('Our policies'!$S$4:$S$503,_calc!$E$69))=0,"",INDEX('Our policies'!$S$4:$S$503,_calc!$E$69)))),TRIM(IF(LEN(IF(LEN(INDEX('Vendor COIs'!$C$4:$C$503,(_calc!$E$69-500)))=0,"",INDEX('Vendor COIs'!$C$4:$C$503,(_calc!$E$69-500))))=0,"","Insurer: "&amp;IF(LEN(INDEX('Vendor COIs'!$C$4:$C$503,(_calc!$E$69-500)))=0,"",INDEX('Vendor COIs'!$C$4:$C$503,(_calc!$E$69-500)))&amp;". ")&amp;IF(LEN(IF(LEN(INDEX('Vendor COIs'!$D$4:$D$503,(_calc!$E$69-500)))=0,"",INDEX('Vendor COIs'!$D$4:$D$503,(_calc!$E$69-500))))=0,"","Policy no.: "&amp;IF(LEN(INDEX('Vendor COIs'!$D$4:$D$503,(_calc!$E$69-500)))=0,"",INDEX('Vendor COIs'!$D$4:$D$503,(_calc!$E$69-500)))&amp;". ")&amp;IF(LEN(IF(LEN(INDEX('Vendor COIs'!$F$4:$F$503,(_calc!$E$69-500)))=0,"",INDEX('Vendor COIs'!$F$4:$F$503,(_calc!$E$69-500))))=0,"","Meets minimum: "&amp;IF(LEN(INDEX('Vendor COIs'!$F$4:$F$503,(_calc!$E$69-500)))=0,"",INDEX('Vendor COIs'!$F$4:$F$503,(_calc!$E$69-500)))&amp;". ")&amp;IF(LEN(IF(LEN(INDEX('Vendor COIs'!$G$4:$G$503,(_calc!$E$69-500)))=0,"",INDEX('Vendor COIs'!$G$4:$G$503,(_calc!$E$69-500))))=0,"","Additional insured: "&amp;IF(LEN(INDEX('Vendor COIs'!$G$4:$G$503,(_calc!$E$69-500)))=0,"",INDEX('Vendor COIs'!$G$4:$G$503,(_calc!$E$69-500)))&amp;". ")&amp;IF(LEN(IF(LEN(INDEX('Vendor COIs'!$M$4:$M$503,(_calc!$E$69-500)))=0,"",INDEX('Vendor COIs'!$M$4:$M$503,(_calc!$E$69-500))))=0,"","Vendor contact: "&amp;IF(LEN(INDEX('Vendor COIs'!$M$4:$M$503,(_calc!$E$69-500)))=0,"",INDEX('Vendor COIs'!$M$4:$M$503,(_calc!$E$69-500)))&amp;". ")&amp;IF(LEN(IF(LEN(INDEX('Vendor COIs'!$P$4:$P$503,(_calc!$E$69-500)))=0,"",INDEX('Vendor COIs'!$P$4:$P$503,(_calc!$E$69-500))))=0,"",IF(LEN(INDEX('Vendor COIs'!$P$4:$P$503,(_calc!$E$69-500)))=0,"",INDEX('Vendor COIs'!$P$4:$P$503,(_calc!$E$69-500)))))))</f>
        <v/>
      </c>
      <c r="G67" s="46">
        <f>IF(_calc!$E$69="","",IF(_calc!$E$69&lt;=500,IF(LEN(INDEX('Our policies'!$R$4:$R$503,_calc!$E$69))=0,"",INDEX('Our policies'!$R$4:$R$503,_calc!$E$69)),IF(LEN(INDEX('Vendor COIs'!$O$4:$O$503,(_calc!$E$69-500)))=0,"",INDEX('Vendor COIs'!$O$4:$O$503,(_calc!$E$69-500)))))</f>
        <v/>
      </c>
      <c r="H67" s="46">
        <f>IF(_calc!$E$69="","",IF(_calc!$E$69&lt;=500,IF(LEN(INDEX('Our policies'!$G$4:$G$503,_calc!$E$69))=0,"",INDEX('Our policies'!$G$4:$G$503,_calc!$E$69)),""))</f>
        <v/>
      </c>
      <c r="I67" s="46">
        <f>IF(_calc!$E$69="","",IF(_calc!$E$69&lt;=500,IF(LEN(INDEX('Our policies'!$H$4:$H$503,_calc!$E$69))=0,"",INDEX('Our policies'!$H$4:$H$503,_calc!$E$69)),""))</f>
        <v/>
      </c>
      <c r="K67" s="46">
        <f>IF(_calc!$E$69="","",IF(_calc!$E$69&lt;=500,IF(LEN(INDEX('Our policies'!$P$4:$P$503,_calc!$E$69))=0,"",INDEX('Our policies'!$P$4:$P$503,_calc!$E$69)),IF(LEN(INDEX('Vendor COIs'!$N$4:$N$503,(_calc!$E$69-500)))=0,"",INDEX('Vendor COIs'!$N$4:$N$503,(_calc!$E$69-500)))))</f>
        <v/>
      </c>
    </row>
    <row r="68">
      <c r="A68" s="46">
        <f>IF(_calc!$E$70="","",IF(_calc!$E$70&lt;=500,IF(LEN(INDEX('Our policies'!$A$4:$A$503,_calc!$E$70))=0,"",INDEX('Our policies'!$A$4:$A$503,_calc!$E$70)),"COI – "&amp;IF(LEN(INDEX('Vendor COIs'!$A$4:$A$503,(_calc!$E$70-500)))=0,"",INDEX('Vendor COIs'!$A$4:$A$503,(_calc!$E$70-500)))&amp;" – "&amp;IF(LEN(INDEX('Vendor COIs'!$B$4:$B$503,(_calc!$E$70-500)))=0,"",INDEX('Vendor COIs'!$B$4:$B$503,(_calc!$E$70-500)))))</f>
        <v/>
      </c>
      <c r="B68" s="46">
        <f>IF(_calc!$E$70="","",IF(_calc!$E$70&lt;=500,IF(ISNUMBER(INDEX('Our policies'!$J$4:$J$503,_calc!$E$70)),TEXT(INDEX('Our policies'!$J$4:$J$503,_calc!$E$70),"yyyy-mm-dd"),""),IF(ISNUMBER(INDEX('Vendor COIs'!$H$4:$H$503,(_calc!$E$70-500))),TEXT(INDEX('Vendor COIs'!$H$4:$H$503,(_calc!$E$70-500)),"yyyy-mm-dd"),"")))</f>
        <v/>
      </c>
      <c r="C68" s="46">
        <f>IF(_calc!$E$70="","",IF(_calc!$E$70&lt;=500,"Insurance","Certificate of insurance"))</f>
        <v/>
      </c>
      <c r="D68" s="46">
        <f>IF(_calc!$E$70="","",IF(_calc!$E$70&lt;=500,IF(ISNUMBER(INDEX('Our policies'!$I$4:$I$503,_calc!$E$70)),TEXT(INDEX('Our policies'!$I$4:$I$503,_calc!$E$70),"yyyy-mm-dd"),""),""))</f>
        <v/>
      </c>
      <c r="E68" s="46">
        <f>IF(_calc!$E$70="","",IF(_calc!$E$70&lt;=500,IF(LEN(INDEX('Our policies'!$Q$4:$Q$503,_calc!$E$70))=0,"",INDEX('Our policies'!$Q$4:$Q$503,_calc!$E$70)),"Medium"))</f>
        <v/>
      </c>
      <c r="F68" s="46">
        <f>IF(_calc!$E$70="","",IF(_calc!$E$70&lt;=500,TRIM(IF(LEN(IF(LEN(INDEX('Our policies'!$B$4:$B$503,_calc!$E$70))=0,"",INDEX('Our policies'!$B$4:$B$503,_calc!$E$70)))=0,"","Cover: "&amp;IF(LEN(INDEX('Our policies'!$B$4:$B$503,_calc!$E$70))=0,"",INDEX('Our policies'!$B$4:$B$503,_calc!$E$70))&amp;". ")&amp;IF(LEN(IF(LEN(INDEX('Our policies'!$C$4:$C$503,_calc!$E$70))=0,"",INDEX('Our policies'!$C$4:$C$503,_calc!$E$70)))=0,"","Insurer: "&amp;IF(LEN(INDEX('Our policies'!$C$4:$C$503,_calc!$E$70))=0,"",INDEX('Our policies'!$C$4:$C$503,_calc!$E$70))&amp;". ")&amp;IF(LEN(IF(LEN(INDEX('Our policies'!$D$4:$D$503,_calc!$E$70))=0,"",INDEX('Our policies'!$D$4:$D$503,_calc!$E$70)))=0,"","Broker: "&amp;IF(LEN(INDEX('Our policies'!$D$4:$D$503,_calc!$E$70))=0,"",INDEX('Our policies'!$D$4:$D$503,_calc!$E$70))&amp;". ")&amp;IF(LEN(IF(LEN(INDEX('Our policies'!$E$4:$E$503,_calc!$E$70))=0,"",INDEX('Our policies'!$E$4:$E$503,_calc!$E$70)))=0,"","Policy no.: "&amp;IF(LEN(INDEX('Our policies'!$E$4:$E$503,_calc!$E$70))=0,"",INDEX('Our policies'!$E$4:$E$503,_calc!$E$70))&amp;". ")&amp;IF(LEN(IF(LEN(INDEX('Our policies'!$S$4:$S$503,_calc!$E$70))=0,"",INDEX('Our policies'!$S$4:$S$503,_calc!$E$70)))=0,"",IF(LEN(INDEX('Our policies'!$S$4:$S$503,_calc!$E$70))=0,"",INDEX('Our policies'!$S$4:$S$503,_calc!$E$70)))),TRIM(IF(LEN(IF(LEN(INDEX('Vendor COIs'!$C$4:$C$503,(_calc!$E$70-500)))=0,"",INDEX('Vendor COIs'!$C$4:$C$503,(_calc!$E$70-500))))=0,"","Insurer: "&amp;IF(LEN(INDEX('Vendor COIs'!$C$4:$C$503,(_calc!$E$70-500)))=0,"",INDEX('Vendor COIs'!$C$4:$C$503,(_calc!$E$70-500)))&amp;". ")&amp;IF(LEN(IF(LEN(INDEX('Vendor COIs'!$D$4:$D$503,(_calc!$E$70-500)))=0,"",INDEX('Vendor COIs'!$D$4:$D$503,(_calc!$E$70-500))))=0,"","Policy no.: "&amp;IF(LEN(INDEX('Vendor COIs'!$D$4:$D$503,(_calc!$E$70-500)))=0,"",INDEX('Vendor COIs'!$D$4:$D$503,(_calc!$E$70-500)))&amp;". ")&amp;IF(LEN(IF(LEN(INDEX('Vendor COIs'!$F$4:$F$503,(_calc!$E$70-500)))=0,"",INDEX('Vendor COIs'!$F$4:$F$503,(_calc!$E$70-500))))=0,"","Meets minimum: "&amp;IF(LEN(INDEX('Vendor COIs'!$F$4:$F$503,(_calc!$E$70-500)))=0,"",INDEX('Vendor COIs'!$F$4:$F$503,(_calc!$E$70-500)))&amp;". ")&amp;IF(LEN(IF(LEN(INDEX('Vendor COIs'!$G$4:$G$503,(_calc!$E$70-500)))=0,"",INDEX('Vendor COIs'!$G$4:$G$503,(_calc!$E$70-500))))=0,"","Additional insured: "&amp;IF(LEN(INDEX('Vendor COIs'!$G$4:$G$503,(_calc!$E$70-500)))=0,"",INDEX('Vendor COIs'!$G$4:$G$503,(_calc!$E$70-500)))&amp;". ")&amp;IF(LEN(IF(LEN(INDEX('Vendor COIs'!$M$4:$M$503,(_calc!$E$70-500)))=0,"",INDEX('Vendor COIs'!$M$4:$M$503,(_calc!$E$70-500))))=0,"","Vendor contact: "&amp;IF(LEN(INDEX('Vendor COIs'!$M$4:$M$503,(_calc!$E$70-500)))=0,"",INDEX('Vendor COIs'!$M$4:$M$503,(_calc!$E$70-500)))&amp;". ")&amp;IF(LEN(IF(LEN(INDEX('Vendor COIs'!$P$4:$P$503,(_calc!$E$70-500)))=0,"",INDEX('Vendor COIs'!$P$4:$P$503,(_calc!$E$70-500))))=0,"",IF(LEN(INDEX('Vendor COIs'!$P$4:$P$503,(_calc!$E$70-500)))=0,"",INDEX('Vendor COIs'!$P$4:$P$503,(_calc!$E$70-500)))))))</f>
        <v/>
      </c>
      <c r="G68" s="46">
        <f>IF(_calc!$E$70="","",IF(_calc!$E$70&lt;=500,IF(LEN(INDEX('Our policies'!$R$4:$R$503,_calc!$E$70))=0,"",INDEX('Our policies'!$R$4:$R$503,_calc!$E$70)),IF(LEN(INDEX('Vendor COIs'!$O$4:$O$503,(_calc!$E$70-500)))=0,"",INDEX('Vendor COIs'!$O$4:$O$503,(_calc!$E$70-500)))))</f>
        <v/>
      </c>
      <c r="H68" s="46">
        <f>IF(_calc!$E$70="","",IF(_calc!$E$70&lt;=500,IF(LEN(INDEX('Our policies'!$G$4:$G$503,_calc!$E$70))=0,"",INDEX('Our policies'!$G$4:$G$503,_calc!$E$70)),""))</f>
        <v/>
      </c>
      <c r="I68" s="46">
        <f>IF(_calc!$E$70="","",IF(_calc!$E$70&lt;=500,IF(LEN(INDEX('Our policies'!$H$4:$H$503,_calc!$E$70))=0,"",INDEX('Our policies'!$H$4:$H$503,_calc!$E$70)),""))</f>
        <v/>
      </c>
      <c r="K68" s="46">
        <f>IF(_calc!$E$70="","",IF(_calc!$E$70&lt;=500,IF(LEN(INDEX('Our policies'!$P$4:$P$503,_calc!$E$70))=0,"",INDEX('Our policies'!$P$4:$P$503,_calc!$E$70)),IF(LEN(INDEX('Vendor COIs'!$N$4:$N$503,(_calc!$E$70-500)))=0,"",INDEX('Vendor COIs'!$N$4:$N$503,(_calc!$E$70-500)))))</f>
        <v/>
      </c>
    </row>
    <row r="69">
      <c r="A69" s="46">
        <f>IF(_calc!$E$71="","",IF(_calc!$E$71&lt;=500,IF(LEN(INDEX('Our policies'!$A$4:$A$503,_calc!$E$71))=0,"",INDEX('Our policies'!$A$4:$A$503,_calc!$E$71)),"COI – "&amp;IF(LEN(INDEX('Vendor COIs'!$A$4:$A$503,(_calc!$E$71-500)))=0,"",INDEX('Vendor COIs'!$A$4:$A$503,(_calc!$E$71-500)))&amp;" – "&amp;IF(LEN(INDEX('Vendor COIs'!$B$4:$B$503,(_calc!$E$71-500)))=0,"",INDEX('Vendor COIs'!$B$4:$B$503,(_calc!$E$71-500)))))</f>
        <v/>
      </c>
      <c r="B69" s="46">
        <f>IF(_calc!$E$71="","",IF(_calc!$E$71&lt;=500,IF(ISNUMBER(INDEX('Our policies'!$J$4:$J$503,_calc!$E$71)),TEXT(INDEX('Our policies'!$J$4:$J$503,_calc!$E$71),"yyyy-mm-dd"),""),IF(ISNUMBER(INDEX('Vendor COIs'!$H$4:$H$503,(_calc!$E$71-500))),TEXT(INDEX('Vendor COIs'!$H$4:$H$503,(_calc!$E$71-500)),"yyyy-mm-dd"),"")))</f>
        <v/>
      </c>
      <c r="C69" s="46">
        <f>IF(_calc!$E$71="","",IF(_calc!$E$71&lt;=500,"Insurance","Certificate of insurance"))</f>
        <v/>
      </c>
      <c r="D69" s="46">
        <f>IF(_calc!$E$71="","",IF(_calc!$E$71&lt;=500,IF(ISNUMBER(INDEX('Our policies'!$I$4:$I$503,_calc!$E$71)),TEXT(INDEX('Our policies'!$I$4:$I$503,_calc!$E$71),"yyyy-mm-dd"),""),""))</f>
        <v/>
      </c>
      <c r="E69" s="46">
        <f>IF(_calc!$E$71="","",IF(_calc!$E$71&lt;=500,IF(LEN(INDEX('Our policies'!$Q$4:$Q$503,_calc!$E$71))=0,"",INDEX('Our policies'!$Q$4:$Q$503,_calc!$E$71)),"Medium"))</f>
        <v/>
      </c>
      <c r="F69" s="46">
        <f>IF(_calc!$E$71="","",IF(_calc!$E$71&lt;=500,TRIM(IF(LEN(IF(LEN(INDEX('Our policies'!$B$4:$B$503,_calc!$E$71))=0,"",INDEX('Our policies'!$B$4:$B$503,_calc!$E$71)))=0,"","Cover: "&amp;IF(LEN(INDEX('Our policies'!$B$4:$B$503,_calc!$E$71))=0,"",INDEX('Our policies'!$B$4:$B$503,_calc!$E$71))&amp;". ")&amp;IF(LEN(IF(LEN(INDEX('Our policies'!$C$4:$C$503,_calc!$E$71))=0,"",INDEX('Our policies'!$C$4:$C$503,_calc!$E$71)))=0,"","Insurer: "&amp;IF(LEN(INDEX('Our policies'!$C$4:$C$503,_calc!$E$71))=0,"",INDEX('Our policies'!$C$4:$C$503,_calc!$E$71))&amp;". ")&amp;IF(LEN(IF(LEN(INDEX('Our policies'!$D$4:$D$503,_calc!$E$71))=0,"",INDEX('Our policies'!$D$4:$D$503,_calc!$E$71)))=0,"","Broker: "&amp;IF(LEN(INDEX('Our policies'!$D$4:$D$503,_calc!$E$71))=0,"",INDEX('Our policies'!$D$4:$D$503,_calc!$E$71))&amp;". ")&amp;IF(LEN(IF(LEN(INDEX('Our policies'!$E$4:$E$503,_calc!$E$71))=0,"",INDEX('Our policies'!$E$4:$E$503,_calc!$E$71)))=0,"","Policy no.: "&amp;IF(LEN(INDEX('Our policies'!$E$4:$E$503,_calc!$E$71))=0,"",INDEX('Our policies'!$E$4:$E$503,_calc!$E$71))&amp;". ")&amp;IF(LEN(IF(LEN(INDEX('Our policies'!$S$4:$S$503,_calc!$E$71))=0,"",INDEX('Our policies'!$S$4:$S$503,_calc!$E$71)))=0,"",IF(LEN(INDEX('Our policies'!$S$4:$S$503,_calc!$E$71))=0,"",INDEX('Our policies'!$S$4:$S$503,_calc!$E$71)))),TRIM(IF(LEN(IF(LEN(INDEX('Vendor COIs'!$C$4:$C$503,(_calc!$E$71-500)))=0,"",INDEX('Vendor COIs'!$C$4:$C$503,(_calc!$E$71-500))))=0,"","Insurer: "&amp;IF(LEN(INDEX('Vendor COIs'!$C$4:$C$503,(_calc!$E$71-500)))=0,"",INDEX('Vendor COIs'!$C$4:$C$503,(_calc!$E$71-500)))&amp;". ")&amp;IF(LEN(IF(LEN(INDEX('Vendor COIs'!$D$4:$D$503,(_calc!$E$71-500)))=0,"",INDEX('Vendor COIs'!$D$4:$D$503,(_calc!$E$71-500))))=0,"","Policy no.: "&amp;IF(LEN(INDEX('Vendor COIs'!$D$4:$D$503,(_calc!$E$71-500)))=0,"",INDEX('Vendor COIs'!$D$4:$D$503,(_calc!$E$71-500)))&amp;". ")&amp;IF(LEN(IF(LEN(INDEX('Vendor COIs'!$F$4:$F$503,(_calc!$E$71-500)))=0,"",INDEX('Vendor COIs'!$F$4:$F$503,(_calc!$E$71-500))))=0,"","Meets minimum: "&amp;IF(LEN(INDEX('Vendor COIs'!$F$4:$F$503,(_calc!$E$71-500)))=0,"",INDEX('Vendor COIs'!$F$4:$F$503,(_calc!$E$71-500)))&amp;". ")&amp;IF(LEN(IF(LEN(INDEX('Vendor COIs'!$G$4:$G$503,(_calc!$E$71-500)))=0,"",INDEX('Vendor COIs'!$G$4:$G$503,(_calc!$E$71-500))))=0,"","Additional insured: "&amp;IF(LEN(INDEX('Vendor COIs'!$G$4:$G$503,(_calc!$E$71-500)))=0,"",INDEX('Vendor COIs'!$G$4:$G$503,(_calc!$E$71-500)))&amp;". ")&amp;IF(LEN(IF(LEN(INDEX('Vendor COIs'!$M$4:$M$503,(_calc!$E$71-500)))=0,"",INDEX('Vendor COIs'!$M$4:$M$503,(_calc!$E$71-500))))=0,"","Vendor contact: "&amp;IF(LEN(INDEX('Vendor COIs'!$M$4:$M$503,(_calc!$E$71-500)))=0,"",INDEX('Vendor COIs'!$M$4:$M$503,(_calc!$E$71-500)))&amp;". ")&amp;IF(LEN(IF(LEN(INDEX('Vendor COIs'!$P$4:$P$503,(_calc!$E$71-500)))=0,"",INDEX('Vendor COIs'!$P$4:$P$503,(_calc!$E$71-500))))=0,"",IF(LEN(INDEX('Vendor COIs'!$P$4:$P$503,(_calc!$E$71-500)))=0,"",INDEX('Vendor COIs'!$P$4:$P$503,(_calc!$E$71-500)))))))</f>
        <v/>
      </c>
      <c r="G69" s="46">
        <f>IF(_calc!$E$71="","",IF(_calc!$E$71&lt;=500,IF(LEN(INDEX('Our policies'!$R$4:$R$503,_calc!$E$71))=0,"",INDEX('Our policies'!$R$4:$R$503,_calc!$E$71)),IF(LEN(INDEX('Vendor COIs'!$O$4:$O$503,(_calc!$E$71-500)))=0,"",INDEX('Vendor COIs'!$O$4:$O$503,(_calc!$E$71-500)))))</f>
        <v/>
      </c>
      <c r="H69" s="46">
        <f>IF(_calc!$E$71="","",IF(_calc!$E$71&lt;=500,IF(LEN(INDEX('Our policies'!$G$4:$G$503,_calc!$E$71))=0,"",INDEX('Our policies'!$G$4:$G$503,_calc!$E$71)),""))</f>
        <v/>
      </c>
      <c r="I69" s="46">
        <f>IF(_calc!$E$71="","",IF(_calc!$E$71&lt;=500,IF(LEN(INDEX('Our policies'!$H$4:$H$503,_calc!$E$71))=0,"",INDEX('Our policies'!$H$4:$H$503,_calc!$E$71)),""))</f>
        <v/>
      </c>
      <c r="K69" s="46">
        <f>IF(_calc!$E$71="","",IF(_calc!$E$71&lt;=500,IF(LEN(INDEX('Our policies'!$P$4:$P$503,_calc!$E$71))=0,"",INDEX('Our policies'!$P$4:$P$503,_calc!$E$71)),IF(LEN(INDEX('Vendor COIs'!$N$4:$N$503,(_calc!$E$71-500)))=0,"",INDEX('Vendor COIs'!$N$4:$N$503,(_calc!$E$71-500)))))</f>
        <v/>
      </c>
    </row>
    <row r="70">
      <c r="A70" s="46">
        <f>IF(_calc!$E$72="","",IF(_calc!$E$72&lt;=500,IF(LEN(INDEX('Our policies'!$A$4:$A$503,_calc!$E$72))=0,"",INDEX('Our policies'!$A$4:$A$503,_calc!$E$72)),"COI – "&amp;IF(LEN(INDEX('Vendor COIs'!$A$4:$A$503,(_calc!$E$72-500)))=0,"",INDEX('Vendor COIs'!$A$4:$A$503,(_calc!$E$72-500)))&amp;" – "&amp;IF(LEN(INDEX('Vendor COIs'!$B$4:$B$503,(_calc!$E$72-500)))=0,"",INDEX('Vendor COIs'!$B$4:$B$503,(_calc!$E$72-500)))))</f>
        <v/>
      </c>
      <c r="B70" s="46">
        <f>IF(_calc!$E$72="","",IF(_calc!$E$72&lt;=500,IF(ISNUMBER(INDEX('Our policies'!$J$4:$J$503,_calc!$E$72)),TEXT(INDEX('Our policies'!$J$4:$J$503,_calc!$E$72),"yyyy-mm-dd"),""),IF(ISNUMBER(INDEX('Vendor COIs'!$H$4:$H$503,(_calc!$E$72-500))),TEXT(INDEX('Vendor COIs'!$H$4:$H$503,(_calc!$E$72-500)),"yyyy-mm-dd"),"")))</f>
        <v/>
      </c>
      <c r="C70" s="46">
        <f>IF(_calc!$E$72="","",IF(_calc!$E$72&lt;=500,"Insurance","Certificate of insurance"))</f>
        <v/>
      </c>
      <c r="D70" s="46">
        <f>IF(_calc!$E$72="","",IF(_calc!$E$72&lt;=500,IF(ISNUMBER(INDEX('Our policies'!$I$4:$I$503,_calc!$E$72)),TEXT(INDEX('Our policies'!$I$4:$I$503,_calc!$E$72),"yyyy-mm-dd"),""),""))</f>
        <v/>
      </c>
      <c r="E70" s="46">
        <f>IF(_calc!$E$72="","",IF(_calc!$E$72&lt;=500,IF(LEN(INDEX('Our policies'!$Q$4:$Q$503,_calc!$E$72))=0,"",INDEX('Our policies'!$Q$4:$Q$503,_calc!$E$72)),"Medium"))</f>
        <v/>
      </c>
      <c r="F70" s="46">
        <f>IF(_calc!$E$72="","",IF(_calc!$E$72&lt;=500,TRIM(IF(LEN(IF(LEN(INDEX('Our policies'!$B$4:$B$503,_calc!$E$72))=0,"",INDEX('Our policies'!$B$4:$B$503,_calc!$E$72)))=0,"","Cover: "&amp;IF(LEN(INDEX('Our policies'!$B$4:$B$503,_calc!$E$72))=0,"",INDEX('Our policies'!$B$4:$B$503,_calc!$E$72))&amp;". ")&amp;IF(LEN(IF(LEN(INDEX('Our policies'!$C$4:$C$503,_calc!$E$72))=0,"",INDEX('Our policies'!$C$4:$C$503,_calc!$E$72)))=0,"","Insurer: "&amp;IF(LEN(INDEX('Our policies'!$C$4:$C$503,_calc!$E$72))=0,"",INDEX('Our policies'!$C$4:$C$503,_calc!$E$72))&amp;". ")&amp;IF(LEN(IF(LEN(INDEX('Our policies'!$D$4:$D$503,_calc!$E$72))=0,"",INDEX('Our policies'!$D$4:$D$503,_calc!$E$72)))=0,"","Broker: "&amp;IF(LEN(INDEX('Our policies'!$D$4:$D$503,_calc!$E$72))=0,"",INDEX('Our policies'!$D$4:$D$503,_calc!$E$72))&amp;". ")&amp;IF(LEN(IF(LEN(INDEX('Our policies'!$E$4:$E$503,_calc!$E$72))=0,"",INDEX('Our policies'!$E$4:$E$503,_calc!$E$72)))=0,"","Policy no.: "&amp;IF(LEN(INDEX('Our policies'!$E$4:$E$503,_calc!$E$72))=0,"",INDEX('Our policies'!$E$4:$E$503,_calc!$E$72))&amp;". ")&amp;IF(LEN(IF(LEN(INDEX('Our policies'!$S$4:$S$503,_calc!$E$72))=0,"",INDEX('Our policies'!$S$4:$S$503,_calc!$E$72)))=0,"",IF(LEN(INDEX('Our policies'!$S$4:$S$503,_calc!$E$72))=0,"",INDEX('Our policies'!$S$4:$S$503,_calc!$E$72)))),TRIM(IF(LEN(IF(LEN(INDEX('Vendor COIs'!$C$4:$C$503,(_calc!$E$72-500)))=0,"",INDEX('Vendor COIs'!$C$4:$C$503,(_calc!$E$72-500))))=0,"","Insurer: "&amp;IF(LEN(INDEX('Vendor COIs'!$C$4:$C$503,(_calc!$E$72-500)))=0,"",INDEX('Vendor COIs'!$C$4:$C$503,(_calc!$E$72-500)))&amp;". ")&amp;IF(LEN(IF(LEN(INDEX('Vendor COIs'!$D$4:$D$503,(_calc!$E$72-500)))=0,"",INDEX('Vendor COIs'!$D$4:$D$503,(_calc!$E$72-500))))=0,"","Policy no.: "&amp;IF(LEN(INDEX('Vendor COIs'!$D$4:$D$503,(_calc!$E$72-500)))=0,"",INDEX('Vendor COIs'!$D$4:$D$503,(_calc!$E$72-500)))&amp;". ")&amp;IF(LEN(IF(LEN(INDEX('Vendor COIs'!$F$4:$F$503,(_calc!$E$72-500)))=0,"",INDEX('Vendor COIs'!$F$4:$F$503,(_calc!$E$72-500))))=0,"","Meets minimum: "&amp;IF(LEN(INDEX('Vendor COIs'!$F$4:$F$503,(_calc!$E$72-500)))=0,"",INDEX('Vendor COIs'!$F$4:$F$503,(_calc!$E$72-500)))&amp;". ")&amp;IF(LEN(IF(LEN(INDEX('Vendor COIs'!$G$4:$G$503,(_calc!$E$72-500)))=0,"",INDEX('Vendor COIs'!$G$4:$G$503,(_calc!$E$72-500))))=0,"","Additional insured: "&amp;IF(LEN(INDEX('Vendor COIs'!$G$4:$G$503,(_calc!$E$72-500)))=0,"",INDEX('Vendor COIs'!$G$4:$G$503,(_calc!$E$72-500)))&amp;". ")&amp;IF(LEN(IF(LEN(INDEX('Vendor COIs'!$M$4:$M$503,(_calc!$E$72-500)))=0,"",INDEX('Vendor COIs'!$M$4:$M$503,(_calc!$E$72-500))))=0,"","Vendor contact: "&amp;IF(LEN(INDEX('Vendor COIs'!$M$4:$M$503,(_calc!$E$72-500)))=0,"",INDEX('Vendor COIs'!$M$4:$M$503,(_calc!$E$72-500)))&amp;". ")&amp;IF(LEN(IF(LEN(INDEX('Vendor COIs'!$P$4:$P$503,(_calc!$E$72-500)))=0,"",INDEX('Vendor COIs'!$P$4:$P$503,(_calc!$E$72-500))))=0,"",IF(LEN(INDEX('Vendor COIs'!$P$4:$P$503,(_calc!$E$72-500)))=0,"",INDEX('Vendor COIs'!$P$4:$P$503,(_calc!$E$72-500)))))))</f>
        <v/>
      </c>
      <c r="G70" s="46">
        <f>IF(_calc!$E$72="","",IF(_calc!$E$72&lt;=500,IF(LEN(INDEX('Our policies'!$R$4:$R$503,_calc!$E$72))=0,"",INDEX('Our policies'!$R$4:$R$503,_calc!$E$72)),IF(LEN(INDEX('Vendor COIs'!$O$4:$O$503,(_calc!$E$72-500)))=0,"",INDEX('Vendor COIs'!$O$4:$O$503,(_calc!$E$72-500)))))</f>
        <v/>
      </c>
      <c r="H70" s="46">
        <f>IF(_calc!$E$72="","",IF(_calc!$E$72&lt;=500,IF(LEN(INDEX('Our policies'!$G$4:$G$503,_calc!$E$72))=0,"",INDEX('Our policies'!$G$4:$G$503,_calc!$E$72)),""))</f>
        <v/>
      </c>
      <c r="I70" s="46">
        <f>IF(_calc!$E$72="","",IF(_calc!$E$72&lt;=500,IF(LEN(INDEX('Our policies'!$H$4:$H$503,_calc!$E$72))=0,"",INDEX('Our policies'!$H$4:$H$503,_calc!$E$72)),""))</f>
        <v/>
      </c>
      <c r="K70" s="46">
        <f>IF(_calc!$E$72="","",IF(_calc!$E$72&lt;=500,IF(LEN(INDEX('Our policies'!$P$4:$P$503,_calc!$E$72))=0,"",INDEX('Our policies'!$P$4:$P$503,_calc!$E$72)),IF(LEN(INDEX('Vendor COIs'!$N$4:$N$503,(_calc!$E$72-500)))=0,"",INDEX('Vendor COIs'!$N$4:$N$503,(_calc!$E$72-500)))))</f>
        <v/>
      </c>
    </row>
    <row r="71">
      <c r="A71" s="46">
        <f>IF(_calc!$E$73="","",IF(_calc!$E$73&lt;=500,IF(LEN(INDEX('Our policies'!$A$4:$A$503,_calc!$E$73))=0,"",INDEX('Our policies'!$A$4:$A$503,_calc!$E$73)),"COI – "&amp;IF(LEN(INDEX('Vendor COIs'!$A$4:$A$503,(_calc!$E$73-500)))=0,"",INDEX('Vendor COIs'!$A$4:$A$503,(_calc!$E$73-500)))&amp;" – "&amp;IF(LEN(INDEX('Vendor COIs'!$B$4:$B$503,(_calc!$E$73-500)))=0,"",INDEX('Vendor COIs'!$B$4:$B$503,(_calc!$E$73-500)))))</f>
        <v/>
      </c>
      <c r="B71" s="46">
        <f>IF(_calc!$E$73="","",IF(_calc!$E$73&lt;=500,IF(ISNUMBER(INDEX('Our policies'!$J$4:$J$503,_calc!$E$73)),TEXT(INDEX('Our policies'!$J$4:$J$503,_calc!$E$73),"yyyy-mm-dd"),""),IF(ISNUMBER(INDEX('Vendor COIs'!$H$4:$H$503,(_calc!$E$73-500))),TEXT(INDEX('Vendor COIs'!$H$4:$H$503,(_calc!$E$73-500)),"yyyy-mm-dd"),"")))</f>
        <v/>
      </c>
      <c r="C71" s="46">
        <f>IF(_calc!$E$73="","",IF(_calc!$E$73&lt;=500,"Insurance","Certificate of insurance"))</f>
        <v/>
      </c>
      <c r="D71" s="46">
        <f>IF(_calc!$E$73="","",IF(_calc!$E$73&lt;=500,IF(ISNUMBER(INDEX('Our policies'!$I$4:$I$503,_calc!$E$73)),TEXT(INDEX('Our policies'!$I$4:$I$503,_calc!$E$73),"yyyy-mm-dd"),""),""))</f>
        <v/>
      </c>
      <c r="E71" s="46">
        <f>IF(_calc!$E$73="","",IF(_calc!$E$73&lt;=500,IF(LEN(INDEX('Our policies'!$Q$4:$Q$503,_calc!$E$73))=0,"",INDEX('Our policies'!$Q$4:$Q$503,_calc!$E$73)),"Medium"))</f>
        <v/>
      </c>
      <c r="F71" s="46">
        <f>IF(_calc!$E$73="","",IF(_calc!$E$73&lt;=500,TRIM(IF(LEN(IF(LEN(INDEX('Our policies'!$B$4:$B$503,_calc!$E$73))=0,"",INDEX('Our policies'!$B$4:$B$503,_calc!$E$73)))=0,"","Cover: "&amp;IF(LEN(INDEX('Our policies'!$B$4:$B$503,_calc!$E$73))=0,"",INDEX('Our policies'!$B$4:$B$503,_calc!$E$73))&amp;". ")&amp;IF(LEN(IF(LEN(INDEX('Our policies'!$C$4:$C$503,_calc!$E$73))=0,"",INDEX('Our policies'!$C$4:$C$503,_calc!$E$73)))=0,"","Insurer: "&amp;IF(LEN(INDEX('Our policies'!$C$4:$C$503,_calc!$E$73))=0,"",INDEX('Our policies'!$C$4:$C$503,_calc!$E$73))&amp;". ")&amp;IF(LEN(IF(LEN(INDEX('Our policies'!$D$4:$D$503,_calc!$E$73))=0,"",INDEX('Our policies'!$D$4:$D$503,_calc!$E$73)))=0,"","Broker: "&amp;IF(LEN(INDEX('Our policies'!$D$4:$D$503,_calc!$E$73))=0,"",INDEX('Our policies'!$D$4:$D$503,_calc!$E$73))&amp;". ")&amp;IF(LEN(IF(LEN(INDEX('Our policies'!$E$4:$E$503,_calc!$E$73))=0,"",INDEX('Our policies'!$E$4:$E$503,_calc!$E$73)))=0,"","Policy no.: "&amp;IF(LEN(INDEX('Our policies'!$E$4:$E$503,_calc!$E$73))=0,"",INDEX('Our policies'!$E$4:$E$503,_calc!$E$73))&amp;". ")&amp;IF(LEN(IF(LEN(INDEX('Our policies'!$S$4:$S$503,_calc!$E$73))=0,"",INDEX('Our policies'!$S$4:$S$503,_calc!$E$73)))=0,"",IF(LEN(INDEX('Our policies'!$S$4:$S$503,_calc!$E$73))=0,"",INDEX('Our policies'!$S$4:$S$503,_calc!$E$73)))),TRIM(IF(LEN(IF(LEN(INDEX('Vendor COIs'!$C$4:$C$503,(_calc!$E$73-500)))=0,"",INDEX('Vendor COIs'!$C$4:$C$503,(_calc!$E$73-500))))=0,"","Insurer: "&amp;IF(LEN(INDEX('Vendor COIs'!$C$4:$C$503,(_calc!$E$73-500)))=0,"",INDEX('Vendor COIs'!$C$4:$C$503,(_calc!$E$73-500)))&amp;". ")&amp;IF(LEN(IF(LEN(INDEX('Vendor COIs'!$D$4:$D$503,(_calc!$E$73-500)))=0,"",INDEX('Vendor COIs'!$D$4:$D$503,(_calc!$E$73-500))))=0,"","Policy no.: "&amp;IF(LEN(INDEX('Vendor COIs'!$D$4:$D$503,(_calc!$E$73-500)))=0,"",INDEX('Vendor COIs'!$D$4:$D$503,(_calc!$E$73-500)))&amp;". ")&amp;IF(LEN(IF(LEN(INDEX('Vendor COIs'!$F$4:$F$503,(_calc!$E$73-500)))=0,"",INDEX('Vendor COIs'!$F$4:$F$503,(_calc!$E$73-500))))=0,"","Meets minimum: "&amp;IF(LEN(INDEX('Vendor COIs'!$F$4:$F$503,(_calc!$E$73-500)))=0,"",INDEX('Vendor COIs'!$F$4:$F$503,(_calc!$E$73-500)))&amp;". ")&amp;IF(LEN(IF(LEN(INDEX('Vendor COIs'!$G$4:$G$503,(_calc!$E$73-500)))=0,"",INDEX('Vendor COIs'!$G$4:$G$503,(_calc!$E$73-500))))=0,"","Additional insured: "&amp;IF(LEN(INDEX('Vendor COIs'!$G$4:$G$503,(_calc!$E$73-500)))=0,"",INDEX('Vendor COIs'!$G$4:$G$503,(_calc!$E$73-500)))&amp;". ")&amp;IF(LEN(IF(LEN(INDEX('Vendor COIs'!$M$4:$M$503,(_calc!$E$73-500)))=0,"",INDEX('Vendor COIs'!$M$4:$M$503,(_calc!$E$73-500))))=0,"","Vendor contact: "&amp;IF(LEN(INDEX('Vendor COIs'!$M$4:$M$503,(_calc!$E$73-500)))=0,"",INDEX('Vendor COIs'!$M$4:$M$503,(_calc!$E$73-500)))&amp;". ")&amp;IF(LEN(IF(LEN(INDEX('Vendor COIs'!$P$4:$P$503,(_calc!$E$73-500)))=0,"",INDEX('Vendor COIs'!$P$4:$P$503,(_calc!$E$73-500))))=0,"",IF(LEN(INDEX('Vendor COIs'!$P$4:$P$503,(_calc!$E$73-500)))=0,"",INDEX('Vendor COIs'!$P$4:$P$503,(_calc!$E$73-500)))))))</f>
        <v/>
      </c>
      <c r="G71" s="46">
        <f>IF(_calc!$E$73="","",IF(_calc!$E$73&lt;=500,IF(LEN(INDEX('Our policies'!$R$4:$R$503,_calc!$E$73))=0,"",INDEX('Our policies'!$R$4:$R$503,_calc!$E$73)),IF(LEN(INDEX('Vendor COIs'!$O$4:$O$503,(_calc!$E$73-500)))=0,"",INDEX('Vendor COIs'!$O$4:$O$503,(_calc!$E$73-500)))))</f>
        <v/>
      </c>
      <c r="H71" s="46">
        <f>IF(_calc!$E$73="","",IF(_calc!$E$73&lt;=500,IF(LEN(INDEX('Our policies'!$G$4:$G$503,_calc!$E$73))=0,"",INDEX('Our policies'!$G$4:$G$503,_calc!$E$73)),""))</f>
        <v/>
      </c>
      <c r="I71" s="46">
        <f>IF(_calc!$E$73="","",IF(_calc!$E$73&lt;=500,IF(LEN(INDEX('Our policies'!$H$4:$H$503,_calc!$E$73))=0,"",INDEX('Our policies'!$H$4:$H$503,_calc!$E$73)),""))</f>
        <v/>
      </c>
      <c r="K71" s="46">
        <f>IF(_calc!$E$73="","",IF(_calc!$E$73&lt;=500,IF(LEN(INDEX('Our policies'!$P$4:$P$503,_calc!$E$73))=0,"",INDEX('Our policies'!$P$4:$P$503,_calc!$E$73)),IF(LEN(INDEX('Vendor COIs'!$N$4:$N$503,(_calc!$E$73-500)))=0,"",INDEX('Vendor COIs'!$N$4:$N$503,(_calc!$E$73-500)))))</f>
        <v/>
      </c>
    </row>
    <row r="72">
      <c r="A72" s="46">
        <f>IF(_calc!$E$74="","",IF(_calc!$E$74&lt;=500,IF(LEN(INDEX('Our policies'!$A$4:$A$503,_calc!$E$74))=0,"",INDEX('Our policies'!$A$4:$A$503,_calc!$E$74)),"COI – "&amp;IF(LEN(INDEX('Vendor COIs'!$A$4:$A$503,(_calc!$E$74-500)))=0,"",INDEX('Vendor COIs'!$A$4:$A$503,(_calc!$E$74-500)))&amp;" – "&amp;IF(LEN(INDEX('Vendor COIs'!$B$4:$B$503,(_calc!$E$74-500)))=0,"",INDEX('Vendor COIs'!$B$4:$B$503,(_calc!$E$74-500)))))</f>
        <v/>
      </c>
      <c r="B72" s="46">
        <f>IF(_calc!$E$74="","",IF(_calc!$E$74&lt;=500,IF(ISNUMBER(INDEX('Our policies'!$J$4:$J$503,_calc!$E$74)),TEXT(INDEX('Our policies'!$J$4:$J$503,_calc!$E$74),"yyyy-mm-dd"),""),IF(ISNUMBER(INDEX('Vendor COIs'!$H$4:$H$503,(_calc!$E$74-500))),TEXT(INDEX('Vendor COIs'!$H$4:$H$503,(_calc!$E$74-500)),"yyyy-mm-dd"),"")))</f>
        <v/>
      </c>
      <c r="C72" s="46">
        <f>IF(_calc!$E$74="","",IF(_calc!$E$74&lt;=500,"Insurance","Certificate of insurance"))</f>
        <v/>
      </c>
      <c r="D72" s="46">
        <f>IF(_calc!$E$74="","",IF(_calc!$E$74&lt;=500,IF(ISNUMBER(INDEX('Our policies'!$I$4:$I$503,_calc!$E$74)),TEXT(INDEX('Our policies'!$I$4:$I$503,_calc!$E$74),"yyyy-mm-dd"),""),""))</f>
        <v/>
      </c>
      <c r="E72" s="46">
        <f>IF(_calc!$E$74="","",IF(_calc!$E$74&lt;=500,IF(LEN(INDEX('Our policies'!$Q$4:$Q$503,_calc!$E$74))=0,"",INDEX('Our policies'!$Q$4:$Q$503,_calc!$E$74)),"Medium"))</f>
        <v/>
      </c>
      <c r="F72" s="46">
        <f>IF(_calc!$E$74="","",IF(_calc!$E$74&lt;=500,TRIM(IF(LEN(IF(LEN(INDEX('Our policies'!$B$4:$B$503,_calc!$E$74))=0,"",INDEX('Our policies'!$B$4:$B$503,_calc!$E$74)))=0,"","Cover: "&amp;IF(LEN(INDEX('Our policies'!$B$4:$B$503,_calc!$E$74))=0,"",INDEX('Our policies'!$B$4:$B$503,_calc!$E$74))&amp;". ")&amp;IF(LEN(IF(LEN(INDEX('Our policies'!$C$4:$C$503,_calc!$E$74))=0,"",INDEX('Our policies'!$C$4:$C$503,_calc!$E$74)))=0,"","Insurer: "&amp;IF(LEN(INDEX('Our policies'!$C$4:$C$503,_calc!$E$74))=0,"",INDEX('Our policies'!$C$4:$C$503,_calc!$E$74))&amp;". ")&amp;IF(LEN(IF(LEN(INDEX('Our policies'!$D$4:$D$503,_calc!$E$74))=0,"",INDEX('Our policies'!$D$4:$D$503,_calc!$E$74)))=0,"","Broker: "&amp;IF(LEN(INDEX('Our policies'!$D$4:$D$503,_calc!$E$74))=0,"",INDEX('Our policies'!$D$4:$D$503,_calc!$E$74))&amp;". ")&amp;IF(LEN(IF(LEN(INDEX('Our policies'!$E$4:$E$503,_calc!$E$74))=0,"",INDEX('Our policies'!$E$4:$E$503,_calc!$E$74)))=0,"","Policy no.: "&amp;IF(LEN(INDEX('Our policies'!$E$4:$E$503,_calc!$E$74))=0,"",INDEX('Our policies'!$E$4:$E$503,_calc!$E$74))&amp;". ")&amp;IF(LEN(IF(LEN(INDEX('Our policies'!$S$4:$S$503,_calc!$E$74))=0,"",INDEX('Our policies'!$S$4:$S$503,_calc!$E$74)))=0,"",IF(LEN(INDEX('Our policies'!$S$4:$S$503,_calc!$E$74))=0,"",INDEX('Our policies'!$S$4:$S$503,_calc!$E$74)))),TRIM(IF(LEN(IF(LEN(INDEX('Vendor COIs'!$C$4:$C$503,(_calc!$E$74-500)))=0,"",INDEX('Vendor COIs'!$C$4:$C$503,(_calc!$E$74-500))))=0,"","Insurer: "&amp;IF(LEN(INDEX('Vendor COIs'!$C$4:$C$503,(_calc!$E$74-500)))=0,"",INDEX('Vendor COIs'!$C$4:$C$503,(_calc!$E$74-500)))&amp;". ")&amp;IF(LEN(IF(LEN(INDEX('Vendor COIs'!$D$4:$D$503,(_calc!$E$74-500)))=0,"",INDEX('Vendor COIs'!$D$4:$D$503,(_calc!$E$74-500))))=0,"","Policy no.: "&amp;IF(LEN(INDEX('Vendor COIs'!$D$4:$D$503,(_calc!$E$74-500)))=0,"",INDEX('Vendor COIs'!$D$4:$D$503,(_calc!$E$74-500)))&amp;". ")&amp;IF(LEN(IF(LEN(INDEX('Vendor COIs'!$F$4:$F$503,(_calc!$E$74-500)))=0,"",INDEX('Vendor COIs'!$F$4:$F$503,(_calc!$E$74-500))))=0,"","Meets minimum: "&amp;IF(LEN(INDEX('Vendor COIs'!$F$4:$F$503,(_calc!$E$74-500)))=0,"",INDEX('Vendor COIs'!$F$4:$F$503,(_calc!$E$74-500)))&amp;". ")&amp;IF(LEN(IF(LEN(INDEX('Vendor COIs'!$G$4:$G$503,(_calc!$E$74-500)))=0,"",INDEX('Vendor COIs'!$G$4:$G$503,(_calc!$E$74-500))))=0,"","Additional insured: "&amp;IF(LEN(INDEX('Vendor COIs'!$G$4:$G$503,(_calc!$E$74-500)))=0,"",INDEX('Vendor COIs'!$G$4:$G$503,(_calc!$E$74-500)))&amp;". ")&amp;IF(LEN(IF(LEN(INDEX('Vendor COIs'!$M$4:$M$503,(_calc!$E$74-500)))=0,"",INDEX('Vendor COIs'!$M$4:$M$503,(_calc!$E$74-500))))=0,"","Vendor contact: "&amp;IF(LEN(INDEX('Vendor COIs'!$M$4:$M$503,(_calc!$E$74-500)))=0,"",INDEX('Vendor COIs'!$M$4:$M$503,(_calc!$E$74-500)))&amp;". ")&amp;IF(LEN(IF(LEN(INDEX('Vendor COIs'!$P$4:$P$503,(_calc!$E$74-500)))=0,"",INDEX('Vendor COIs'!$P$4:$P$503,(_calc!$E$74-500))))=0,"",IF(LEN(INDEX('Vendor COIs'!$P$4:$P$503,(_calc!$E$74-500)))=0,"",INDEX('Vendor COIs'!$P$4:$P$503,(_calc!$E$74-500)))))))</f>
        <v/>
      </c>
      <c r="G72" s="46">
        <f>IF(_calc!$E$74="","",IF(_calc!$E$74&lt;=500,IF(LEN(INDEX('Our policies'!$R$4:$R$503,_calc!$E$74))=0,"",INDEX('Our policies'!$R$4:$R$503,_calc!$E$74)),IF(LEN(INDEX('Vendor COIs'!$O$4:$O$503,(_calc!$E$74-500)))=0,"",INDEX('Vendor COIs'!$O$4:$O$503,(_calc!$E$74-500)))))</f>
        <v/>
      </c>
      <c r="H72" s="46">
        <f>IF(_calc!$E$74="","",IF(_calc!$E$74&lt;=500,IF(LEN(INDEX('Our policies'!$G$4:$G$503,_calc!$E$74))=0,"",INDEX('Our policies'!$G$4:$G$503,_calc!$E$74)),""))</f>
        <v/>
      </c>
      <c r="I72" s="46">
        <f>IF(_calc!$E$74="","",IF(_calc!$E$74&lt;=500,IF(LEN(INDEX('Our policies'!$H$4:$H$503,_calc!$E$74))=0,"",INDEX('Our policies'!$H$4:$H$503,_calc!$E$74)),""))</f>
        <v/>
      </c>
      <c r="K72" s="46">
        <f>IF(_calc!$E$74="","",IF(_calc!$E$74&lt;=500,IF(LEN(INDEX('Our policies'!$P$4:$P$503,_calc!$E$74))=0,"",INDEX('Our policies'!$P$4:$P$503,_calc!$E$74)),IF(LEN(INDEX('Vendor COIs'!$N$4:$N$503,(_calc!$E$74-500)))=0,"",INDEX('Vendor COIs'!$N$4:$N$503,(_calc!$E$74-500)))))</f>
        <v/>
      </c>
    </row>
    <row r="73">
      <c r="A73" s="46">
        <f>IF(_calc!$E$75="","",IF(_calc!$E$75&lt;=500,IF(LEN(INDEX('Our policies'!$A$4:$A$503,_calc!$E$75))=0,"",INDEX('Our policies'!$A$4:$A$503,_calc!$E$75)),"COI – "&amp;IF(LEN(INDEX('Vendor COIs'!$A$4:$A$503,(_calc!$E$75-500)))=0,"",INDEX('Vendor COIs'!$A$4:$A$503,(_calc!$E$75-500)))&amp;" – "&amp;IF(LEN(INDEX('Vendor COIs'!$B$4:$B$503,(_calc!$E$75-500)))=0,"",INDEX('Vendor COIs'!$B$4:$B$503,(_calc!$E$75-500)))))</f>
        <v/>
      </c>
      <c r="B73" s="46">
        <f>IF(_calc!$E$75="","",IF(_calc!$E$75&lt;=500,IF(ISNUMBER(INDEX('Our policies'!$J$4:$J$503,_calc!$E$75)),TEXT(INDEX('Our policies'!$J$4:$J$503,_calc!$E$75),"yyyy-mm-dd"),""),IF(ISNUMBER(INDEX('Vendor COIs'!$H$4:$H$503,(_calc!$E$75-500))),TEXT(INDEX('Vendor COIs'!$H$4:$H$503,(_calc!$E$75-500)),"yyyy-mm-dd"),"")))</f>
        <v/>
      </c>
      <c r="C73" s="46">
        <f>IF(_calc!$E$75="","",IF(_calc!$E$75&lt;=500,"Insurance","Certificate of insurance"))</f>
        <v/>
      </c>
      <c r="D73" s="46">
        <f>IF(_calc!$E$75="","",IF(_calc!$E$75&lt;=500,IF(ISNUMBER(INDEX('Our policies'!$I$4:$I$503,_calc!$E$75)),TEXT(INDEX('Our policies'!$I$4:$I$503,_calc!$E$75),"yyyy-mm-dd"),""),""))</f>
        <v/>
      </c>
      <c r="E73" s="46">
        <f>IF(_calc!$E$75="","",IF(_calc!$E$75&lt;=500,IF(LEN(INDEX('Our policies'!$Q$4:$Q$503,_calc!$E$75))=0,"",INDEX('Our policies'!$Q$4:$Q$503,_calc!$E$75)),"Medium"))</f>
        <v/>
      </c>
      <c r="F73" s="46">
        <f>IF(_calc!$E$75="","",IF(_calc!$E$75&lt;=500,TRIM(IF(LEN(IF(LEN(INDEX('Our policies'!$B$4:$B$503,_calc!$E$75))=0,"",INDEX('Our policies'!$B$4:$B$503,_calc!$E$75)))=0,"","Cover: "&amp;IF(LEN(INDEX('Our policies'!$B$4:$B$503,_calc!$E$75))=0,"",INDEX('Our policies'!$B$4:$B$503,_calc!$E$75))&amp;". ")&amp;IF(LEN(IF(LEN(INDEX('Our policies'!$C$4:$C$503,_calc!$E$75))=0,"",INDEX('Our policies'!$C$4:$C$503,_calc!$E$75)))=0,"","Insurer: "&amp;IF(LEN(INDEX('Our policies'!$C$4:$C$503,_calc!$E$75))=0,"",INDEX('Our policies'!$C$4:$C$503,_calc!$E$75))&amp;". ")&amp;IF(LEN(IF(LEN(INDEX('Our policies'!$D$4:$D$503,_calc!$E$75))=0,"",INDEX('Our policies'!$D$4:$D$503,_calc!$E$75)))=0,"","Broker: "&amp;IF(LEN(INDEX('Our policies'!$D$4:$D$503,_calc!$E$75))=0,"",INDEX('Our policies'!$D$4:$D$503,_calc!$E$75))&amp;". ")&amp;IF(LEN(IF(LEN(INDEX('Our policies'!$E$4:$E$503,_calc!$E$75))=0,"",INDEX('Our policies'!$E$4:$E$503,_calc!$E$75)))=0,"","Policy no.: "&amp;IF(LEN(INDEX('Our policies'!$E$4:$E$503,_calc!$E$75))=0,"",INDEX('Our policies'!$E$4:$E$503,_calc!$E$75))&amp;". ")&amp;IF(LEN(IF(LEN(INDEX('Our policies'!$S$4:$S$503,_calc!$E$75))=0,"",INDEX('Our policies'!$S$4:$S$503,_calc!$E$75)))=0,"",IF(LEN(INDEX('Our policies'!$S$4:$S$503,_calc!$E$75))=0,"",INDEX('Our policies'!$S$4:$S$503,_calc!$E$75)))),TRIM(IF(LEN(IF(LEN(INDEX('Vendor COIs'!$C$4:$C$503,(_calc!$E$75-500)))=0,"",INDEX('Vendor COIs'!$C$4:$C$503,(_calc!$E$75-500))))=0,"","Insurer: "&amp;IF(LEN(INDEX('Vendor COIs'!$C$4:$C$503,(_calc!$E$75-500)))=0,"",INDEX('Vendor COIs'!$C$4:$C$503,(_calc!$E$75-500)))&amp;". ")&amp;IF(LEN(IF(LEN(INDEX('Vendor COIs'!$D$4:$D$503,(_calc!$E$75-500)))=0,"",INDEX('Vendor COIs'!$D$4:$D$503,(_calc!$E$75-500))))=0,"","Policy no.: "&amp;IF(LEN(INDEX('Vendor COIs'!$D$4:$D$503,(_calc!$E$75-500)))=0,"",INDEX('Vendor COIs'!$D$4:$D$503,(_calc!$E$75-500)))&amp;". ")&amp;IF(LEN(IF(LEN(INDEX('Vendor COIs'!$F$4:$F$503,(_calc!$E$75-500)))=0,"",INDEX('Vendor COIs'!$F$4:$F$503,(_calc!$E$75-500))))=0,"","Meets minimum: "&amp;IF(LEN(INDEX('Vendor COIs'!$F$4:$F$503,(_calc!$E$75-500)))=0,"",INDEX('Vendor COIs'!$F$4:$F$503,(_calc!$E$75-500)))&amp;". ")&amp;IF(LEN(IF(LEN(INDEX('Vendor COIs'!$G$4:$G$503,(_calc!$E$75-500)))=0,"",INDEX('Vendor COIs'!$G$4:$G$503,(_calc!$E$75-500))))=0,"","Additional insured: "&amp;IF(LEN(INDEX('Vendor COIs'!$G$4:$G$503,(_calc!$E$75-500)))=0,"",INDEX('Vendor COIs'!$G$4:$G$503,(_calc!$E$75-500)))&amp;". ")&amp;IF(LEN(IF(LEN(INDEX('Vendor COIs'!$M$4:$M$503,(_calc!$E$75-500)))=0,"",INDEX('Vendor COIs'!$M$4:$M$503,(_calc!$E$75-500))))=0,"","Vendor contact: "&amp;IF(LEN(INDEX('Vendor COIs'!$M$4:$M$503,(_calc!$E$75-500)))=0,"",INDEX('Vendor COIs'!$M$4:$M$503,(_calc!$E$75-500)))&amp;". ")&amp;IF(LEN(IF(LEN(INDEX('Vendor COIs'!$P$4:$P$503,(_calc!$E$75-500)))=0,"",INDEX('Vendor COIs'!$P$4:$P$503,(_calc!$E$75-500))))=0,"",IF(LEN(INDEX('Vendor COIs'!$P$4:$P$503,(_calc!$E$75-500)))=0,"",INDEX('Vendor COIs'!$P$4:$P$503,(_calc!$E$75-500)))))))</f>
        <v/>
      </c>
      <c r="G73" s="46">
        <f>IF(_calc!$E$75="","",IF(_calc!$E$75&lt;=500,IF(LEN(INDEX('Our policies'!$R$4:$R$503,_calc!$E$75))=0,"",INDEX('Our policies'!$R$4:$R$503,_calc!$E$75)),IF(LEN(INDEX('Vendor COIs'!$O$4:$O$503,(_calc!$E$75-500)))=0,"",INDEX('Vendor COIs'!$O$4:$O$503,(_calc!$E$75-500)))))</f>
        <v/>
      </c>
      <c r="H73" s="46">
        <f>IF(_calc!$E$75="","",IF(_calc!$E$75&lt;=500,IF(LEN(INDEX('Our policies'!$G$4:$G$503,_calc!$E$75))=0,"",INDEX('Our policies'!$G$4:$G$503,_calc!$E$75)),""))</f>
        <v/>
      </c>
      <c r="I73" s="46">
        <f>IF(_calc!$E$75="","",IF(_calc!$E$75&lt;=500,IF(LEN(INDEX('Our policies'!$H$4:$H$503,_calc!$E$75))=0,"",INDEX('Our policies'!$H$4:$H$503,_calc!$E$75)),""))</f>
        <v/>
      </c>
      <c r="K73" s="46">
        <f>IF(_calc!$E$75="","",IF(_calc!$E$75&lt;=500,IF(LEN(INDEX('Our policies'!$P$4:$P$503,_calc!$E$75))=0,"",INDEX('Our policies'!$P$4:$P$503,_calc!$E$75)),IF(LEN(INDEX('Vendor COIs'!$N$4:$N$503,(_calc!$E$75-500)))=0,"",INDEX('Vendor COIs'!$N$4:$N$503,(_calc!$E$75-500)))))</f>
        <v/>
      </c>
    </row>
    <row r="74">
      <c r="A74" s="46">
        <f>IF(_calc!$E$76="","",IF(_calc!$E$76&lt;=500,IF(LEN(INDEX('Our policies'!$A$4:$A$503,_calc!$E$76))=0,"",INDEX('Our policies'!$A$4:$A$503,_calc!$E$76)),"COI – "&amp;IF(LEN(INDEX('Vendor COIs'!$A$4:$A$503,(_calc!$E$76-500)))=0,"",INDEX('Vendor COIs'!$A$4:$A$503,(_calc!$E$76-500)))&amp;" – "&amp;IF(LEN(INDEX('Vendor COIs'!$B$4:$B$503,(_calc!$E$76-500)))=0,"",INDEX('Vendor COIs'!$B$4:$B$503,(_calc!$E$76-500)))))</f>
        <v/>
      </c>
      <c r="B74" s="46">
        <f>IF(_calc!$E$76="","",IF(_calc!$E$76&lt;=500,IF(ISNUMBER(INDEX('Our policies'!$J$4:$J$503,_calc!$E$76)),TEXT(INDEX('Our policies'!$J$4:$J$503,_calc!$E$76),"yyyy-mm-dd"),""),IF(ISNUMBER(INDEX('Vendor COIs'!$H$4:$H$503,(_calc!$E$76-500))),TEXT(INDEX('Vendor COIs'!$H$4:$H$503,(_calc!$E$76-500)),"yyyy-mm-dd"),"")))</f>
        <v/>
      </c>
      <c r="C74" s="46">
        <f>IF(_calc!$E$76="","",IF(_calc!$E$76&lt;=500,"Insurance","Certificate of insurance"))</f>
        <v/>
      </c>
      <c r="D74" s="46">
        <f>IF(_calc!$E$76="","",IF(_calc!$E$76&lt;=500,IF(ISNUMBER(INDEX('Our policies'!$I$4:$I$503,_calc!$E$76)),TEXT(INDEX('Our policies'!$I$4:$I$503,_calc!$E$76),"yyyy-mm-dd"),""),""))</f>
        <v/>
      </c>
      <c r="E74" s="46">
        <f>IF(_calc!$E$76="","",IF(_calc!$E$76&lt;=500,IF(LEN(INDEX('Our policies'!$Q$4:$Q$503,_calc!$E$76))=0,"",INDEX('Our policies'!$Q$4:$Q$503,_calc!$E$76)),"Medium"))</f>
        <v/>
      </c>
      <c r="F74" s="46">
        <f>IF(_calc!$E$76="","",IF(_calc!$E$76&lt;=500,TRIM(IF(LEN(IF(LEN(INDEX('Our policies'!$B$4:$B$503,_calc!$E$76))=0,"",INDEX('Our policies'!$B$4:$B$503,_calc!$E$76)))=0,"","Cover: "&amp;IF(LEN(INDEX('Our policies'!$B$4:$B$503,_calc!$E$76))=0,"",INDEX('Our policies'!$B$4:$B$503,_calc!$E$76))&amp;". ")&amp;IF(LEN(IF(LEN(INDEX('Our policies'!$C$4:$C$503,_calc!$E$76))=0,"",INDEX('Our policies'!$C$4:$C$503,_calc!$E$76)))=0,"","Insurer: "&amp;IF(LEN(INDEX('Our policies'!$C$4:$C$503,_calc!$E$76))=0,"",INDEX('Our policies'!$C$4:$C$503,_calc!$E$76))&amp;". ")&amp;IF(LEN(IF(LEN(INDEX('Our policies'!$D$4:$D$503,_calc!$E$76))=0,"",INDEX('Our policies'!$D$4:$D$503,_calc!$E$76)))=0,"","Broker: "&amp;IF(LEN(INDEX('Our policies'!$D$4:$D$503,_calc!$E$76))=0,"",INDEX('Our policies'!$D$4:$D$503,_calc!$E$76))&amp;". ")&amp;IF(LEN(IF(LEN(INDEX('Our policies'!$E$4:$E$503,_calc!$E$76))=0,"",INDEX('Our policies'!$E$4:$E$503,_calc!$E$76)))=0,"","Policy no.: "&amp;IF(LEN(INDEX('Our policies'!$E$4:$E$503,_calc!$E$76))=0,"",INDEX('Our policies'!$E$4:$E$503,_calc!$E$76))&amp;". ")&amp;IF(LEN(IF(LEN(INDEX('Our policies'!$S$4:$S$503,_calc!$E$76))=0,"",INDEX('Our policies'!$S$4:$S$503,_calc!$E$76)))=0,"",IF(LEN(INDEX('Our policies'!$S$4:$S$503,_calc!$E$76))=0,"",INDEX('Our policies'!$S$4:$S$503,_calc!$E$76)))),TRIM(IF(LEN(IF(LEN(INDEX('Vendor COIs'!$C$4:$C$503,(_calc!$E$76-500)))=0,"",INDEX('Vendor COIs'!$C$4:$C$503,(_calc!$E$76-500))))=0,"","Insurer: "&amp;IF(LEN(INDEX('Vendor COIs'!$C$4:$C$503,(_calc!$E$76-500)))=0,"",INDEX('Vendor COIs'!$C$4:$C$503,(_calc!$E$76-500)))&amp;". ")&amp;IF(LEN(IF(LEN(INDEX('Vendor COIs'!$D$4:$D$503,(_calc!$E$76-500)))=0,"",INDEX('Vendor COIs'!$D$4:$D$503,(_calc!$E$76-500))))=0,"","Policy no.: "&amp;IF(LEN(INDEX('Vendor COIs'!$D$4:$D$503,(_calc!$E$76-500)))=0,"",INDEX('Vendor COIs'!$D$4:$D$503,(_calc!$E$76-500)))&amp;". ")&amp;IF(LEN(IF(LEN(INDEX('Vendor COIs'!$F$4:$F$503,(_calc!$E$76-500)))=0,"",INDEX('Vendor COIs'!$F$4:$F$503,(_calc!$E$76-500))))=0,"","Meets minimum: "&amp;IF(LEN(INDEX('Vendor COIs'!$F$4:$F$503,(_calc!$E$76-500)))=0,"",INDEX('Vendor COIs'!$F$4:$F$503,(_calc!$E$76-500)))&amp;". ")&amp;IF(LEN(IF(LEN(INDEX('Vendor COIs'!$G$4:$G$503,(_calc!$E$76-500)))=0,"",INDEX('Vendor COIs'!$G$4:$G$503,(_calc!$E$76-500))))=0,"","Additional insured: "&amp;IF(LEN(INDEX('Vendor COIs'!$G$4:$G$503,(_calc!$E$76-500)))=0,"",INDEX('Vendor COIs'!$G$4:$G$503,(_calc!$E$76-500)))&amp;". ")&amp;IF(LEN(IF(LEN(INDEX('Vendor COIs'!$M$4:$M$503,(_calc!$E$76-500)))=0,"",INDEX('Vendor COIs'!$M$4:$M$503,(_calc!$E$76-500))))=0,"","Vendor contact: "&amp;IF(LEN(INDEX('Vendor COIs'!$M$4:$M$503,(_calc!$E$76-500)))=0,"",INDEX('Vendor COIs'!$M$4:$M$503,(_calc!$E$76-500)))&amp;". ")&amp;IF(LEN(IF(LEN(INDEX('Vendor COIs'!$P$4:$P$503,(_calc!$E$76-500)))=0,"",INDEX('Vendor COIs'!$P$4:$P$503,(_calc!$E$76-500))))=0,"",IF(LEN(INDEX('Vendor COIs'!$P$4:$P$503,(_calc!$E$76-500)))=0,"",INDEX('Vendor COIs'!$P$4:$P$503,(_calc!$E$76-500)))))))</f>
        <v/>
      </c>
      <c r="G74" s="46">
        <f>IF(_calc!$E$76="","",IF(_calc!$E$76&lt;=500,IF(LEN(INDEX('Our policies'!$R$4:$R$503,_calc!$E$76))=0,"",INDEX('Our policies'!$R$4:$R$503,_calc!$E$76)),IF(LEN(INDEX('Vendor COIs'!$O$4:$O$503,(_calc!$E$76-500)))=0,"",INDEX('Vendor COIs'!$O$4:$O$503,(_calc!$E$76-500)))))</f>
        <v/>
      </c>
      <c r="H74" s="46">
        <f>IF(_calc!$E$76="","",IF(_calc!$E$76&lt;=500,IF(LEN(INDEX('Our policies'!$G$4:$G$503,_calc!$E$76))=0,"",INDEX('Our policies'!$G$4:$G$503,_calc!$E$76)),""))</f>
        <v/>
      </c>
      <c r="I74" s="46">
        <f>IF(_calc!$E$76="","",IF(_calc!$E$76&lt;=500,IF(LEN(INDEX('Our policies'!$H$4:$H$503,_calc!$E$76))=0,"",INDEX('Our policies'!$H$4:$H$503,_calc!$E$76)),""))</f>
        <v/>
      </c>
      <c r="K74" s="46">
        <f>IF(_calc!$E$76="","",IF(_calc!$E$76&lt;=500,IF(LEN(INDEX('Our policies'!$P$4:$P$503,_calc!$E$76))=0,"",INDEX('Our policies'!$P$4:$P$503,_calc!$E$76)),IF(LEN(INDEX('Vendor COIs'!$N$4:$N$503,(_calc!$E$76-500)))=0,"",INDEX('Vendor COIs'!$N$4:$N$503,(_calc!$E$76-500)))))</f>
        <v/>
      </c>
    </row>
    <row r="75">
      <c r="A75" s="46">
        <f>IF(_calc!$E$77="","",IF(_calc!$E$77&lt;=500,IF(LEN(INDEX('Our policies'!$A$4:$A$503,_calc!$E$77))=0,"",INDEX('Our policies'!$A$4:$A$503,_calc!$E$77)),"COI – "&amp;IF(LEN(INDEX('Vendor COIs'!$A$4:$A$503,(_calc!$E$77-500)))=0,"",INDEX('Vendor COIs'!$A$4:$A$503,(_calc!$E$77-500)))&amp;" – "&amp;IF(LEN(INDEX('Vendor COIs'!$B$4:$B$503,(_calc!$E$77-500)))=0,"",INDEX('Vendor COIs'!$B$4:$B$503,(_calc!$E$77-500)))))</f>
        <v/>
      </c>
      <c r="B75" s="46">
        <f>IF(_calc!$E$77="","",IF(_calc!$E$77&lt;=500,IF(ISNUMBER(INDEX('Our policies'!$J$4:$J$503,_calc!$E$77)),TEXT(INDEX('Our policies'!$J$4:$J$503,_calc!$E$77),"yyyy-mm-dd"),""),IF(ISNUMBER(INDEX('Vendor COIs'!$H$4:$H$503,(_calc!$E$77-500))),TEXT(INDEX('Vendor COIs'!$H$4:$H$503,(_calc!$E$77-500)),"yyyy-mm-dd"),"")))</f>
        <v/>
      </c>
      <c r="C75" s="46">
        <f>IF(_calc!$E$77="","",IF(_calc!$E$77&lt;=500,"Insurance","Certificate of insurance"))</f>
        <v/>
      </c>
      <c r="D75" s="46">
        <f>IF(_calc!$E$77="","",IF(_calc!$E$77&lt;=500,IF(ISNUMBER(INDEX('Our policies'!$I$4:$I$503,_calc!$E$77)),TEXT(INDEX('Our policies'!$I$4:$I$503,_calc!$E$77),"yyyy-mm-dd"),""),""))</f>
        <v/>
      </c>
      <c r="E75" s="46">
        <f>IF(_calc!$E$77="","",IF(_calc!$E$77&lt;=500,IF(LEN(INDEX('Our policies'!$Q$4:$Q$503,_calc!$E$77))=0,"",INDEX('Our policies'!$Q$4:$Q$503,_calc!$E$77)),"Medium"))</f>
        <v/>
      </c>
      <c r="F75" s="46">
        <f>IF(_calc!$E$77="","",IF(_calc!$E$77&lt;=500,TRIM(IF(LEN(IF(LEN(INDEX('Our policies'!$B$4:$B$503,_calc!$E$77))=0,"",INDEX('Our policies'!$B$4:$B$503,_calc!$E$77)))=0,"","Cover: "&amp;IF(LEN(INDEX('Our policies'!$B$4:$B$503,_calc!$E$77))=0,"",INDEX('Our policies'!$B$4:$B$503,_calc!$E$77))&amp;". ")&amp;IF(LEN(IF(LEN(INDEX('Our policies'!$C$4:$C$503,_calc!$E$77))=0,"",INDEX('Our policies'!$C$4:$C$503,_calc!$E$77)))=0,"","Insurer: "&amp;IF(LEN(INDEX('Our policies'!$C$4:$C$503,_calc!$E$77))=0,"",INDEX('Our policies'!$C$4:$C$503,_calc!$E$77))&amp;". ")&amp;IF(LEN(IF(LEN(INDEX('Our policies'!$D$4:$D$503,_calc!$E$77))=0,"",INDEX('Our policies'!$D$4:$D$503,_calc!$E$77)))=0,"","Broker: "&amp;IF(LEN(INDEX('Our policies'!$D$4:$D$503,_calc!$E$77))=0,"",INDEX('Our policies'!$D$4:$D$503,_calc!$E$77))&amp;". ")&amp;IF(LEN(IF(LEN(INDEX('Our policies'!$E$4:$E$503,_calc!$E$77))=0,"",INDEX('Our policies'!$E$4:$E$503,_calc!$E$77)))=0,"","Policy no.: "&amp;IF(LEN(INDEX('Our policies'!$E$4:$E$503,_calc!$E$77))=0,"",INDEX('Our policies'!$E$4:$E$503,_calc!$E$77))&amp;". ")&amp;IF(LEN(IF(LEN(INDEX('Our policies'!$S$4:$S$503,_calc!$E$77))=0,"",INDEX('Our policies'!$S$4:$S$503,_calc!$E$77)))=0,"",IF(LEN(INDEX('Our policies'!$S$4:$S$503,_calc!$E$77))=0,"",INDEX('Our policies'!$S$4:$S$503,_calc!$E$77)))),TRIM(IF(LEN(IF(LEN(INDEX('Vendor COIs'!$C$4:$C$503,(_calc!$E$77-500)))=0,"",INDEX('Vendor COIs'!$C$4:$C$503,(_calc!$E$77-500))))=0,"","Insurer: "&amp;IF(LEN(INDEX('Vendor COIs'!$C$4:$C$503,(_calc!$E$77-500)))=0,"",INDEX('Vendor COIs'!$C$4:$C$503,(_calc!$E$77-500)))&amp;". ")&amp;IF(LEN(IF(LEN(INDEX('Vendor COIs'!$D$4:$D$503,(_calc!$E$77-500)))=0,"",INDEX('Vendor COIs'!$D$4:$D$503,(_calc!$E$77-500))))=0,"","Policy no.: "&amp;IF(LEN(INDEX('Vendor COIs'!$D$4:$D$503,(_calc!$E$77-500)))=0,"",INDEX('Vendor COIs'!$D$4:$D$503,(_calc!$E$77-500)))&amp;". ")&amp;IF(LEN(IF(LEN(INDEX('Vendor COIs'!$F$4:$F$503,(_calc!$E$77-500)))=0,"",INDEX('Vendor COIs'!$F$4:$F$503,(_calc!$E$77-500))))=0,"","Meets minimum: "&amp;IF(LEN(INDEX('Vendor COIs'!$F$4:$F$503,(_calc!$E$77-500)))=0,"",INDEX('Vendor COIs'!$F$4:$F$503,(_calc!$E$77-500)))&amp;". ")&amp;IF(LEN(IF(LEN(INDEX('Vendor COIs'!$G$4:$G$503,(_calc!$E$77-500)))=0,"",INDEX('Vendor COIs'!$G$4:$G$503,(_calc!$E$77-500))))=0,"","Additional insured: "&amp;IF(LEN(INDEX('Vendor COIs'!$G$4:$G$503,(_calc!$E$77-500)))=0,"",INDEX('Vendor COIs'!$G$4:$G$503,(_calc!$E$77-500)))&amp;". ")&amp;IF(LEN(IF(LEN(INDEX('Vendor COIs'!$M$4:$M$503,(_calc!$E$77-500)))=0,"",INDEX('Vendor COIs'!$M$4:$M$503,(_calc!$E$77-500))))=0,"","Vendor contact: "&amp;IF(LEN(INDEX('Vendor COIs'!$M$4:$M$503,(_calc!$E$77-500)))=0,"",INDEX('Vendor COIs'!$M$4:$M$503,(_calc!$E$77-500)))&amp;". ")&amp;IF(LEN(IF(LEN(INDEX('Vendor COIs'!$P$4:$P$503,(_calc!$E$77-500)))=0,"",INDEX('Vendor COIs'!$P$4:$P$503,(_calc!$E$77-500))))=0,"",IF(LEN(INDEX('Vendor COIs'!$P$4:$P$503,(_calc!$E$77-500)))=0,"",INDEX('Vendor COIs'!$P$4:$P$503,(_calc!$E$77-500)))))))</f>
        <v/>
      </c>
      <c r="G75" s="46">
        <f>IF(_calc!$E$77="","",IF(_calc!$E$77&lt;=500,IF(LEN(INDEX('Our policies'!$R$4:$R$503,_calc!$E$77))=0,"",INDEX('Our policies'!$R$4:$R$503,_calc!$E$77)),IF(LEN(INDEX('Vendor COIs'!$O$4:$O$503,(_calc!$E$77-500)))=0,"",INDEX('Vendor COIs'!$O$4:$O$503,(_calc!$E$77-500)))))</f>
        <v/>
      </c>
      <c r="H75" s="46">
        <f>IF(_calc!$E$77="","",IF(_calc!$E$77&lt;=500,IF(LEN(INDEX('Our policies'!$G$4:$G$503,_calc!$E$77))=0,"",INDEX('Our policies'!$G$4:$G$503,_calc!$E$77)),""))</f>
        <v/>
      </c>
      <c r="I75" s="46">
        <f>IF(_calc!$E$77="","",IF(_calc!$E$77&lt;=500,IF(LEN(INDEX('Our policies'!$H$4:$H$503,_calc!$E$77))=0,"",INDEX('Our policies'!$H$4:$H$503,_calc!$E$77)),""))</f>
        <v/>
      </c>
      <c r="K75" s="46">
        <f>IF(_calc!$E$77="","",IF(_calc!$E$77&lt;=500,IF(LEN(INDEX('Our policies'!$P$4:$P$503,_calc!$E$77))=0,"",INDEX('Our policies'!$P$4:$P$503,_calc!$E$77)),IF(LEN(INDEX('Vendor COIs'!$N$4:$N$503,(_calc!$E$77-500)))=0,"",INDEX('Vendor COIs'!$N$4:$N$503,(_calc!$E$77-500)))))</f>
        <v/>
      </c>
    </row>
    <row r="76">
      <c r="A76" s="46">
        <f>IF(_calc!$E$78="","",IF(_calc!$E$78&lt;=500,IF(LEN(INDEX('Our policies'!$A$4:$A$503,_calc!$E$78))=0,"",INDEX('Our policies'!$A$4:$A$503,_calc!$E$78)),"COI – "&amp;IF(LEN(INDEX('Vendor COIs'!$A$4:$A$503,(_calc!$E$78-500)))=0,"",INDEX('Vendor COIs'!$A$4:$A$503,(_calc!$E$78-500)))&amp;" – "&amp;IF(LEN(INDEX('Vendor COIs'!$B$4:$B$503,(_calc!$E$78-500)))=0,"",INDEX('Vendor COIs'!$B$4:$B$503,(_calc!$E$78-500)))))</f>
        <v/>
      </c>
      <c r="B76" s="46">
        <f>IF(_calc!$E$78="","",IF(_calc!$E$78&lt;=500,IF(ISNUMBER(INDEX('Our policies'!$J$4:$J$503,_calc!$E$78)),TEXT(INDEX('Our policies'!$J$4:$J$503,_calc!$E$78),"yyyy-mm-dd"),""),IF(ISNUMBER(INDEX('Vendor COIs'!$H$4:$H$503,(_calc!$E$78-500))),TEXT(INDEX('Vendor COIs'!$H$4:$H$503,(_calc!$E$78-500)),"yyyy-mm-dd"),"")))</f>
        <v/>
      </c>
      <c r="C76" s="46">
        <f>IF(_calc!$E$78="","",IF(_calc!$E$78&lt;=500,"Insurance","Certificate of insurance"))</f>
        <v/>
      </c>
      <c r="D76" s="46">
        <f>IF(_calc!$E$78="","",IF(_calc!$E$78&lt;=500,IF(ISNUMBER(INDEX('Our policies'!$I$4:$I$503,_calc!$E$78)),TEXT(INDEX('Our policies'!$I$4:$I$503,_calc!$E$78),"yyyy-mm-dd"),""),""))</f>
        <v/>
      </c>
      <c r="E76" s="46">
        <f>IF(_calc!$E$78="","",IF(_calc!$E$78&lt;=500,IF(LEN(INDEX('Our policies'!$Q$4:$Q$503,_calc!$E$78))=0,"",INDEX('Our policies'!$Q$4:$Q$503,_calc!$E$78)),"Medium"))</f>
        <v/>
      </c>
      <c r="F76" s="46">
        <f>IF(_calc!$E$78="","",IF(_calc!$E$78&lt;=500,TRIM(IF(LEN(IF(LEN(INDEX('Our policies'!$B$4:$B$503,_calc!$E$78))=0,"",INDEX('Our policies'!$B$4:$B$503,_calc!$E$78)))=0,"","Cover: "&amp;IF(LEN(INDEX('Our policies'!$B$4:$B$503,_calc!$E$78))=0,"",INDEX('Our policies'!$B$4:$B$503,_calc!$E$78))&amp;". ")&amp;IF(LEN(IF(LEN(INDEX('Our policies'!$C$4:$C$503,_calc!$E$78))=0,"",INDEX('Our policies'!$C$4:$C$503,_calc!$E$78)))=0,"","Insurer: "&amp;IF(LEN(INDEX('Our policies'!$C$4:$C$503,_calc!$E$78))=0,"",INDEX('Our policies'!$C$4:$C$503,_calc!$E$78))&amp;". ")&amp;IF(LEN(IF(LEN(INDEX('Our policies'!$D$4:$D$503,_calc!$E$78))=0,"",INDEX('Our policies'!$D$4:$D$503,_calc!$E$78)))=0,"","Broker: "&amp;IF(LEN(INDEX('Our policies'!$D$4:$D$503,_calc!$E$78))=0,"",INDEX('Our policies'!$D$4:$D$503,_calc!$E$78))&amp;". ")&amp;IF(LEN(IF(LEN(INDEX('Our policies'!$E$4:$E$503,_calc!$E$78))=0,"",INDEX('Our policies'!$E$4:$E$503,_calc!$E$78)))=0,"","Policy no.: "&amp;IF(LEN(INDEX('Our policies'!$E$4:$E$503,_calc!$E$78))=0,"",INDEX('Our policies'!$E$4:$E$503,_calc!$E$78))&amp;". ")&amp;IF(LEN(IF(LEN(INDEX('Our policies'!$S$4:$S$503,_calc!$E$78))=0,"",INDEX('Our policies'!$S$4:$S$503,_calc!$E$78)))=0,"",IF(LEN(INDEX('Our policies'!$S$4:$S$503,_calc!$E$78))=0,"",INDEX('Our policies'!$S$4:$S$503,_calc!$E$78)))),TRIM(IF(LEN(IF(LEN(INDEX('Vendor COIs'!$C$4:$C$503,(_calc!$E$78-500)))=0,"",INDEX('Vendor COIs'!$C$4:$C$503,(_calc!$E$78-500))))=0,"","Insurer: "&amp;IF(LEN(INDEX('Vendor COIs'!$C$4:$C$503,(_calc!$E$78-500)))=0,"",INDEX('Vendor COIs'!$C$4:$C$503,(_calc!$E$78-500)))&amp;". ")&amp;IF(LEN(IF(LEN(INDEX('Vendor COIs'!$D$4:$D$503,(_calc!$E$78-500)))=0,"",INDEX('Vendor COIs'!$D$4:$D$503,(_calc!$E$78-500))))=0,"","Policy no.: "&amp;IF(LEN(INDEX('Vendor COIs'!$D$4:$D$503,(_calc!$E$78-500)))=0,"",INDEX('Vendor COIs'!$D$4:$D$503,(_calc!$E$78-500)))&amp;". ")&amp;IF(LEN(IF(LEN(INDEX('Vendor COIs'!$F$4:$F$503,(_calc!$E$78-500)))=0,"",INDEX('Vendor COIs'!$F$4:$F$503,(_calc!$E$78-500))))=0,"","Meets minimum: "&amp;IF(LEN(INDEX('Vendor COIs'!$F$4:$F$503,(_calc!$E$78-500)))=0,"",INDEX('Vendor COIs'!$F$4:$F$503,(_calc!$E$78-500)))&amp;". ")&amp;IF(LEN(IF(LEN(INDEX('Vendor COIs'!$G$4:$G$503,(_calc!$E$78-500)))=0,"",INDEX('Vendor COIs'!$G$4:$G$503,(_calc!$E$78-500))))=0,"","Additional insured: "&amp;IF(LEN(INDEX('Vendor COIs'!$G$4:$G$503,(_calc!$E$78-500)))=0,"",INDEX('Vendor COIs'!$G$4:$G$503,(_calc!$E$78-500)))&amp;". ")&amp;IF(LEN(IF(LEN(INDEX('Vendor COIs'!$M$4:$M$503,(_calc!$E$78-500)))=0,"",INDEX('Vendor COIs'!$M$4:$M$503,(_calc!$E$78-500))))=0,"","Vendor contact: "&amp;IF(LEN(INDEX('Vendor COIs'!$M$4:$M$503,(_calc!$E$78-500)))=0,"",INDEX('Vendor COIs'!$M$4:$M$503,(_calc!$E$78-500)))&amp;". ")&amp;IF(LEN(IF(LEN(INDEX('Vendor COIs'!$P$4:$P$503,(_calc!$E$78-500)))=0,"",INDEX('Vendor COIs'!$P$4:$P$503,(_calc!$E$78-500))))=0,"",IF(LEN(INDEX('Vendor COIs'!$P$4:$P$503,(_calc!$E$78-500)))=0,"",INDEX('Vendor COIs'!$P$4:$P$503,(_calc!$E$78-500)))))))</f>
        <v/>
      </c>
      <c r="G76" s="46">
        <f>IF(_calc!$E$78="","",IF(_calc!$E$78&lt;=500,IF(LEN(INDEX('Our policies'!$R$4:$R$503,_calc!$E$78))=0,"",INDEX('Our policies'!$R$4:$R$503,_calc!$E$78)),IF(LEN(INDEX('Vendor COIs'!$O$4:$O$503,(_calc!$E$78-500)))=0,"",INDEX('Vendor COIs'!$O$4:$O$503,(_calc!$E$78-500)))))</f>
        <v/>
      </c>
      <c r="H76" s="46">
        <f>IF(_calc!$E$78="","",IF(_calc!$E$78&lt;=500,IF(LEN(INDEX('Our policies'!$G$4:$G$503,_calc!$E$78))=0,"",INDEX('Our policies'!$G$4:$G$503,_calc!$E$78)),""))</f>
        <v/>
      </c>
      <c r="I76" s="46">
        <f>IF(_calc!$E$78="","",IF(_calc!$E$78&lt;=500,IF(LEN(INDEX('Our policies'!$H$4:$H$503,_calc!$E$78))=0,"",INDEX('Our policies'!$H$4:$H$503,_calc!$E$78)),""))</f>
        <v/>
      </c>
      <c r="K76" s="46">
        <f>IF(_calc!$E$78="","",IF(_calc!$E$78&lt;=500,IF(LEN(INDEX('Our policies'!$P$4:$P$503,_calc!$E$78))=0,"",INDEX('Our policies'!$P$4:$P$503,_calc!$E$78)),IF(LEN(INDEX('Vendor COIs'!$N$4:$N$503,(_calc!$E$78-500)))=0,"",INDEX('Vendor COIs'!$N$4:$N$503,(_calc!$E$78-500)))))</f>
        <v/>
      </c>
    </row>
    <row r="77">
      <c r="A77" s="46">
        <f>IF(_calc!$E$79="","",IF(_calc!$E$79&lt;=500,IF(LEN(INDEX('Our policies'!$A$4:$A$503,_calc!$E$79))=0,"",INDEX('Our policies'!$A$4:$A$503,_calc!$E$79)),"COI – "&amp;IF(LEN(INDEX('Vendor COIs'!$A$4:$A$503,(_calc!$E$79-500)))=0,"",INDEX('Vendor COIs'!$A$4:$A$503,(_calc!$E$79-500)))&amp;" – "&amp;IF(LEN(INDEX('Vendor COIs'!$B$4:$B$503,(_calc!$E$79-500)))=0,"",INDEX('Vendor COIs'!$B$4:$B$503,(_calc!$E$79-500)))))</f>
        <v/>
      </c>
      <c r="B77" s="46">
        <f>IF(_calc!$E$79="","",IF(_calc!$E$79&lt;=500,IF(ISNUMBER(INDEX('Our policies'!$J$4:$J$503,_calc!$E$79)),TEXT(INDEX('Our policies'!$J$4:$J$503,_calc!$E$79),"yyyy-mm-dd"),""),IF(ISNUMBER(INDEX('Vendor COIs'!$H$4:$H$503,(_calc!$E$79-500))),TEXT(INDEX('Vendor COIs'!$H$4:$H$503,(_calc!$E$79-500)),"yyyy-mm-dd"),"")))</f>
        <v/>
      </c>
      <c r="C77" s="46">
        <f>IF(_calc!$E$79="","",IF(_calc!$E$79&lt;=500,"Insurance","Certificate of insurance"))</f>
        <v/>
      </c>
      <c r="D77" s="46">
        <f>IF(_calc!$E$79="","",IF(_calc!$E$79&lt;=500,IF(ISNUMBER(INDEX('Our policies'!$I$4:$I$503,_calc!$E$79)),TEXT(INDEX('Our policies'!$I$4:$I$503,_calc!$E$79),"yyyy-mm-dd"),""),""))</f>
        <v/>
      </c>
      <c r="E77" s="46">
        <f>IF(_calc!$E$79="","",IF(_calc!$E$79&lt;=500,IF(LEN(INDEX('Our policies'!$Q$4:$Q$503,_calc!$E$79))=0,"",INDEX('Our policies'!$Q$4:$Q$503,_calc!$E$79)),"Medium"))</f>
        <v/>
      </c>
      <c r="F77" s="46">
        <f>IF(_calc!$E$79="","",IF(_calc!$E$79&lt;=500,TRIM(IF(LEN(IF(LEN(INDEX('Our policies'!$B$4:$B$503,_calc!$E$79))=0,"",INDEX('Our policies'!$B$4:$B$503,_calc!$E$79)))=0,"","Cover: "&amp;IF(LEN(INDEX('Our policies'!$B$4:$B$503,_calc!$E$79))=0,"",INDEX('Our policies'!$B$4:$B$503,_calc!$E$79))&amp;". ")&amp;IF(LEN(IF(LEN(INDEX('Our policies'!$C$4:$C$503,_calc!$E$79))=0,"",INDEX('Our policies'!$C$4:$C$503,_calc!$E$79)))=0,"","Insurer: "&amp;IF(LEN(INDEX('Our policies'!$C$4:$C$503,_calc!$E$79))=0,"",INDEX('Our policies'!$C$4:$C$503,_calc!$E$79))&amp;". ")&amp;IF(LEN(IF(LEN(INDEX('Our policies'!$D$4:$D$503,_calc!$E$79))=0,"",INDEX('Our policies'!$D$4:$D$503,_calc!$E$79)))=0,"","Broker: "&amp;IF(LEN(INDEX('Our policies'!$D$4:$D$503,_calc!$E$79))=0,"",INDEX('Our policies'!$D$4:$D$503,_calc!$E$79))&amp;". ")&amp;IF(LEN(IF(LEN(INDEX('Our policies'!$E$4:$E$503,_calc!$E$79))=0,"",INDEX('Our policies'!$E$4:$E$503,_calc!$E$79)))=0,"","Policy no.: "&amp;IF(LEN(INDEX('Our policies'!$E$4:$E$503,_calc!$E$79))=0,"",INDEX('Our policies'!$E$4:$E$503,_calc!$E$79))&amp;". ")&amp;IF(LEN(IF(LEN(INDEX('Our policies'!$S$4:$S$503,_calc!$E$79))=0,"",INDEX('Our policies'!$S$4:$S$503,_calc!$E$79)))=0,"",IF(LEN(INDEX('Our policies'!$S$4:$S$503,_calc!$E$79))=0,"",INDEX('Our policies'!$S$4:$S$503,_calc!$E$79)))),TRIM(IF(LEN(IF(LEN(INDEX('Vendor COIs'!$C$4:$C$503,(_calc!$E$79-500)))=0,"",INDEX('Vendor COIs'!$C$4:$C$503,(_calc!$E$79-500))))=0,"","Insurer: "&amp;IF(LEN(INDEX('Vendor COIs'!$C$4:$C$503,(_calc!$E$79-500)))=0,"",INDEX('Vendor COIs'!$C$4:$C$503,(_calc!$E$79-500)))&amp;". ")&amp;IF(LEN(IF(LEN(INDEX('Vendor COIs'!$D$4:$D$503,(_calc!$E$79-500)))=0,"",INDEX('Vendor COIs'!$D$4:$D$503,(_calc!$E$79-500))))=0,"","Policy no.: "&amp;IF(LEN(INDEX('Vendor COIs'!$D$4:$D$503,(_calc!$E$79-500)))=0,"",INDEX('Vendor COIs'!$D$4:$D$503,(_calc!$E$79-500)))&amp;". ")&amp;IF(LEN(IF(LEN(INDEX('Vendor COIs'!$F$4:$F$503,(_calc!$E$79-500)))=0,"",INDEX('Vendor COIs'!$F$4:$F$503,(_calc!$E$79-500))))=0,"","Meets minimum: "&amp;IF(LEN(INDEX('Vendor COIs'!$F$4:$F$503,(_calc!$E$79-500)))=0,"",INDEX('Vendor COIs'!$F$4:$F$503,(_calc!$E$79-500)))&amp;". ")&amp;IF(LEN(IF(LEN(INDEX('Vendor COIs'!$G$4:$G$503,(_calc!$E$79-500)))=0,"",INDEX('Vendor COIs'!$G$4:$G$503,(_calc!$E$79-500))))=0,"","Additional insured: "&amp;IF(LEN(INDEX('Vendor COIs'!$G$4:$G$503,(_calc!$E$79-500)))=0,"",INDEX('Vendor COIs'!$G$4:$G$503,(_calc!$E$79-500)))&amp;". ")&amp;IF(LEN(IF(LEN(INDEX('Vendor COIs'!$M$4:$M$503,(_calc!$E$79-500)))=0,"",INDEX('Vendor COIs'!$M$4:$M$503,(_calc!$E$79-500))))=0,"","Vendor contact: "&amp;IF(LEN(INDEX('Vendor COIs'!$M$4:$M$503,(_calc!$E$79-500)))=0,"",INDEX('Vendor COIs'!$M$4:$M$503,(_calc!$E$79-500)))&amp;". ")&amp;IF(LEN(IF(LEN(INDEX('Vendor COIs'!$P$4:$P$503,(_calc!$E$79-500)))=0,"",INDEX('Vendor COIs'!$P$4:$P$503,(_calc!$E$79-500))))=0,"",IF(LEN(INDEX('Vendor COIs'!$P$4:$P$503,(_calc!$E$79-500)))=0,"",INDEX('Vendor COIs'!$P$4:$P$503,(_calc!$E$79-500)))))))</f>
        <v/>
      </c>
      <c r="G77" s="46">
        <f>IF(_calc!$E$79="","",IF(_calc!$E$79&lt;=500,IF(LEN(INDEX('Our policies'!$R$4:$R$503,_calc!$E$79))=0,"",INDEX('Our policies'!$R$4:$R$503,_calc!$E$79)),IF(LEN(INDEX('Vendor COIs'!$O$4:$O$503,(_calc!$E$79-500)))=0,"",INDEX('Vendor COIs'!$O$4:$O$503,(_calc!$E$79-500)))))</f>
        <v/>
      </c>
      <c r="H77" s="46">
        <f>IF(_calc!$E$79="","",IF(_calc!$E$79&lt;=500,IF(LEN(INDEX('Our policies'!$G$4:$G$503,_calc!$E$79))=0,"",INDEX('Our policies'!$G$4:$G$503,_calc!$E$79)),""))</f>
        <v/>
      </c>
      <c r="I77" s="46">
        <f>IF(_calc!$E$79="","",IF(_calc!$E$79&lt;=500,IF(LEN(INDEX('Our policies'!$H$4:$H$503,_calc!$E$79))=0,"",INDEX('Our policies'!$H$4:$H$503,_calc!$E$79)),""))</f>
        <v/>
      </c>
      <c r="K77" s="46">
        <f>IF(_calc!$E$79="","",IF(_calc!$E$79&lt;=500,IF(LEN(INDEX('Our policies'!$P$4:$P$503,_calc!$E$79))=0,"",INDEX('Our policies'!$P$4:$P$503,_calc!$E$79)),IF(LEN(INDEX('Vendor COIs'!$N$4:$N$503,(_calc!$E$79-500)))=0,"",INDEX('Vendor COIs'!$N$4:$N$503,(_calc!$E$79-500)))))</f>
        <v/>
      </c>
    </row>
    <row r="78">
      <c r="A78" s="46">
        <f>IF(_calc!$E$80="","",IF(_calc!$E$80&lt;=500,IF(LEN(INDEX('Our policies'!$A$4:$A$503,_calc!$E$80))=0,"",INDEX('Our policies'!$A$4:$A$503,_calc!$E$80)),"COI – "&amp;IF(LEN(INDEX('Vendor COIs'!$A$4:$A$503,(_calc!$E$80-500)))=0,"",INDEX('Vendor COIs'!$A$4:$A$503,(_calc!$E$80-500)))&amp;" – "&amp;IF(LEN(INDEX('Vendor COIs'!$B$4:$B$503,(_calc!$E$80-500)))=0,"",INDEX('Vendor COIs'!$B$4:$B$503,(_calc!$E$80-500)))))</f>
        <v/>
      </c>
      <c r="B78" s="46">
        <f>IF(_calc!$E$80="","",IF(_calc!$E$80&lt;=500,IF(ISNUMBER(INDEX('Our policies'!$J$4:$J$503,_calc!$E$80)),TEXT(INDEX('Our policies'!$J$4:$J$503,_calc!$E$80),"yyyy-mm-dd"),""),IF(ISNUMBER(INDEX('Vendor COIs'!$H$4:$H$503,(_calc!$E$80-500))),TEXT(INDEX('Vendor COIs'!$H$4:$H$503,(_calc!$E$80-500)),"yyyy-mm-dd"),"")))</f>
        <v/>
      </c>
      <c r="C78" s="46">
        <f>IF(_calc!$E$80="","",IF(_calc!$E$80&lt;=500,"Insurance","Certificate of insurance"))</f>
        <v/>
      </c>
      <c r="D78" s="46">
        <f>IF(_calc!$E$80="","",IF(_calc!$E$80&lt;=500,IF(ISNUMBER(INDEX('Our policies'!$I$4:$I$503,_calc!$E$80)),TEXT(INDEX('Our policies'!$I$4:$I$503,_calc!$E$80),"yyyy-mm-dd"),""),""))</f>
        <v/>
      </c>
      <c r="E78" s="46">
        <f>IF(_calc!$E$80="","",IF(_calc!$E$80&lt;=500,IF(LEN(INDEX('Our policies'!$Q$4:$Q$503,_calc!$E$80))=0,"",INDEX('Our policies'!$Q$4:$Q$503,_calc!$E$80)),"Medium"))</f>
        <v/>
      </c>
      <c r="F78" s="46">
        <f>IF(_calc!$E$80="","",IF(_calc!$E$80&lt;=500,TRIM(IF(LEN(IF(LEN(INDEX('Our policies'!$B$4:$B$503,_calc!$E$80))=0,"",INDEX('Our policies'!$B$4:$B$503,_calc!$E$80)))=0,"","Cover: "&amp;IF(LEN(INDEX('Our policies'!$B$4:$B$503,_calc!$E$80))=0,"",INDEX('Our policies'!$B$4:$B$503,_calc!$E$80))&amp;". ")&amp;IF(LEN(IF(LEN(INDEX('Our policies'!$C$4:$C$503,_calc!$E$80))=0,"",INDEX('Our policies'!$C$4:$C$503,_calc!$E$80)))=0,"","Insurer: "&amp;IF(LEN(INDEX('Our policies'!$C$4:$C$503,_calc!$E$80))=0,"",INDEX('Our policies'!$C$4:$C$503,_calc!$E$80))&amp;". ")&amp;IF(LEN(IF(LEN(INDEX('Our policies'!$D$4:$D$503,_calc!$E$80))=0,"",INDEX('Our policies'!$D$4:$D$503,_calc!$E$80)))=0,"","Broker: "&amp;IF(LEN(INDEX('Our policies'!$D$4:$D$503,_calc!$E$80))=0,"",INDEX('Our policies'!$D$4:$D$503,_calc!$E$80))&amp;". ")&amp;IF(LEN(IF(LEN(INDEX('Our policies'!$E$4:$E$503,_calc!$E$80))=0,"",INDEX('Our policies'!$E$4:$E$503,_calc!$E$80)))=0,"","Policy no.: "&amp;IF(LEN(INDEX('Our policies'!$E$4:$E$503,_calc!$E$80))=0,"",INDEX('Our policies'!$E$4:$E$503,_calc!$E$80))&amp;". ")&amp;IF(LEN(IF(LEN(INDEX('Our policies'!$S$4:$S$503,_calc!$E$80))=0,"",INDEX('Our policies'!$S$4:$S$503,_calc!$E$80)))=0,"",IF(LEN(INDEX('Our policies'!$S$4:$S$503,_calc!$E$80))=0,"",INDEX('Our policies'!$S$4:$S$503,_calc!$E$80)))),TRIM(IF(LEN(IF(LEN(INDEX('Vendor COIs'!$C$4:$C$503,(_calc!$E$80-500)))=0,"",INDEX('Vendor COIs'!$C$4:$C$503,(_calc!$E$80-500))))=0,"","Insurer: "&amp;IF(LEN(INDEX('Vendor COIs'!$C$4:$C$503,(_calc!$E$80-500)))=0,"",INDEX('Vendor COIs'!$C$4:$C$503,(_calc!$E$80-500)))&amp;". ")&amp;IF(LEN(IF(LEN(INDEX('Vendor COIs'!$D$4:$D$503,(_calc!$E$80-500)))=0,"",INDEX('Vendor COIs'!$D$4:$D$503,(_calc!$E$80-500))))=0,"","Policy no.: "&amp;IF(LEN(INDEX('Vendor COIs'!$D$4:$D$503,(_calc!$E$80-500)))=0,"",INDEX('Vendor COIs'!$D$4:$D$503,(_calc!$E$80-500)))&amp;". ")&amp;IF(LEN(IF(LEN(INDEX('Vendor COIs'!$F$4:$F$503,(_calc!$E$80-500)))=0,"",INDEX('Vendor COIs'!$F$4:$F$503,(_calc!$E$80-500))))=0,"","Meets minimum: "&amp;IF(LEN(INDEX('Vendor COIs'!$F$4:$F$503,(_calc!$E$80-500)))=0,"",INDEX('Vendor COIs'!$F$4:$F$503,(_calc!$E$80-500)))&amp;". ")&amp;IF(LEN(IF(LEN(INDEX('Vendor COIs'!$G$4:$G$503,(_calc!$E$80-500)))=0,"",INDEX('Vendor COIs'!$G$4:$G$503,(_calc!$E$80-500))))=0,"","Additional insured: "&amp;IF(LEN(INDEX('Vendor COIs'!$G$4:$G$503,(_calc!$E$80-500)))=0,"",INDEX('Vendor COIs'!$G$4:$G$503,(_calc!$E$80-500)))&amp;". ")&amp;IF(LEN(IF(LEN(INDEX('Vendor COIs'!$M$4:$M$503,(_calc!$E$80-500)))=0,"",INDEX('Vendor COIs'!$M$4:$M$503,(_calc!$E$80-500))))=0,"","Vendor contact: "&amp;IF(LEN(INDEX('Vendor COIs'!$M$4:$M$503,(_calc!$E$80-500)))=0,"",INDEX('Vendor COIs'!$M$4:$M$503,(_calc!$E$80-500)))&amp;". ")&amp;IF(LEN(IF(LEN(INDEX('Vendor COIs'!$P$4:$P$503,(_calc!$E$80-500)))=0,"",INDEX('Vendor COIs'!$P$4:$P$503,(_calc!$E$80-500))))=0,"",IF(LEN(INDEX('Vendor COIs'!$P$4:$P$503,(_calc!$E$80-500)))=0,"",INDEX('Vendor COIs'!$P$4:$P$503,(_calc!$E$80-500)))))))</f>
        <v/>
      </c>
      <c r="G78" s="46">
        <f>IF(_calc!$E$80="","",IF(_calc!$E$80&lt;=500,IF(LEN(INDEX('Our policies'!$R$4:$R$503,_calc!$E$80))=0,"",INDEX('Our policies'!$R$4:$R$503,_calc!$E$80)),IF(LEN(INDEX('Vendor COIs'!$O$4:$O$503,(_calc!$E$80-500)))=0,"",INDEX('Vendor COIs'!$O$4:$O$503,(_calc!$E$80-500)))))</f>
        <v/>
      </c>
      <c r="H78" s="46">
        <f>IF(_calc!$E$80="","",IF(_calc!$E$80&lt;=500,IF(LEN(INDEX('Our policies'!$G$4:$G$503,_calc!$E$80))=0,"",INDEX('Our policies'!$G$4:$G$503,_calc!$E$80)),""))</f>
        <v/>
      </c>
      <c r="I78" s="46">
        <f>IF(_calc!$E$80="","",IF(_calc!$E$80&lt;=500,IF(LEN(INDEX('Our policies'!$H$4:$H$503,_calc!$E$80))=0,"",INDEX('Our policies'!$H$4:$H$503,_calc!$E$80)),""))</f>
        <v/>
      </c>
      <c r="K78" s="46">
        <f>IF(_calc!$E$80="","",IF(_calc!$E$80&lt;=500,IF(LEN(INDEX('Our policies'!$P$4:$P$503,_calc!$E$80))=0,"",INDEX('Our policies'!$P$4:$P$503,_calc!$E$80)),IF(LEN(INDEX('Vendor COIs'!$N$4:$N$503,(_calc!$E$80-500)))=0,"",INDEX('Vendor COIs'!$N$4:$N$503,(_calc!$E$80-500)))))</f>
        <v/>
      </c>
    </row>
    <row r="79">
      <c r="A79" s="46">
        <f>IF(_calc!$E$81="","",IF(_calc!$E$81&lt;=500,IF(LEN(INDEX('Our policies'!$A$4:$A$503,_calc!$E$81))=0,"",INDEX('Our policies'!$A$4:$A$503,_calc!$E$81)),"COI – "&amp;IF(LEN(INDEX('Vendor COIs'!$A$4:$A$503,(_calc!$E$81-500)))=0,"",INDEX('Vendor COIs'!$A$4:$A$503,(_calc!$E$81-500)))&amp;" – "&amp;IF(LEN(INDEX('Vendor COIs'!$B$4:$B$503,(_calc!$E$81-500)))=0,"",INDEX('Vendor COIs'!$B$4:$B$503,(_calc!$E$81-500)))))</f>
        <v/>
      </c>
      <c r="B79" s="46">
        <f>IF(_calc!$E$81="","",IF(_calc!$E$81&lt;=500,IF(ISNUMBER(INDEX('Our policies'!$J$4:$J$503,_calc!$E$81)),TEXT(INDEX('Our policies'!$J$4:$J$503,_calc!$E$81),"yyyy-mm-dd"),""),IF(ISNUMBER(INDEX('Vendor COIs'!$H$4:$H$503,(_calc!$E$81-500))),TEXT(INDEX('Vendor COIs'!$H$4:$H$503,(_calc!$E$81-500)),"yyyy-mm-dd"),"")))</f>
        <v/>
      </c>
      <c r="C79" s="46">
        <f>IF(_calc!$E$81="","",IF(_calc!$E$81&lt;=500,"Insurance","Certificate of insurance"))</f>
        <v/>
      </c>
      <c r="D79" s="46">
        <f>IF(_calc!$E$81="","",IF(_calc!$E$81&lt;=500,IF(ISNUMBER(INDEX('Our policies'!$I$4:$I$503,_calc!$E$81)),TEXT(INDEX('Our policies'!$I$4:$I$503,_calc!$E$81),"yyyy-mm-dd"),""),""))</f>
        <v/>
      </c>
      <c r="E79" s="46">
        <f>IF(_calc!$E$81="","",IF(_calc!$E$81&lt;=500,IF(LEN(INDEX('Our policies'!$Q$4:$Q$503,_calc!$E$81))=0,"",INDEX('Our policies'!$Q$4:$Q$503,_calc!$E$81)),"Medium"))</f>
        <v/>
      </c>
      <c r="F79" s="46">
        <f>IF(_calc!$E$81="","",IF(_calc!$E$81&lt;=500,TRIM(IF(LEN(IF(LEN(INDEX('Our policies'!$B$4:$B$503,_calc!$E$81))=0,"",INDEX('Our policies'!$B$4:$B$503,_calc!$E$81)))=0,"","Cover: "&amp;IF(LEN(INDEX('Our policies'!$B$4:$B$503,_calc!$E$81))=0,"",INDEX('Our policies'!$B$4:$B$503,_calc!$E$81))&amp;". ")&amp;IF(LEN(IF(LEN(INDEX('Our policies'!$C$4:$C$503,_calc!$E$81))=0,"",INDEX('Our policies'!$C$4:$C$503,_calc!$E$81)))=0,"","Insurer: "&amp;IF(LEN(INDEX('Our policies'!$C$4:$C$503,_calc!$E$81))=0,"",INDEX('Our policies'!$C$4:$C$503,_calc!$E$81))&amp;". ")&amp;IF(LEN(IF(LEN(INDEX('Our policies'!$D$4:$D$503,_calc!$E$81))=0,"",INDEX('Our policies'!$D$4:$D$503,_calc!$E$81)))=0,"","Broker: "&amp;IF(LEN(INDEX('Our policies'!$D$4:$D$503,_calc!$E$81))=0,"",INDEX('Our policies'!$D$4:$D$503,_calc!$E$81))&amp;". ")&amp;IF(LEN(IF(LEN(INDEX('Our policies'!$E$4:$E$503,_calc!$E$81))=0,"",INDEX('Our policies'!$E$4:$E$503,_calc!$E$81)))=0,"","Policy no.: "&amp;IF(LEN(INDEX('Our policies'!$E$4:$E$503,_calc!$E$81))=0,"",INDEX('Our policies'!$E$4:$E$503,_calc!$E$81))&amp;". ")&amp;IF(LEN(IF(LEN(INDEX('Our policies'!$S$4:$S$503,_calc!$E$81))=0,"",INDEX('Our policies'!$S$4:$S$503,_calc!$E$81)))=0,"",IF(LEN(INDEX('Our policies'!$S$4:$S$503,_calc!$E$81))=0,"",INDEX('Our policies'!$S$4:$S$503,_calc!$E$81)))),TRIM(IF(LEN(IF(LEN(INDEX('Vendor COIs'!$C$4:$C$503,(_calc!$E$81-500)))=0,"",INDEX('Vendor COIs'!$C$4:$C$503,(_calc!$E$81-500))))=0,"","Insurer: "&amp;IF(LEN(INDEX('Vendor COIs'!$C$4:$C$503,(_calc!$E$81-500)))=0,"",INDEX('Vendor COIs'!$C$4:$C$503,(_calc!$E$81-500)))&amp;". ")&amp;IF(LEN(IF(LEN(INDEX('Vendor COIs'!$D$4:$D$503,(_calc!$E$81-500)))=0,"",INDEX('Vendor COIs'!$D$4:$D$503,(_calc!$E$81-500))))=0,"","Policy no.: "&amp;IF(LEN(INDEX('Vendor COIs'!$D$4:$D$503,(_calc!$E$81-500)))=0,"",INDEX('Vendor COIs'!$D$4:$D$503,(_calc!$E$81-500)))&amp;". ")&amp;IF(LEN(IF(LEN(INDEX('Vendor COIs'!$F$4:$F$503,(_calc!$E$81-500)))=0,"",INDEX('Vendor COIs'!$F$4:$F$503,(_calc!$E$81-500))))=0,"","Meets minimum: "&amp;IF(LEN(INDEX('Vendor COIs'!$F$4:$F$503,(_calc!$E$81-500)))=0,"",INDEX('Vendor COIs'!$F$4:$F$503,(_calc!$E$81-500)))&amp;". ")&amp;IF(LEN(IF(LEN(INDEX('Vendor COIs'!$G$4:$G$503,(_calc!$E$81-500)))=0,"",INDEX('Vendor COIs'!$G$4:$G$503,(_calc!$E$81-500))))=0,"","Additional insured: "&amp;IF(LEN(INDEX('Vendor COIs'!$G$4:$G$503,(_calc!$E$81-500)))=0,"",INDEX('Vendor COIs'!$G$4:$G$503,(_calc!$E$81-500)))&amp;". ")&amp;IF(LEN(IF(LEN(INDEX('Vendor COIs'!$M$4:$M$503,(_calc!$E$81-500)))=0,"",INDEX('Vendor COIs'!$M$4:$M$503,(_calc!$E$81-500))))=0,"","Vendor contact: "&amp;IF(LEN(INDEX('Vendor COIs'!$M$4:$M$503,(_calc!$E$81-500)))=0,"",INDEX('Vendor COIs'!$M$4:$M$503,(_calc!$E$81-500)))&amp;". ")&amp;IF(LEN(IF(LEN(INDEX('Vendor COIs'!$P$4:$P$503,(_calc!$E$81-500)))=0,"",INDEX('Vendor COIs'!$P$4:$P$503,(_calc!$E$81-500))))=0,"",IF(LEN(INDEX('Vendor COIs'!$P$4:$P$503,(_calc!$E$81-500)))=0,"",INDEX('Vendor COIs'!$P$4:$P$503,(_calc!$E$81-500)))))))</f>
        <v/>
      </c>
      <c r="G79" s="46">
        <f>IF(_calc!$E$81="","",IF(_calc!$E$81&lt;=500,IF(LEN(INDEX('Our policies'!$R$4:$R$503,_calc!$E$81))=0,"",INDEX('Our policies'!$R$4:$R$503,_calc!$E$81)),IF(LEN(INDEX('Vendor COIs'!$O$4:$O$503,(_calc!$E$81-500)))=0,"",INDEX('Vendor COIs'!$O$4:$O$503,(_calc!$E$81-500)))))</f>
        <v/>
      </c>
      <c r="H79" s="46">
        <f>IF(_calc!$E$81="","",IF(_calc!$E$81&lt;=500,IF(LEN(INDEX('Our policies'!$G$4:$G$503,_calc!$E$81))=0,"",INDEX('Our policies'!$G$4:$G$503,_calc!$E$81)),""))</f>
        <v/>
      </c>
      <c r="I79" s="46">
        <f>IF(_calc!$E$81="","",IF(_calc!$E$81&lt;=500,IF(LEN(INDEX('Our policies'!$H$4:$H$503,_calc!$E$81))=0,"",INDEX('Our policies'!$H$4:$H$503,_calc!$E$81)),""))</f>
        <v/>
      </c>
      <c r="K79" s="46">
        <f>IF(_calc!$E$81="","",IF(_calc!$E$81&lt;=500,IF(LEN(INDEX('Our policies'!$P$4:$P$503,_calc!$E$81))=0,"",INDEX('Our policies'!$P$4:$P$503,_calc!$E$81)),IF(LEN(INDEX('Vendor COIs'!$N$4:$N$503,(_calc!$E$81-500)))=0,"",INDEX('Vendor COIs'!$N$4:$N$503,(_calc!$E$81-500)))))</f>
        <v/>
      </c>
    </row>
    <row r="80">
      <c r="A80" s="46">
        <f>IF(_calc!$E$82="","",IF(_calc!$E$82&lt;=500,IF(LEN(INDEX('Our policies'!$A$4:$A$503,_calc!$E$82))=0,"",INDEX('Our policies'!$A$4:$A$503,_calc!$E$82)),"COI – "&amp;IF(LEN(INDEX('Vendor COIs'!$A$4:$A$503,(_calc!$E$82-500)))=0,"",INDEX('Vendor COIs'!$A$4:$A$503,(_calc!$E$82-500)))&amp;" – "&amp;IF(LEN(INDEX('Vendor COIs'!$B$4:$B$503,(_calc!$E$82-500)))=0,"",INDEX('Vendor COIs'!$B$4:$B$503,(_calc!$E$82-500)))))</f>
        <v/>
      </c>
      <c r="B80" s="46">
        <f>IF(_calc!$E$82="","",IF(_calc!$E$82&lt;=500,IF(ISNUMBER(INDEX('Our policies'!$J$4:$J$503,_calc!$E$82)),TEXT(INDEX('Our policies'!$J$4:$J$503,_calc!$E$82),"yyyy-mm-dd"),""),IF(ISNUMBER(INDEX('Vendor COIs'!$H$4:$H$503,(_calc!$E$82-500))),TEXT(INDEX('Vendor COIs'!$H$4:$H$503,(_calc!$E$82-500)),"yyyy-mm-dd"),"")))</f>
        <v/>
      </c>
      <c r="C80" s="46">
        <f>IF(_calc!$E$82="","",IF(_calc!$E$82&lt;=500,"Insurance","Certificate of insurance"))</f>
        <v/>
      </c>
      <c r="D80" s="46">
        <f>IF(_calc!$E$82="","",IF(_calc!$E$82&lt;=500,IF(ISNUMBER(INDEX('Our policies'!$I$4:$I$503,_calc!$E$82)),TEXT(INDEX('Our policies'!$I$4:$I$503,_calc!$E$82),"yyyy-mm-dd"),""),""))</f>
        <v/>
      </c>
      <c r="E80" s="46">
        <f>IF(_calc!$E$82="","",IF(_calc!$E$82&lt;=500,IF(LEN(INDEX('Our policies'!$Q$4:$Q$503,_calc!$E$82))=0,"",INDEX('Our policies'!$Q$4:$Q$503,_calc!$E$82)),"Medium"))</f>
        <v/>
      </c>
      <c r="F80" s="46">
        <f>IF(_calc!$E$82="","",IF(_calc!$E$82&lt;=500,TRIM(IF(LEN(IF(LEN(INDEX('Our policies'!$B$4:$B$503,_calc!$E$82))=0,"",INDEX('Our policies'!$B$4:$B$503,_calc!$E$82)))=0,"","Cover: "&amp;IF(LEN(INDEX('Our policies'!$B$4:$B$503,_calc!$E$82))=0,"",INDEX('Our policies'!$B$4:$B$503,_calc!$E$82))&amp;". ")&amp;IF(LEN(IF(LEN(INDEX('Our policies'!$C$4:$C$503,_calc!$E$82))=0,"",INDEX('Our policies'!$C$4:$C$503,_calc!$E$82)))=0,"","Insurer: "&amp;IF(LEN(INDEX('Our policies'!$C$4:$C$503,_calc!$E$82))=0,"",INDEX('Our policies'!$C$4:$C$503,_calc!$E$82))&amp;". ")&amp;IF(LEN(IF(LEN(INDEX('Our policies'!$D$4:$D$503,_calc!$E$82))=0,"",INDEX('Our policies'!$D$4:$D$503,_calc!$E$82)))=0,"","Broker: "&amp;IF(LEN(INDEX('Our policies'!$D$4:$D$503,_calc!$E$82))=0,"",INDEX('Our policies'!$D$4:$D$503,_calc!$E$82))&amp;". ")&amp;IF(LEN(IF(LEN(INDEX('Our policies'!$E$4:$E$503,_calc!$E$82))=0,"",INDEX('Our policies'!$E$4:$E$503,_calc!$E$82)))=0,"","Policy no.: "&amp;IF(LEN(INDEX('Our policies'!$E$4:$E$503,_calc!$E$82))=0,"",INDEX('Our policies'!$E$4:$E$503,_calc!$E$82))&amp;". ")&amp;IF(LEN(IF(LEN(INDEX('Our policies'!$S$4:$S$503,_calc!$E$82))=0,"",INDEX('Our policies'!$S$4:$S$503,_calc!$E$82)))=0,"",IF(LEN(INDEX('Our policies'!$S$4:$S$503,_calc!$E$82))=0,"",INDEX('Our policies'!$S$4:$S$503,_calc!$E$82)))),TRIM(IF(LEN(IF(LEN(INDEX('Vendor COIs'!$C$4:$C$503,(_calc!$E$82-500)))=0,"",INDEX('Vendor COIs'!$C$4:$C$503,(_calc!$E$82-500))))=0,"","Insurer: "&amp;IF(LEN(INDEX('Vendor COIs'!$C$4:$C$503,(_calc!$E$82-500)))=0,"",INDEX('Vendor COIs'!$C$4:$C$503,(_calc!$E$82-500)))&amp;". ")&amp;IF(LEN(IF(LEN(INDEX('Vendor COIs'!$D$4:$D$503,(_calc!$E$82-500)))=0,"",INDEX('Vendor COIs'!$D$4:$D$503,(_calc!$E$82-500))))=0,"","Policy no.: "&amp;IF(LEN(INDEX('Vendor COIs'!$D$4:$D$503,(_calc!$E$82-500)))=0,"",INDEX('Vendor COIs'!$D$4:$D$503,(_calc!$E$82-500)))&amp;". ")&amp;IF(LEN(IF(LEN(INDEX('Vendor COIs'!$F$4:$F$503,(_calc!$E$82-500)))=0,"",INDEX('Vendor COIs'!$F$4:$F$503,(_calc!$E$82-500))))=0,"","Meets minimum: "&amp;IF(LEN(INDEX('Vendor COIs'!$F$4:$F$503,(_calc!$E$82-500)))=0,"",INDEX('Vendor COIs'!$F$4:$F$503,(_calc!$E$82-500)))&amp;". ")&amp;IF(LEN(IF(LEN(INDEX('Vendor COIs'!$G$4:$G$503,(_calc!$E$82-500)))=0,"",INDEX('Vendor COIs'!$G$4:$G$503,(_calc!$E$82-500))))=0,"","Additional insured: "&amp;IF(LEN(INDEX('Vendor COIs'!$G$4:$G$503,(_calc!$E$82-500)))=0,"",INDEX('Vendor COIs'!$G$4:$G$503,(_calc!$E$82-500)))&amp;". ")&amp;IF(LEN(IF(LEN(INDEX('Vendor COIs'!$M$4:$M$503,(_calc!$E$82-500)))=0,"",INDEX('Vendor COIs'!$M$4:$M$503,(_calc!$E$82-500))))=0,"","Vendor contact: "&amp;IF(LEN(INDEX('Vendor COIs'!$M$4:$M$503,(_calc!$E$82-500)))=0,"",INDEX('Vendor COIs'!$M$4:$M$503,(_calc!$E$82-500)))&amp;". ")&amp;IF(LEN(IF(LEN(INDEX('Vendor COIs'!$P$4:$P$503,(_calc!$E$82-500)))=0,"",INDEX('Vendor COIs'!$P$4:$P$503,(_calc!$E$82-500))))=0,"",IF(LEN(INDEX('Vendor COIs'!$P$4:$P$503,(_calc!$E$82-500)))=0,"",INDEX('Vendor COIs'!$P$4:$P$503,(_calc!$E$82-500)))))))</f>
        <v/>
      </c>
      <c r="G80" s="46">
        <f>IF(_calc!$E$82="","",IF(_calc!$E$82&lt;=500,IF(LEN(INDEX('Our policies'!$R$4:$R$503,_calc!$E$82))=0,"",INDEX('Our policies'!$R$4:$R$503,_calc!$E$82)),IF(LEN(INDEX('Vendor COIs'!$O$4:$O$503,(_calc!$E$82-500)))=0,"",INDEX('Vendor COIs'!$O$4:$O$503,(_calc!$E$82-500)))))</f>
        <v/>
      </c>
      <c r="H80" s="46">
        <f>IF(_calc!$E$82="","",IF(_calc!$E$82&lt;=500,IF(LEN(INDEX('Our policies'!$G$4:$G$503,_calc!$E$82))=0,"",INDEX('Our policies'!$G$4:$G$503,_calc!$E$82)),""))</f>
        <v/>
      </c>
      <c r="I80" s="46">
        <f>IF(_calc!$E$82="","",IF(_calc!$E$82&lt;=500,IF(LEN(INDEX('Our policies'!$H$4:$H$503,_calc!$E$82))=0,"",INDEX('Our policies'!$H$4:$H$503,_calc!$E$82)),""))</f>
        <v/>
      </c>
      <c r="K80" s="46">
        <f>IF(_calc!$E$82="","",IF(_calc!$E$82&lt;=500,IF(LEN(INDEX('Our policies'!$P$4:$P$503,_calc!$E$82))=0,"",INDEX('Our policies'!$P$4:$P$503,_calc!$E$82)),IF(LEN(INDEX('Vendor COIs'!$N$4:$N$503,(_calc!$E$82-500)))=0,"",INDEX('Vendor COIs'!$N$4:$N$503,(_calc!$E$82-500)))))</f>
        <v/>
      </c>
    </row>
    <row r="81">
      <c r="A81" s="46">
        <f>IF(_calc!$E$83="","",IF(_calc!$E$83&lt;=500,IF(LEN(INDEX('Our policies'!$A$4:$A$503,_calc!$E$83))=0,"",INDEX('Our policies'!$A$4:$A$503,_calc!$E$83)),"COI – "&amp;IF(LEN(INDEX('Vendor COIs'!$A$4:$A$503,(_calc!$E$83-500)))=0,"",INDEX('Vendor COIs'!$A$4:$A$503,(_calc!$E$83-500)))&amp;" – "&amp;IF(LEN(INDEX('Vendor COIs'!$B$4:$B$503,(_calc!$E$83-500)))=0,"",INDEX('Vendor COIs'!$B$4:$B$503,(_calc!$E$83-500)))))</f>
        <v/>
      </c>
      <c r="B81" s="46">
        <f>IF(_calc!$E$83="","",IF(_calc!$E$83&lt;=500,IF(ISNUMBER(INDEX('Our policies'!$J$4:$J$503,_calc!$E$83)),TEXT(INDEX('Our policies'!$J$4:$J$503,_calc!$E$83),"yyyy-mm-dd"),""),IF(ISNUMBER(INDEX('Vendor COIs'!$H$4:$H$503,(_calc!$E$83-500))),TEXT(INDEX('Vendor COIs'!$H$4:$H$503,(_calc!$E$83-500)),"yyyy-mm-dd"),"")))</f>
        <v/>
      </c>
      <c r="C81" s="46">
        <f>IF(_calc!$E$83="","",IF(_calc!$E$83&lt;=500,"Insurance","Certificate of insurance"))</f>
        <v/>
      </c>
      <c r="D81" s="46">
        <f>IF(_calc!$E$83="","",IF(_calc!$E$83&lt;=500,IF(ISNUMBER(INDEX('Our policies'!$I$4:$I$503,_calc!$E$83)),TEXT(INDEX('Our policies'!$I$4:$I$503,_calc!$E$83),"yyyy-mm-dd"),""),""))</f>
        <v/>
      </c>
      <c r="E81" s="46">
        <f>IF(_calc!$E$83="","",IF(_calc!$E$83&lt;=500,IF(LEN(INDEX('Our policies'!$Q$4:$Q$503,_calc!$E$83))=0,"",INDEX('Our policies'!$Q$4:$Q$503,_calc!$E$83)),"Medium"))</f>
        <v/>
      </c>
      <c r="F81" s="46">
        <f>IF(_calc!$E$83="","",IF(_calc!$E$83&lt;=500,TRIM(IF(LEN(IF(LEN(INDEX('Our policies'!$B$4:$B$503,_calc!$E$83))=0,"",INDEX('Our policies'!$B$4:$B$503,_calc!$E$83)))=0,"","Cover: "&amp;IF(LEN(INDEX('Our policies'!$B$4:$B$503,_calc!$E$83))=0,"",INDEX('Our policies'!$B$4:$B$503,_calc!$E$83))&amp;". ")&amp;IF(LEN(IF(LEN(INDEX('Our policies'!$C$4:$C$503,_calc!$E$83))=0,"",INDEX('Our policies'!$C$4:$C$503,_calc!$E$83)))=0,"","Insurer: "&amp;IF(LEN(INDEX('Our policies'!$C$4:$C$503,_calc!$E$83))=0,"",INDEX('Our policies'!$C$4:$C$503,_calc!$E$83))&amp;". ")&amp;IF(LEN(IF(LEN(INDEX('Our policies'!$D$4:$D$503,_calc!$E$83))=0,"",INDEX('Our policies'!$D$4:$D$503,_calc!$E$83)))=0,"","Broker: "&amp;IF(LEN(INDEX('Our policies'!$D$4:$D$503,_calc!$E$83))=0,"",INDEX('Our policies'!$D$4:$D$503,_calc!$E$83))&amp;". ")&amp;IF(LEN(IF(LEN(INDEX('Our policies'!$E$4:$E$503,_calc!$E$83))=0,"",INDEX('Our policies'!$E$4:$E$503,_calc!$E$83)))=0,"","Policy no.: "&amp;IF(LEN(INDEX('Our policies'!$E$4:$E$503,_calc!$E$83))=0,"",INDEX('Our policies'!$E$4:$E$503,_calc!$E$83))&amp;". ")&amp;IF(LEN(IF(LEN(INDEX('Our policies'!$S$4:$S$503,_calc!$E$83))=0,"",INDEX('Our policies'!$S$4:$S$503,_calc!$E$83)))=0,"",IF(LEN(INDEX('Our policies'!$S$4:$S$503,_calc!$E$83))=0,"",INDEX('Our policies'!$S$4:$S$503,_calc!$E$83)))),TRIM(IF(LEN(IF(LEN(INDEX('Vendor COIs'!$C$4:$C$503,(_calc!$E$83-500)))=0,"",INDEX('Vendor COIs'!$C$4:$C$503,(_calc!$E$83-500))))=0,"","Insurer: "&amp;IF(LEN(INDEX('Vendor COIs'!$C$4:$C$503,(_calc!$E$83-500)))=0,"",INDEX('Vendor COIs'!$C$4:$C$503,(_calc!$E$83-500)))&amp;". ")&amp;IF(LEN(IF(LEN(INDEX('Vendor COIs'!$D$4:$D$503,(_calc!$E$83-500)))=0,"",INDEX('Vendor COIs'!$D$4:$D$503,(_calc!$E$83-500))))=0,"","Policy no.: "&amp;IF(LEN(INDEX('Vendor COIs'!$D$4:$D$503,(_calc!$E$83-500)))=0,"",INDEX('Vendor COIs'!$D$4:$D$503,(_calc!$E$83-500)))&amp;". ")&amp;IF(LEN(IF(LEN(INDEX('Vendor COIs'!$F$4:$F$503,(_calc!$E$83-500)))=0,"",INDEX('Vendor COIs'!$F$4:$F$503,(_calc!$E$83-500))))=0,"","Meets minimum: "&amp;IF(LEN(INDEX('Vendor COIs'!$F$4:$F$503,(_calc!$E$83-500)))=0,"",INDEX('Vendor COIs'!$F$4:$F$503,(_calc!$E$83-500)))&amp;". ")&amp;IF(LEN(IF(LEN(INDEX('Vendor COIs'!$G$4:$G$503,(_calc!$E$83-500)))=0,"",INDEX('Vendor COIs'!$G$4:$G$503,(_calc!$E$83-500))))=0,"","Additional insured: "&amp;IF(LEN(INDEX('Vendor COIs'!$G$4:$G$503,(_calc!$E$83-500)))=0,"",INDEX('Vendor COIs'!$G$4:$G$503,(_calc!$E$83-500)))&amp;". ")&amp;IF(LEN(IF(LEN(INDEX('Vendor COIs'!$M$4:$M$503,(_calc!$E$83-500)))=0,"",INDEX('Vendor COIs'!$M$4:$M$503,(_calc!$E$83-500))))=0,"","Vendor contact: "&amp;IF(LEN(INDEX('Vendor COIs'!$M$4:$M$503,(_calc!$E$83-500)))=0,"",INDEX('Vendor COIs'!$M$4:$M$503,(_calc!$E$83-500)))&amp;". ")&amp;IF(LEN(IF(LEN(INDEX('Vendor COIs'!$P$4:$P$503,(_calc!$E$83-500)))=0,"",INDEX('Vendor COIs'!$P$4:$P$503,(_calc!$E$83-500))))=0,"",IF(LEN(INDEX('Vendor COIs'!$P$4:$P$503,(_calc!$E$83-500)))=0,"",INDEX('Vendor COIs'!$P$4:$P$503,(_calc!$E$83-500)))))))</f>
        <v/>
      </c>
      <c r="G81" s="46">
        <f>IF(_calc!$E$83="","",IF(_calc!$E$83&lt;=500,IF(LEN(INDEX('Our policies'!$R$4:$R$503,_calc!$E$83))=0,"",INDEX('Our policies'!$R$4:$R$503,_calc!$E$83)),IF(LEN(INDEX('Vendor COIs'!$O$4:$O$503,(_calc!$E$83-500)))=0,"",INDEX('Vendor COIs'!$O$4:$O$503,(_calc!$E$83-500)))))</f>
        <v/>
      </c>
      <c r="H81" s="46">
        <f>IF(_calc!$E$83="","",IF(_calc!$E$83&lt;=500,IF(LEN(INDEX('Our policies'!$G$4:$G$503,_calc!$E$83))=0,"",INDEX('Our policies'!$G$4:$G$503,_calc!$E$83)),""))</f>
        <v/>
      </c>
      <c r="I81" s="46">
        <f>IF(_calc!$E$83="","",IF(_calc!$E$83&lt;=500,IF(LEN(INDEX('Our policies'!$H$4:$H$503,_calc!$E$83))=0,"",INDEX('Our policies'!$H$4:$H$503,_calc!$E$83)),""))</f>
        <v/>
      </c>
      <c r="K81" s="46">
        <f>IF(_calc!$E$83="","",IF(_calc!$E$83&lt;=500,IF(LEN(INDEX('Our policies'!$P$4:$P$503,_calc!$E$83))=0,"",INDEX('Our policies'!$P$4:$P$503,_calc!$E$83)),IF(LEN(INDEX('Vendor COIs'!$N$4:$N$503,(_calc!$E$83-500)))=0,"",INDEX('Vendor COIs'!$N$4:$N$503,(_calc!$E$83-500)))))</f>
        <v/>
      </c>
    </row>
    <row r="82">
      <c r="A82" s="46">
        <f>IF(_calc!$E$84="","",IF(_calc!$E$84&lt;=500,IF(LEN(INDEX('Our policies'!$A$4:$A$503,_calc!$E$84))=0,"",INDEX('Our policies'!$A$4:$A$503,_calc!$E$84)),"COI – "&amp;IF(LEN(INDEX('Vendor COIs'!$A$4:$A$503,(_calc!$E$84-500)))=0,"",INDEX('Vendor COIs'!$A$4:$A$503,(_calc!$E$84-500)))&amp;" – "&amp;IF(LEN(INDEX('Vendor COIs'!$B$4:$B$503,(_calc!$E$84-500)))=0,"",INDEX('Vendor COIs'!$B$4:$B$503,(_calc!$E$84-500)))))</f>
        <v/>
      </c>
      <c r="B82" s="46">
        <f>IF(_calc!$E$84="","",IF(_calc!$E$84&lt;=500,IF(ISNUMBER(INDEX('Our policies'!$J$4:$J$503,_calc!$E$84)),TEXT(INDEX('Our policies'!$J$4:$J$503,_calc!$E$84),"yyyy-mm-dd"),""),IF(ISNUMBER(INDEX('Vendor COIs'!$H$4:$H$503,(_calc!$E$84-500))),TEXT(INDEX('Vendor COIs'!$H$4:$H$503,(_calc!$E$84-500)),"yyyy-mm-dd"),"")))</f>
        <v/>
      </c>
      <c r="C82" s="46">
        <f>IF(_calc!$E$84="","",IF(_calc!$E$84&lt;=500,"Insurance","Certificate of insurance"))</f>
        <v/>
      </c>
      <c r="D82" s="46">
        <f>IF(_calc!$E$84="","",IF(_calc!$E$84&lt;=500,IF(ISNUMBER(INDEX('Our policies'!$I$4:$I$503,_calc!$E$84)),TEXT(INDEX('Our policies'!$I$4:$I$503,_calc!$E$84),"yyyy-mm-dd"),""),""))</f>
        <v/>
      </c>
      <c r="E82" s="46">
        <f>IF(_calc!$E$84="","",IF(_calc!$E$84&lt;=500,IF(LEN(INDEX('Our policies'!$Q$4:$Q$503,_calc!$E$84))=0,"",INDEX('Our policies'!$Q$4:$Q$503,_calc!$E$84)),"Medium"))</f>
        <v/>
      </c>
      <c r="F82" s="46">
        <f>IF(_calc!$E$84="","",IF(_calc!$E$84&lt;=500,TRIM(IF(LEN(IF(LEN(INDEX('Our policies'!$B$4:$B$503,_calc!$E$84))=0,"",INDEX('Our policies'!$B$4:$B$503,_calc!$E$84)))=0,"","Cover: "&amp;IF(LEN(INDEX('Our policies'!$B$4:$B$503,_calc!$E$84))=0,"",INDEX('Our policies'!$B$4:$B$503,_calc!$E$84))&amp;". ")&amp;IF(LEN(IF(LEN(INDEX('Our policies'!$C$4:$C$503,_calc!$E$84))=0,"",INDEX('Our policies'!$C$4:$C$503,_calc!$E$84)))=0,"","Insurer: "&amp;IF(LEN(INDEX('Our policies'!$C$4:$C$503,_calc!$E$84))=0,"",INDEX('Our policies'!$C$4:$C$503,_calc!$E$84))&amp;". ")&amp;IF(LEN(IF(LEN(INDEX('Our policies'!$D$4:$D$503,_calc!$E$84))=0,"",INDEX('Our policies'!$D$4:$D$503,_calc!$E$84)))=0,"","Broker: "&amp;IF(LEN(INDEX('Our policies'!$D$4:$D$503,_calc!$E$84))=0,"",INDEX('Our policies'!$D$4:$D$503,_calc!$E$84))&amp;". ")&amp;IF(LEN(IF(LEN(INDEX('Our policies'!$E$4:$E$503,_calc!$E$84))=0,"",INDEX('Our policies'!$E$4:$E$503,_calc!$E$84)))=0,"","Policy no.: "&amp;IF(LEN(INDEX('Our policies'!$E$4:$E$503,_calc!$E$84))=0,"",INDEX('Our policies'!$E$4:$E$503,_calc!$E$84))&amp;". ")&amp;IF(LEN(IF(LEN(INDEX('Our policies'!$S$4:$S$503,_calc!$E$84))=0,"",INDEX('Our policies'!$S$4:$S$503,_calc!$E$84)))=0,"",IF(LEN(INDEX('Our policies'!$S$4:$S$503,_calc!$E$84))=0,"",INDEX('Our policies'!$S$4:$S$503,_calc!$E$84)))),TRIM(IF(LEN(IF(LEN(INDEX('Vendor COIs'!$C$4:$C$503,(_calc!$E$84-500)))=0,"",INDEX('Vendor COIs'!$C$4:$C$503,(_calc!$E$84-500))))=0,"","Insurer: "&amp;IF(LEN(INDEX('Vendor COIs'!$C$4:$C$503,(_calc!$E$84-500)))=0,"",INDEX('Vendor COIs'!$C$4:$C$503,(_calc!$E$84-500)))&amp;". ")&amp;IF(LEN(IF(LEN(INDEX('Vendor COIs'!$D$4:$D$503,(_calc!$E$84-500)))=0,"",INDEX('Vendor COIs'!$D$4:$D$503,(_calc!$E$84-500))))=0,"","Policy no.: "&amp;IF(LEN(INDEX('Vendor COIs'!$D$4:$D$503,(_calc!$E$84-500)))=0,"",INDEX('Vendor COIs'!$D$4:$D$503,(_calc!$E$84-500)))&amp;". ")&amp;IF(LEN(IF(LEN(INDEX('Vendor COIs'!$F$4:$F$503,(_calc!$E$84-500)))=0,"",INDEX('Vendor COIs'!$F$4:$F$503,(_calc!$E$84-500))))=0,"","Meets minimum: "&amp;IF(LEN(INDEX('Vendor COIs'!$F$4:$F$503,(_calc!$E$84-500)))=0,"",INDEX('Vendor COIs'!$F$4:$F$503,(_calc!$E$84-500)))&amp;". ")&amp;IF(LEN(IF(LEN(INDEX('Vendor COIs'!$G$4:$G$503,(_calc!$E$84-500)))=0,"",INDEX('Vendor COIs'!$G$4:$G$503,(_calc!$E$84-500))))=0,"","Additional insured: "&amp;IF(LEN(INDEX('Vendor COIs'!$G$4:$G$503,(_calc!$E$84-500)))=0,"",INDEX('Vendor COIs'!$G$4:$G$503,(_calc!$E$84-500)))&amp;". ")&amp;IF(LEN(IF(LEN(INDEX('Vendor COIs'!$M$4:$M$503,(_calc!$E$84-500)))=0,"",INDEX('Vendor COIs'!$M$4:$M$503,(_calc!$E$84-500))))=0,"","Vendor contact: "&amp;IF(LEN(INDEX('Vendor COIs'!$M$4:$M$503,(_calc!$E$84-500)))=0,"",INDEX('Vendor COIs'!$M$4:$M$503,(_calc!$E$84-500)))&amp;". ")&amp;IF(LEN(IF(LEN(INDEX('Vendor COIs'!$P$4:$P$503,(_calc!$E$84-500)))=0,"",INDEX('Vendor COIs'!$P$4:$P$503,(_calc!$E$84-500))))=0,"",IF(LEN(INDEX('Vendor COIs'!$P$4:$P$503,(_calc!$E$84-500)))=0,"",INDEX('Vendor COIs'!$P$4:$P$503,(_calc!$E$84-500)))))))</f>
        <v/>
      </c>
      <c r="G82" s="46">
        <f>IF(_calc!$E$84="","",IF(_calc!$E$84&lt;=500,IF(LEN(INDEX('Our policies'!$R$4:$R$503,_calc!$E$84))=0,"",INDEX('Our policies'!$R$4:$R$503,_calc!$E$84)),IF(LEN(INDEX('Vendor COIs'!$O$4:$O$503,(_calc!$E$84-500)))=0,"",INDEX('Vendor COIs'!$O$4:$O$503,(_calc!$E$84-500)))))</f>
        <v/>
      </c>
      <c r="H82" s="46">
        <f>IF(_calc!$E$84="","",IF(_calc!$E$84&lt;=500,IF(LEN(INDEX('Our policies'!$G$4:$G$503,_calc!$E$84))=0,"",INDEX('Our policies'!$G$4:$G$503,_calc!$E$84)),""))</f>
        <v/>
      </c>
      <c r="I82" s="46">
        <f>IF(_calc!$E$84="","",IF(_calc!$E$84&lt;=500,IF(LEN(INDEX('Our policies'!$H$4:$H$503,_calc!$E$84))=0,"",INDEX('Our policies'!$H$4:$H$503,_calc!$E$84)),""))</f>
        <v/>
      </c>
      <c r="K82" s="46">
        <f>IF(_calc!$E$84="","",IF(_calc!$E$84&lt;=500,IF(LEN(INDEX('Our policies'!$P$4:$P$503,_calc!$E$84))=0,"",INDEX('Our policies'!$P$4:$P$503,_calc!$E$84)),IF(LEN(INDEX('Vendor COIs'!$N$4:$N$503,(_calc!$E$84-500)))=0,"",INDEX('Vendor COIs'!$N$4:$N$503,(_calc!$E$84-500)))))</f>
        <v/>
      </c>
    </row>
    <row r="83">
      <c r="A83" s="46">
        <f>IF(_calc!$E$85="","",IF(_calc!$E$85&lt;=500,IF(LEN(INDEX('Our policies'!$A$4:$A$503,_calc!$E$85))=0,"",INDEX('Our policies'!$A$4:$A$503,_calc!$E$85)),"COI – "&amp;IF(LEN(INDEX('Vendor COIs'!$A$4:$A$503,(_calc!$E$85-500)))=0,"",INDEX('Vendor COIs'!$A$4:$A$503,(_calc!$E$85-500)))&amp;" – "&amp;IF(LEN(INDEX('Vendor COIs'!$B$4:$B$503,(_calc!$E$85-500)))=0,"",INDEX('Vendor COIs'!$B$4:$B$503,(_calc!$E$85-500)))))</f>
        <v/>
      </c>
      <c r="B83" s="46">
        <f>IF(_calc!$E$85="","",IF(_calc!$E$85&lt;=500,IF(ISNUMBER(INDEX('Our policies'!$J$4:$J$503,_calc!$E$85)),TEXT(INDEX('Our policies'!$J$4:$J$503,_calc!$E$85),"yyyy-mm-dd"),""),IF(ISNUMBER(INDEX('Vendor COIs'!$H$4:$H$503,(_calc!$E$85-500))),TEXT(INDEX('Vendor COIs'!$H$4:$H$503,(_calc!$E$85-500)),"yyyy-mm-dd"),"")))</f>
        <v/>
      </c>
      <c r="C83" s="46">
        <f>IF(_calc!$E$85="","",IF(_calc!$E$85&lt;=500,"Insurance","Certificate of insurance"))</f>
        <v/>
      </c>
      <c r="D83" s="46">
        <f>IF(_calc!$E$85="","",IF(_calc!$E$85&lt;=500,IF(ISNUMBER(INDEX('Our policies'!$I$4:$I$503,_calc!$E$85)),TEXT(INDEX('Our policies'!$I$4:$I$503,_calc!$E$85),"yyyy-mm-dd"),""),""))</f>
        <v/>
      </c>
      <c r="E83" s="46">
        <f>IF(_calc!$E$85="","",IF(_calc!$E$85&lt;=500,IF(LEN(INDEX('Our policies'!$Q$4:$Q$503,_calc!$E$85))=0,"",INDEX('Our policies'!$Q$4:$Q$503,_calc!$E$85)),"Medium"))</f>
        <v/>
      </c>
      <c r="F83" s="46">
        <f>IF(_calc!$E$85="","",IF(_calc!$E$85&lt;=500,TRIM(IF(LEN(IF(LEN(INDEX('Our policies'!$B$4:$B$503,_calc!$E$85))=0,"",INDEX('Our policies'!$B$4:$B$503,_calc!$E$85)))=0,"","Cover: "&amp;IF(LEN(INDEX('Our policies'!$B$4:$B$503,_calc!$E$85))=0,"",INDEX('Our policies'!$B$4:$B$503,_calc!$E$85))&amp;". ")&amp;IF(LEN(IF(LEN(INDEX('Our policies'!$C$4:$C$503,_calc!$E$85))=0,"",INDEX('Our policies'!$C$4:$C$503,_calc!$E$85)))=0,"","Insurer: "&amp;IF(LEN(INDEX('Our policies'!$C$4:$C$503,_calc!$E$85))=0,"",INDEX('Our policies'!$C$4:$C$503,_calc!$E$85))&amp;". ")&amp;IF(LEN(IF(LEN(INDEX('Our policies'!$D$4:$D$503,_calc!$E$85))=0,"",INDEX('Our policies'!$D$4:$D$503,_calc!$E$85)))=0,"","Broker: "&amp;IF(LEN(INDEX('Our policies'!$D$4:$D$503,_calc!$E$85))=0,"",INDEX('Our policies'!$D$4:$D$503,_calc!$E$85))&amp;". ")&amp;IF(LEN(IF(LEN(INDEX('Our policies'!$E$4:$E$503,_calc!$E$85))=0,"",INDEX('Our policies'!$E$4:$E$503,_calc!$E$85)))=0,"","Policy no.: "&amp;IF(LEN(INDEX('Our policies'!$E$4:$E$503,_calc!$E$85))=0,"",INDEX('Our policies'!$E$4:$E$503,_calc!$E$85))&amp;". ")&amp;IF(LEN(IF(LEN(INDEX('Our policies'!$S$4:$S$503,_calc!$E$85))=0,"",INDEX('Our policies'!$S$4:$S$503,_calc!$E$85)))=0,"",IF(LEN(INDEX('Our policies'!$S$4:$S$503,_calc!$E$85))=0,"",INDEX('Our policies'!$S$4:$S$503,_calc!$E$85)))),TRIM(IF(LEN(IF(LEN(INDEX('Vendor COIs'!$C$4:$C$503,(_calc!$E$85-500)))=0,"",INDEX('Vendor COIs'!$C$4:$C$503,(_calc!$E$85-500))))=0,"","Insurer: "&amp;IF(LEN(INDEX('Vendor COIs'!$C$4:$C$503,(_calc!$E$85-500)))=0,"",INDEX('Vendor COIs'!$C$4:$C$503,(_calc!$E$85-500)))&amp;". ")&amp;IF(LEN(IF(LEN(INDEX('Vendor COIs'!$D$4:$D$503,(_calc!$E$85-500)))=0,"",INDEX('Vendor COIs'!$D$4:$D$503,(_calc!$E$85-500))))=0,"","Policy no.: "&amp;IF(LEN(INDEX('Vendor COIs'!$D$4:$D$503,(_calc!$E$85-500)))=0,"",INDEX('Vendor COIs'!$D$4:$D$503,(_calc!$E$85-500)))&amp;". ")&amp;IF(LEN(IF(LEN(INDEX('Vendor COIs'!$F$4:$F$503,(_calc!$E$85-500)))=0,"",INDEX('Vendor COIs'!$F$4:$F$503,(_calc!$E$85-500))))=0,"","Meets minimum: "&amp;IF(LEN(INDEX('Vendor COIs'!$F$4:$F$503,(_calc!$E$85-500)))=0,"",INDEX('Vendor COIs'!$F$4:$F$503,(_calc!$E$85-500)))&amp;". ")&amp;IF(LEN(IF(LEN(INDEX('Vendor COIs'!$G$4:$G$503,(_calc!$E$85-500)))=0,"",INDEX('Vendor COIs'!$G$4:$G$503,(_calc!$E$85-500))))=0,"","Additional insured: "&amp;IF(LEN(INDEX('Vendor COIs'!$G$4:$G$503,(_calc!$E$85-500)))=0,"",INDEX('Vendor COIs'!$G$4:$G$503,(_calc!$E$85-500)))&amp;". ")&amp;IF(LEN(IF(LEN(INDEX('Vendor COIs'!$M$4:$M$503,(_calc!$E$85-500)))=0,"",INDEX('Vendor COIs'!$M$4:$M$503,(_calc!$E$85-500))))=0,"","Vendor contact: "&amp;IF(LEN(INDEX('Vendor COIs'!$M$4:$M$503,(_calc!$E$85-500)))=0,"",INDEX('Vendor COIs'!$M$4:$M$503,(_calc!$E$85-500)))&amp;". ")&amp;IF(LEN(IF(LEN(INDEX('Vendor COIs'!$P$4:$P$503,(_calc!$E$85-500)))=0,"",INDEX('Vendor COIs'!$P$4:$P$503,(_calc!$E$85-500))))=0,"",IF(LEN(INDEX('Vendor COIs'!$P$4:$P$503,(_calc!$E$85-500)))=0,"",INDEX('Vendor COIs'!$P$4:$P$503,(_calc!$E$85-500)))))))</f>
        <v/>
      </c>
      <c r="G83" s="46">
        <f>IF(_calc!$E$85="","",IF(_calc!$E$85&lt;=500,IF(LEN(INDEX('Our policies'!$R$4:$R$503,_calc!$E$85))=0,"",INDEX('Our policies'!$R$4:$R$503,_calc!$E$85)),IF(LEN(INDEX('Vendor COIs'!$O$4:$O$503,(_calc!$E$85-500)))=0,"",INDEX('Vendor COIs'!$O$4:$O$503,(_calc!$E$85-500)))))</f>
        <v/>
      </c>
      <c r="H83" s="46">
        <f>IF(_calc!$E$85="","",IF(_calc!$E$85&lt;=500,IF(LEN(INDEX('Our policies'!$G$4:$G$503,_calc!$E$85))=0,"",INDEX('Our policies'!$G$4:$G$503,_calc!$E$85)),""))</f>
        <v/>
      </c>
      <c r="I83" s="46">
        <f>IF(_calc!$E$85="","",IF(_calc!$E$85&lt;=500,IF(LEN(INDEX('Our policies'!$H$4:$H$503,_calc!$E$85))=0,"",INDEX('Our policies'!$H$4:$H$503,_calc!$E$85)),""))</f>
        <v/>
      </c>
      <c r="K83" s="46">
        <f>IF(_calc!$E$85="","",IF(_calc!$E$85&lt;=500,IF(LEN(INDEX('Our policies'!$P$4:$P$503,_calc!$E$85))=0,"",INDEX('Our policies'!$P$4:$P$503,_calc!$E$85)),IF(LEN(INDEX('Vendor COIs'!$N$4:$N$503,(_calc!$E$85-500)))=0,"",INDEX('Vendor COIs'!$N$4:$N$503,(_calc!$E$85-500)))))</f>
        <v/>
      </c>
    </row>
    <row r="84">
      <c r="A84" s="46">
        <f>IF(_calc!$E$86="","",IF(_calc!$E$86&lt;=500,IF(LEN(INDEX('Our policies'!$A$4:$A$503,_calc!$E$86))=0,"",INDEX('Our policies'!$A$4:$A$503,_calc!$E$86)),"COI – "&amp;IF(LEN(INDEX('Vendor COIs'!$A$4:$A$503,(_calc!$E$86-500)))=0,"",INDEX('Vendor COIs'!$A$4:$A$503,(_calc!$E$86-500)))&amp;" – "&amp;IF(LEN(INDEX('Vendor COIs'!$B$4:$B$503,(_calc!$E$86-500)))=0,"",INDEX('Vendor COIs'!$B$4:$B$503,(_calc!$E$86-500)))))</f>
        <v/>
      </c>
      <c r="B84" s="46">
        <f>IF(_calc!$E$86="","",IF(_calc!$E$86&lt;=500,IF(ISNUMBER(INDEX('Our policies'!$J$4:$J$503,_calc!$E$86)),TEXT(INDEX('Our policies'!$J$4:$J$503,_calc!$E$86),"yyyy-mm-dd"),""),IF(ISNUMBER(INDEX('Vendor COIs'!$H$4:$H$503,(_calc!$E$86-500))),TEXT(INDEX('Vendor COIs'!$H$4:$H$503,(_calc!$E$86-500)),"yyyy-mm-dd"),"")))</f>
        <v/>
      </c>
      <c r="C84" s="46">
        <f>IF(_calc!$E$86="","",IF(_calc!$E$86&lt;=500,"Insurance","Certificate of insurance"))</f>
        <v/>
      </c>
      <c r="D84" s="46">
        <f>IF(_calc!$E$86="","",IF(_calc!$E$86&lt;=500,IF(ISNUMBER(INDEX('Our policies'!$I$4:$I$503,_calc!$E$86)),TEXT(INDEX('Our policies'!$I$4:$I$503,_calc!$E$86),"yyyy-mm-dd"),""),""))</f>
        <v/>
      </c>
      <c r="E84" s="46">
        <f>IF(_calc!$E$86="","",IF(_calc!$E$86&lt;=500,IF(LEN(INDEX('Our policies'!$Q$4:$Q$503,_calc!$E$86))=0,"",INDEX('Our policies'!$Q$4:$Q$503,_calc!$E$86)),"Medium"))</f>
        <v/>
      </c>
      <c r="F84" s="46">
        <f>IF(_calc!$E$86="","",IF(_calc!$E$86&lt;=500,TRIM(IF(LEN(IF(LEN(INDEX('Our policies'!$B$4:$B$503,_calc!$E$86))=0,"",INDEX('Our policies'!$B$4:$B$503,_calc!$E$86)))=0,"","Cover: "&amp;IF(LEN(INDEX('Our policies'!$B$4:$B$503,_calc!$E$86))=0,"",INDEX('Our policies'!$B$4:$B$503,_calc!$E$86))&amp;". ")&amp;IF(LEN(IF(LEN(INDEX('Our policies'!$C$4:$C$503,_calc!$E$86))=0,"",INDEX('Our policies'!$C$4:$C$503,_calc!$E$86)))=0,"","Insurer: "&amp;IF(LEN(INDEX('Our policies'!$C$4:$C$503,_calc!$E$86))=0,"",INDEX('Our policies'!$C$4:$C$503,_calc!$E$86))&amp;". ")&amp;IF(LEN(IF(LEN(INDEX('Our policies'!$D$4:$D$503,_calc!$E$86))=0,"",INDEX('Our policies'!$D$4:$D$503,_calc!$E$86)))=0,"","Broker: "&amp;IF(LEN(INDEX('Our policies'!$D$4:$D$503,_calc!$E$86))=0,"",INDEX('Our policies'!$D$4:$D$503,_calc!$E$86))&amp;". ")&amp;IF(LEN(IF(LEN(INDEX('Our policies'!$E$4:$E$503,_calc!$E$86))=0,"",INDEX('Our policies'!$E$4:$E$503,_calc!$E$86)))=0,"","Policy no.: "&amp;IF(LEN(INDEX('Our policies'!$E$4:$E$503,_calc!$E$86))=0,"",INDEX('Our policies'!$E$4:$E$503,_calc!$E$86))&amp;". ")&amp;IF(LEN(IF(LEN(INDEX('Our policies'!$S$4:$S$503,_calc!$E$86))=0,"",INDEX('Our policies'!$S$4:$S$503,_calc!$E$86)))=0,"",IF(LEN(INDEX('Our policies'!$S$4:$S$503,_calc!$E$86))=0,"",INDEX('Our policies'!$S$4:$S$503,_calc!$E$86)))),TRIM(IF(LEN(IF(LEN(INDEX('Vendor COIs'!$C$4:$C$503,(_calc!$E$86-500)))=0,"",INDEX('Vendor COIs'!$C$4:$C$503,(_calc!$E$86-500))))=0,"","Insurer: "&amp;IF(LEN(INDEX('Vendor COIs'!$C$4:$C$503,(_calc!$E$86-500)))=0,"",INDEX('Vendor COIs'!$C$4:$C$503,(_calc!$E$86-500)))&amp;". ")&amp;IF(LEN(IF(LEN(INDEX('Vendor COIs'!$D$4:$D$503,(_calc!$E$86-500)))=0,"",INDEX('Vendor COIs'!$D$4:$D$503,(_calc!$E$86-500))))=0,"","Policy no.: "&amp;IF(LEN(INDEX('Vendor COIs'!$D$4:$D$503,(_calc!$E$86-500)))=0,"",INDEX('Vendor COIs'!$D$4:$D$503,(_calc!$E$86-500)))&amp;". ")&amp;IF(LEN(IF(LEN(INDEX('Vendor COIs'!$F$4:$F$503,(_calc!$E$86-500)))=0,"",INDEX('Vendor COIs'!$F$4:$F$503,(_calc!$E$86-500))))=0,"","Meets minimum: "&amp;IF(LEN(INDEX('Vendor COIs'!$F$4:$F$503,(_calc!$E$86-500)))=0,"",INDEX('Vendor COIs'!$F$4:$F$503,(_calc!$E$86-500)))&amp;". ")&amp;IF(LEN(IF(LEN(INDEX('Vendor COIs'!$G$4:$G$503,(_calc!$E$86-500)))=0,"",INDEX('Vendor COIs'!$G$4:$G$503,(_calc!$E$86-500))))=0,"","Additional insured: "&amp;IF(LEN(INDEX('Vendor COIs'!$G$4:$G$503,(_calc!$E$86-500)))=0,"",INDEX('Vendor COIs'!$G$4:$G$503,(_calc!$E$86-500)))&amp;". ")&amp;IF(LEN(IF(LEN(INDEX('Vendor COIs'!$M$4:$M$503,(_calc!$E$86-500)))=0,"",INDEX('Vendor COIs'!$M$4:$M$503,(_calc!$E$86-500))))=0,"","Vendor contact: "&amp;IF(LEN(INDEX('Vendor COIs'!$M$4:$M$503,(_calc!$E$86-500)))=0,"",INDEX('Vendor COIs'!$M$4:$M$503,(_calc!$E$86-500)))&amp;". ")&amp;IF(LEN(IF(LEN(INDEX('Vendor COIs'!$P$4:$P$503,(_calc!$E$86-500)))=0,"",INDEX('Vendor COIs'!$P$4:$P$503,(_calc!$E$86-500))))=0,"",IF(LEN(INDEX('Vendor COIs'!$P$4:$P$503,(_calc!$E$86-500)))=0,"",INDEX('Vendor COIs'!$P$4:$P$503,(_calc!$E$86-500)))))))</f>
        <v/>
      </c>
      <c r="G84" s="46">
        <f>IF(_calc!$E$86="","",IF(_calc!$E$86&lt;=500,IF(LEN(INDEX('Our policies'!$R$4:$R$503,_calc!$E$86))=0,"",INDEX('Our policies'!$R$4:$R$503,_calc!$E$86)),IF(LEN(INDEX('Vendor COIs'!$O$4:$O$503,(_calc!$E$86-500)))=0,"",INDEX('Vendor COIs'!$O$4:$O$503,(_calc!$E$86-500)))))</f>
        <v/>
      </c>
      <c r="H84" s="46">
        <f>IF(_calc!$E$86="","",IF(_calc!$E$86&lt;=500,IF(LEN(INDEX('Our policies'!$G$4:$G$503,_calc!$E$86))=0,"",INDEX('Our policies'!$G$4:$G$503,_calc!$E$86)),""))</f>
        <v/>
      </c>
      <c r="I84" s="46">
        <f>IF(_calc!$E$86="","",IF(_calc!$E$86&lt;=500,IF(LEN(INDEX('Our policies'!$H$4:$H$503,_calc!$E$86))=0,"",INDEX('Our policies'!$H$4:$H$503,_calc!$E$86)),""))</f>
        <v/>
      </c>
      <c r="K84" s="46">
        <f>IF(_calc!$E$86="","",IF(_calc!$E$86&lt;=500,IF(LEN(INDEX('Our policies'!$P$4:$P$503,_calc!$E$86))=0,"",INDEX('Our policies'!$P$4:$P$503,_calc!$E$86)),IF(LEN(INDEX('Vendor COIs'!$N$4:$N$503,(_calc!$E$86-500)))=0,"",INDEX('Vendor COIs'!$N$4:$N$503,(_calc!$E$86-500)))))</f>
        <v/>
      </c>
    </row>
    <row r="85">
      <c r="A85" s="46">
        <f>IF(_calc!$E$87="","",IF(_calc!$E$87&lt;=500,IF(LEN(INDEX('Our policies'!$A$4:$A$503,_calc!$E$87))=0,"",INDEX('Our policies'!$A$4:$A$503,_calc!$E$87)),"COI – "&amp;IF(LEN(INDEX('Vendor COIs'!$A$4:$A$503,(_calc!$E$87-500)))=0,"",INDEX('Vendor COIs'!$A$4:$A$503,(_calc!$E$87-500)))&amp;" – "&amp;IF(LEN(INDEX('Vendor COIs'!$B$4:$B$503,(_calc!$E$87-500)))=0,"",INDEX('Vendor COIs'!$B$4:$B$503,(_calc!$E$87-500)))))</f>
        <v/>
      </c>
      <c r="B85" s="46">
        <f>IF(_calc!$E$87="","",IF(_calc!$E$87&lt;=500,IF(ISNUMBER(INDEX('Our policies'!$J$4:$J$503,_calc!$E$87)),TEXT(INDEX('Our policies'!$J$4:$J$503,_calc!$E$87),"yyyy-mm-dd"),""),IF(ISNUMBER(INDEX('Vendor COIs'!$H$4:$H$503,(_calc!$E$87-500))),TEXT(INDEX('Vendor COIs'!$H$4:$H$503,(_calc!$E$87-500)),"yyyy-mm-dd"),"")))</f>
        <v/>
      </c>
      <c r="C85" s="46">
        <f>IF(_calc!$E$87="","",IF(_calc!$E$87&lt;=500,"Insurance","Certificate of insurance"))</f>
        <v/>
      </c>
      <c r="D85" s="46">
        <f>IF(_calc!$E$87="","",IF(_calc!$E$87&lt;=500,IF(ISNUMBER(INDEX('Our policies'!$I$4:$I$503,_calc!$E$87)),TEXT(INDEX('Our policies'!$I$4:$I$503,_calc!$E$87),"yyyy-mm-dd"),""),""))</f>
        <v/>
      </c>
      <c r="E85" s="46">
        <f>IF(_calc!$E$87="","",IF(_calc!$E$87&lt;=500,IF(LEN(INDEX('Our policies'!$Q$4:$Q$503,_calc!$E$87))=0,"",INDEX('Our policies'!$Q$4:$Q$503,_calc!$E$87)),"Medium"))</f>
        <v/>
      </c>
      <c r="F85" s="46">
        <f>IF(_calc!$E$87="","",IF(_calc!$E$87&lt;=500,TRIM(IF(LEN(IF(LEN(INDEX('Our policies'!$B$4:$B$503,_calc!$E$87))=0,"",INDEX('Our policies'!$B$4:$B$503,_calc!$E$87)))=0,"","Cover: "&amp;IF(LEN(INDEX('Our policies'!$B$4:$B$503,_calc!$E$87))=0,"",INDEX('Our policies'!$B$4:$B$503,_calc!$E$87))&amp;". ")&amp;IF(LEN(IF(LEN(INDEX('Our policies'!$C$4:$C$503,_calc!$E$87))=0,"",INDEX('Our policies'!$C$4:$C$503,_calc!$E$87)))=0,"","Insurer: "&amp;IF(LEN(INDEX('Our policies'!$C$4:$C$503,_calc!$E$87))=0,"",INDEX('Our policies'!$C$4:$C$503,_calc!$E$87))&amp;". ")&amp;IF(LEN(IF(LEN(INDEX('Our policies'!$D$4:$D$503,_calc!$E$87))=0,"",INDEX('Our policies'!$D$4:$D$503,_calc!$E$87)))=0,"","Broker: "&amp;IF(LEN(INDEX('Our policies'!$D$4:$D$503,_calc!$E$87))=0,"",INDEX('Our policies'!$D$4:$D$503,_calc!$E$87))&amp;". ")&amp;IF(LEN(IF(LEN(INDEX('Our policies'!$E$4:$E$503,_calc!$E$87))=0,"",INDEX('Our policies'!$E$4:$E$503,_calc!$E$87)))=0,"","Policy no.: "&amp;IF(LEN(INDEX('Our policies'!$E$4:$E$503,_calc!$E$87))=0,"",INDEX('Our policies'!$E$4:$E$503,_calc!$E$87))&amp;". ")&amp;IF(LEN(IF(LEN(INDEX('Our policies'!$S$4:$S$503,_calc!$E$87))=0,"",INDEX('Our policies'!$S$4:$S$503,_calc!$E$87)))=0,"",IF(LEN(INDEX('Our policies'!$S$4:$S$503,_calc!$E$87))=0,"",INDEX('Our policies'!$S$4:$S$503,_calc!$E$87)))),TRIM(IF(LEN(IF(LEN(INDEX('Vendor COIs'!$C$4:$C$503,(_calc!$E$87-500)))=0,"",INDEX('Vendor COIs'!$C$4:$C$503,(_calc!$E$87-500))))=0,"","Insurer: "&amp;IF(LEN(INDEX('Vendor COIs'!$C$4:$C$503,(_calc!$E$87-500)))=0,"",INDEX('Vendor COIs'!$C$4:$C$503,(_calc!$E$87-500)))&amp;". ")&amp;IF(LEN(IF(LEN(INDEX('Vendor COIs'!$D$4:$D$503,(_calc!$E$87-500)))=0,"",INDEX('Vendor COIs'!$D$4:$D$503,(_calc!$E$87-500))))=0,"","Policy no.: "&amp;IF(LEN(INDEX('Vendor COIs'!$D$4:$D$503,(_calc!$E$87-500)))=0,"",INDEX('Vendor COIs'!$D$4:$D$503,(_calc!$E$87-500)))&amp;". ")&amp;IF(LEN(IF(LEN(INDEX('Vendor COIs'!$F$4:$F$503,(_calc!$E$87-500)))=0,"",INDEX('Vendor COIs'!$F$4:$F$503,(_calc!$E$87-500))))=0,"","Meets minimum: "&amp;IF(LEN(INDEX('Vendor COIs'!$F$4:$F$503,(_calc!$E$87-500)))=0,"",INDEX('Vendor COIs'!$F$4:$F$503,(_calc!$E$87-500)))&amp;". ")&amp;IF(LEN(IF(LEN(INDEX('Vendor COIs'!$G$4:$G$503,(_calc!$E$87-500)))=0,"",INDEX('Vendor COIs'!$G$4:$G$503,(_calc!$E$87-500))))=0,"","Additional insured: "&amp;IF(LEN(INDEX('Vendor COIs'!$G$4:$G$503,(_calc!$E$87-500)))=0,"",INDEX('Vendor COIs'!$G$4:$G$503,(_calc!$E$87-500)))&amp;". ")&amp;IF(LEN(IF(LEN(INDEX('Vendor COIs'!$M$4:$M$503,(_calc!$E$87-500)))=0,"",INDEX('Vendor COIs'!$M$4:$M$503,(_calc!$E$87-500))))=0,"","Vendor contact: "&amp;IF(LEN(INDEX('Vendor COIs'!$M$4:$M$503,(_calc!$E$87-500)))=0,"",INDEX('Vendor COIs'!$M$4:$M$503,(_calc!$E$87-500)))&amp;". ")&amp;IF(LEN(IF(LEN(INDEX('Vendor COIs'!$P$4:$P$503,(_calc!$E$87-500)))=0,"",INDEX('Vendor COIs'!$P$4:$P$503,(_calc!$E$87-500))))=0,"",IF(LEN(INDEX('Vendor COIs'!$P$4:$P$503,(_calc!$E$87-500)))=0,"",INDEX('Vendor COIs'!$P$4:$P$503,(_calc!$E$87-500)))))))</f>
        <v/>
      </c>
      <c r="G85" s="46">
        <f>IF(_calc!$E$87="","",IF(_calc!$E$87&lt;=500,IF(LEN(INDEX('Our policies'!$R$4:$R$503,_calc!$E$87))=0,"",INDEX('Our policies'!$R$4:$R$503,_calc!$E$87)),IF(LEN(INDEX('Vendor COIs'!$O$4:$O$503,(_calc!$E$87-500)))=0,"",INDEX('Vendor COIs'!$O$4:$O$503,(_calc!$E$87-500)))))</f>
        <v/>
      </c>
      <c r="H85" s="46">
        <f>IF(_calc!$E$87="","",IF(_calc!$E$87&lt;=500,IF(LEN(INDEX('Our policies'!$G$4:$G$503,_calc!$E$87))=0,"",INDEX('Our policies'!$G$4:$G$503,_calc!$E$87)),""))</f>
        <v/>
      </c>
      <c r="I85" s="46">
        <f>IF(_calc!$E$87="","",IF(_calc!$E$87&lt;=500,IF(LEN(INDEX('Our policies'!$H$4:$H$503,_calc!$E$87))=0,"",INDEX('Our policies'!$H$4:$H$503,_calc!$E$87)),""))</f>
        <v/>
      </c>
      <c r="K85" s="46">
        <f>IF(_calc!$E$87="","",IF(_calc!$E$87&lt;=500,IF(LEN(INDEX('Our policies'!$P$4:$P$503,_calc!$E$87))=0,"",INDEX('Our policies'!$P$4:$P$503,_calc!$E$87)),IF(LEN(INDEX('Vendor COIs'!$N$4:$N$503,(_calc!$E$87-500)))=0,"",INDEX('Vendor COIs'!$N$4:$N$503,(_calc!$E$87-500)))))</f>
        <v/>
      </c>
    </row>
    <row r="86">
      <c r="A86" s="46">
        <f>IF(_calc!$E$88="","",IF(_calc!$E$88&lt;=500,IF(LEN(INDEX('Our policies'!$A$4:$A$503,_calc!$E$88))=0,"",INDEX('Our policies'!$A$4:$A$503,_calc!$E$88)),"COI – "&amp;IF(LEN(INDEX('Vendor COIs'!$A$4:$A$503,(_calc!$E$88-500)))=0,"",INDEX('Vendor COIs'!$A$4:$A$503,(_calc!$E$88-500)))&amp;" – "&amp;IF(LEN(INDEX('Vendor COIs'!$B$4:$B$503,(_calc!$E$88-500)))=0,"",INDEX('Vendor COIs'!$B$4:$B$503,(_calc!$E$88-500)))))</f>
        <v/>
      </c>
      <c r="B86" s="46">
        <f>IF(_calc!$E$88="","",IF(_calc!$E$88&lt;=500,IF(ISNUMBER(INDEX('Our policies'!$J$4:$J$503,_calc!$E$88)),TEXT(INDEX('Our policies'!$J$4:$J$503,_calc!$E$88),"yyyy-mm-dd"),""),IF(ISNUMBER(INDEX('Vendor COIs'!$H$4:$H$503,(_calc!$E$88-500))),TEXT(INDEX('Vendor COIs'!$H$4:$H$503,(_calc!$E$88-500)),"yyyy-mm-dd"),"")))</f>
        <v/>
      </c>
      <c r="C86" s="46">
        <f>IF(_calc!$E$88="","",IF(_calc!$E$88&lt;=500,"Insurance","Certificate of insurance"))</f>
        <v/>
      </c>
      <c r="D86" s="46">
        <f>IF(_calc!$E$88="","",IF(_calc!$E$88&lt;=500,IF(ISNUMBER(INDEX('Our policies'!$I$4:$I$503,_calc!$E$88)),TEXT(INDEX('Our policies'!$I$4:$I$503,_calc!$E$88),"yyyy-mm-dd"),""),""))</f>
        <v/>
      </c>
      <c r="E86" s="46">
        <f>IF(_calc!$E$88="","",IF(_calc!$E$88&lt;=500,IF(LEN(INDEX('Our policies'!$Q$4:$Q$503,_calc!$E$88))=0,"",INDEX('Our policies'!$Q$4:$Q$503,_calc!$E$88)),"Medium"))</f>
        <v/>
      </c>
      <c r="F86" s="46">
        <f>IF(_calc!$E$88="","",IF(_calc!$E$88&lt;=500,TRIM(IF(LEN(IF(LEN(INDEX('Our policies'!$B$4:$B$503,_calc!$E$88))=0,"",INDEX('Our policies'!$B$4:$B$503,_calc!$E$88)))=0,"","Cover: "&amp;IF(LEN(INDEX('Our policies'!$B$4:$B$503,_calc!$E$88))=0,"",INDEX('Our policies'!$B$4:$B$503,_calc!$E$88))&amp;". ")&amp;IF(LEN(IF(LEN(INDEX('Our policies'!$C$4:$C$503,_calc!$E$88))=0,"",INDEX('Our policies'!$C$4:$C$503,_calc!$E$88)))=0,"","Insurer: "&amp;IF(LEN(INDEX('Our policies'!$C$4:$C$503,_calc!$E$88))=0,"",INDEX('Our policies'!$C$4:$C$503,_calc!$E$88))&amp;". ")&amp;IF(LEN(IF(LEN(INDEX('Our policies'!$D$4:$D$503,_calc!$E$88))=0,"",INDEX('Our policies'!$D$4:$D$503,_calc!$E$88)))=0,"","Broker: "&amp;IF(LEN(INDEX('Our policies'!$D$4:$D$503,_calc!$E$88))=0,"",INDEX('Our policies'!$D$4:$D$503,_calc!$E$88))&amp;". ")&amp;IF(LEN(IF(LEN(INDEX('Our policies'!$E$4:$E$503,_calc!$E$88))=0,"",INDEX('Our policies'!$E$4:$E$503,_calc!$E$88)))=0,"","Policy no.: "&amp;IF(LEN(INDEX('Our policies'!$E$4:$E$503,_calc!$E$88))=0,"",INDEX('Our policies'!$E$4:$E$503,_calc!$E$88))&amp;". ")&amp;IF(LEN(IF(LEN(INDEX('Our policies'!$S$4:$S$503,_calc!$E$88))=0,"",INDEX('Our policies'!$S$4:$S$503,_calc!$E$88)))=0,"",IF(LEN(INDEX('Our policies'!$S$4:$S$503,_calc!$E$88))=0,"",INDEX('Our policies'!$S$4:$S$503,_calc!$E$88)))),TRIM(IF(LEN(IF(LEN(INDEX('Vendor COIs'!$C$4:$C$503,(_calc!$E$88-500)))=0,"",INDEX('Vendor COIs'!$C$4:$C$503,(_calc!$E$88-500))))=0,"","Insurer: "&amp;IF(LEN(INDEX('Vendor COIs'!$C$4:$C$503,(_calc!$E$88-500)))=0,"",INDEX('Vendor COIs'!$C$4:$C$503,(_calc!$E$88-500)))&amp;". ")&amp;IF(LEN(IF(LEN(INDEX('Vendor COIs'!$D$4:$D$503,(_calc!$E$88-500)))=0,"",INDEX('Vendor COIs'!$D$4:$D$503,(_calc!$E$88-500))))=0,"","Policy no.: "&amp;IF(LEN(INDEX('Vendor COIs'!$D$4:$D$503,(_calc!$E$88-500)))=0,"",INDEX('Vendor COIs'!$D$4:$D$503,(_calc!$E$88-500)))&amp;". ")&amp;IF(LEN(IF(LEN(INDEX('Vendor COIs'!$F$4:$F$503,(_calc!$E$88-500)))=0,"",INDEX('Vendor COIs'!$F$4:$F$503,(_calc!$E$88-500))))=0,"","Meets minimum: "&amp;IF(LEN(INDEX('Vendor COIs'!$F$4:$F$503,(_calc!$E$88-500)))=0,"",INDEX('Vendor COIs'!$F$4:$F$503,(_calc!$E$88-500)))&amp;". ")&amp;IF(LEN(IF(LEN(INDEX('Vendor COIs'!$G$4:$G$503,(_calc!$E$88-500)))=0,"",INDEX('Vendor COIs'!$G$4:$G$503,(_calc!$E$88-500))))=0,"","Additional insured: "&amp;IF(LEN(INDEX('Vendor COIs'!$G$4:$G$503,(_calc!$E$88-500)))=0,"",INDEX('Vendor COIs'!$G$4:$G$503,(_calc!$E$88-500)))&amp;". ")&amp;IF(LEN(IF(LEN(INDEX('Vendor COIs'!$M$4:$M$503,(_calc!$E$88-500)))=0,"",INDEX('Vendor COIs'!$M$4:$M$503,(_calc!$E$88-500))))=0,"","Vendor contact: "&amp;IF(LEN(INDEX('Vendor COIs'!$M$4:$M$503,(_calc!$E$88-500)))=0,"",INDEX('Vendor COIs'!$M$4:$M$503,(_calc!$E$88-500)))&amp;". ")&amp;IF(LEN(IF(LEN(INDEX('Vendor COIs'!$P$4:$P$503,(_calc!$E$88-500)))=0,"",INDEX('Vendor COIs'!$P$4:$P$503,(_calc!$E$88-500))))=0,"",IF(LEN(INDEX('Vendor COIs'!$P$4:$P$503,(_calc!$E$88-500)))=0,"",INDEX('Vendor COIs'!$P$4:$P$503,(_calc!$E$88-500)))))))</f>
        <v/>
      </c>
      <c r="G86" s="46">
        <f>IF(_calc!$E$88="","",IF(_calc!$E$88&lt;=500,IF(LEN(INDEX('Our policies'!$R$4:$R$503,_calc!$E$88))=0,"",INDEX('Our policies'!$R$4:$R$503,_calc!$E$88)),IF(LEN(INDEX('Vendor COIs'!$O$4:$O$503,(_calc!$E$88-500)))=0,"",INDEX('Vendor COIs'!$O$4:$O$503,(_calc!$E$88-500)))))</f>
        <v/>
      </c>
      <c r="H86" s="46">
        <f>IF(_calc!$E$88="","",IF(_calc!$E$88&lt;=500,IF(LEN(INDEX('Our policies'!$G$4:$G$503,_calc!$E$88))=0,"",INDEX('Our policies'!$G$4:$G$503,_calc!$E$88)),""))</f>
        <v/>
      </c>
      <c r="I86" s="46">
        <f>IF(_calc!$E$88="","",IF(_calc!$E$88&lt;=500,IF(LEN(INDEX('Our policies'!$H$4:$H$503,_calc!$E$88))=0,"",INDEX('Our policies'!$H$4:$H$503,_calc!$E$88)),""))</f>
        <v/>
      </c>
      <c r="K86" s="46">
        <f>IF(_calc!$E$88="","",IF(_calc!$E$88&lt;=500,IF(LEN(INDEX('Our policies'!$P$4:$P$503,_calc!$E$88))=0,"",INDEX('Our policies'!$P$4:$P$503,_calc!$E$88)),IF(LEN(INDEX('Vendor COIs'!$N$4:$N$503,(_calc!$E$88-500)))=0,"",INDEX('Vendor COIs'!$N$4:$N$503,(_calc!$E$88-500)))))</f>
        <v/>
      </c>
    </row>
    <row r="87">
      <c r="A87" s="46">
        <f>IF(_calc!$E$89="","",IF(_calc!$E$89&lt;=500,IF(LEN(INDEX('Our policies'!$A$4:$A$503,_calc!$E$89))=0,"",INDEX('Our policies'!$A$4:$A$503,_calc!$E$89)),"COI – "&amp;IF(LEN(INDEX('Vendor COIs'!$A$4:$A$503,(_calc!$E$89-500)))=0,"",INDEX('Vendor COIs'!$A$4:$A$503,(_calc!$E$89-500)))&amp;" – "&amp;IF(LEN(INDEX('Vendor COIs'!$B$4:$B$503,(_calc!$E$89-500)))=0,"",INDEX('Vendor COIs'!$B$4:$B$503,(_calc!$E$89-500)))))</f>
        <v/>
      </c>
      <c r="B87" s="46">
        <f>IF(_calc!$E$89="","",IF(_calc!$E$89&lt;=500,IF(ISNUMBER(INDEX('Our policies'!$J$4:$J$503,_calc!$E$89)),TEXT(INDEX('Our policies'!$J$4:$J$503,_calc!$E$89),"yyyy-mm-dd"),""),IF(ISNUMBER(INDEX('Vendor COIs'!$H$4:$H$503,(_calc!$E$89-500))),TEXT(INDEX('Vendor COIs'!$H$4:$H$503,(_calc!$E$89-500)),"yyyy-mm-dd"),"")))</f>
        <v/>
      </c>
      <c r="C87" s="46">
        <f>IF(_calc!$E$89="","",IF(_calc!$E$89&lt;=500,"Insurance","Certificate of insurance"))</f>
        <v/>
      </c>
      <c r="D87" s="46">
        <f>IF(_calc!$E$89="","",IF(_calc!$E$89&lt;=500,IF(ISNUMBER(INDEX('Our policies'!$I$4:$I$503,_calc!$E$89)),TEXT(INDEX('Our policies'!$I$4:$I$503,_calc!$E$89),"yyyy-mm-dd"),""),""))</f>
        <v/>
      </c>
      <c r="E87" s="46">
        <f>IF(_calc!$E$89="","",IF(_calc!$E$89&lt;=500,IF(LEN(INDEX('Our policies'!$Q$4:$Q$503,_calc!$E$89))=0,"",INDEX('Our policies'!$Q$4:$Q$503,_calc!$E$89)),"Medium"))</f>
        <v/>
      </c>
      <c r="F87" s="46">
        <f>IF(_calc!$E$89="","",IF(_calc!$E$89&lt;=500,TRIM(IF(LEN(IF(LEN(INDEX('Our policies'!$B$4:$B$503,_calc!$E$89))=0,"",INDEX('Our policies'!$B$4:$B$503,_calc!$E$89)))=0,"","Cover: "&amp;IF(LEN(INDEX('Our policies'!$B$4:$B$503,_calc!$E$89))=0,"",INDEX('Our policies'!$B$4:$B$503,_calc!$E$89))&amp;". ")&amp;IF(LEN(IF(LEN(INDEX('Our policies'!$C$4:$C$503,_calc!$E$89))=0,"",INDEX('Our policies'!$C$4:$C$503,_calc!$E$89)))=0,"","Insurer: "&amp;IF(LEN(INDEX('Our policies'!$C$4:$C$503,_calc!$E$89))=0,"",INDEX('Our policies'!$C$4:$C$503,_calc!$E$89))&amp;". ")&amp;IF(LEN(IF(LEN(INDEX('Our policies'!$D$4:$D$503,_calc!$E$89))=0,"",INDEX('Our policies'!$D$4:$D$503,_calc!$E$89)))=0,"","Broker: "&amp;IF(LEN(INDEX('Our policies'!$D$4:$D$503,_calc!$E$89))=0,"",INDEX('Our policies'!$D$4:$D$503,_calc!$E$89))&amp;". ")&amp;IF(LEN(IF(LEN(INDEX('Our policies'!$E$4:$E$503,_calc!$E$89))=0,"",INDEX('Our policies'!$E$4:$E$503,_calc!$E$89)))=0,"","Policy no.: "&amp;IF(LEN(INDEX('Our policies'!$E$4:$E$503,_calc!$E$89))=0,"",INDEX('Our policies'!$E$4:$E$503,_calc!$E$89))&amp;". ")&amp;IF(LEN(IF(LEN(INDEX('Our policies'!$S$4:$S$503,_calc!$E$89))=0,"",INDEX('Our policies'!$S$4:$S$503,_calc!$E$89)))=0,"",IF(LEN(INDEX('Our policies'!$S$4:$S$503,_calc!$E$89))=0,"",INDEX('Our policies'!$S$4:$S$503,_calc!$E$89)))),TRIM(IF(LEN(IF(LEN(INDEX('Vendor COIs'!$C$4:$C$503,(_calc!$E$89-500)))=0,"",INDEX('Vendor COIs'!$C$4:$C$503,(_calc!$E$89-500))))=0,"","Insurer: "&amp;IF(LEN(INDEX('Vendor COIs'!$C$4:$C$503,(_calc!$E$89-500)))=0,"",INDEX('Vendor COIs'!$C$4:$C$503,(_calc!$E$89-500)))&amp;". ")&amp;IF(LEN(IF(LEN(INDEX('Vendor COIs'!$D$4:$D$503,(_calc!$E$89-500)))=0,"",INDEX('Vendor COIs'!$D$4:$D$503,(_calc!$E$89-500))))=0,"","Policy no.: "&amp;IF(LEN(INDEX('Vendor COIs'!$D$4:$D$503,(_calc!$E$89-500)))=0,"",INDEX('Vendor COIs'!$D$4:$D$503,(_calc!$E$89-500)))&amp;". ")&amp;IF(LEN(IF(LEN(INDEX('Vendor COIs'!$F$4:$F$503,(_calc!$E$89-500)))=0,"",INDEX('Vendor COIs'!$F$4:$F$503,(_calc!$E$89-500))))=0,"","Meets minimum: "&amp;IF(LEN(INDEX('Vendor COIs'!$F$4:$F$503,(_calc!$E$89-500)))=0,"",INDEX('Vendor COIs'!$F$4:$F$503,(_calc!$E$89-500)))&amp;". ")&amp;IF(LEN(IF(LEN(INDEX('Vendor COIs'!$G$4:$G$503,(_calc!$E$89-500)))=0,"",INDEX('Vendor COIs'!$G$4:$G$503,(_calc!$E$89-500))))=0,"","Additional insured: "&amp;IF(LEN(INDEX('Vendor COIs'!$G$4:$G$503,(_calc!$E$89-500)))=0,"",INDEX('Vendor COIs'!$G$4:$G$503,(_calc!$E$89-500)))&amp;". ")&amp;IF(LEN(IF(LEN(INDEX('Vendor COIs'!$M$4:$M$503,(_calc!$E$89-500)))=0,"",INDEX('Vendor COIs'!$M$4:$M$503,(_calc!$E$89-500))))=0,"","Vendor contact: "&amp;IF(LEN(INDEX('Vendor COIs'!$M$4:$M$503,(_calc!$E$89-500)))=0,"",INDEX('Vendor COIs'!$M$4:$M$503,(_calc!$E$89-500)))&amp;". ")&amp;IF(LEN(IF(LEN(INDEX('Vendor COIs'!$P$4:$P$503,(_calc!$E$89-500)))=0,"",INDEX('Vendor COIs'!$P$4:$P$503,(_calc!$E$89-500))))=0,"",IF(LEN(INDEX('Vendor COIs'!$P$4:$P$503,(_calc!$E$89-500)))=0,"",INDEX('Vendor COIs'!$P$4:$P$503,(_calc!$E$89-500)))))))</f>
        <v/>
      </c>
      <c r="G87" s="46">
        <f>IF(_calc!$E$89="","",IF(_calc!$E$89&lt;=500,IF(LEN(INDEX('Our policies'!$R$4:$R$503,_calc!$E$89))=0,"",INDEX('Our policies'!$R$4:$R$503,_calc!$E$89)),IF(LEN(INDEX('Vendor COIs'!$O$4:$O$503,(_calc!$E$89-500)))=0,"",INDEX('Vendor COIs'!$O$4:$O$503,(_calc!$E$89-500)))))</f>
        <v/>
      </c>
      <c r="H87" s="46">
        <f>IF(_calc!$E$89="","",IF(_calc!$E$89&lt;=500,IF(LEN(INDEX('Our policies'!$G$4:$G$503,_calc!$E$89))=0,"",INDEX('Our policies'!$G$4:$G$503,_calc!$E$89)),""))</f>
        <v/>
      </c>
      <c r="I87" s="46">
        <f>IF(_calc!$E$89="","",IF(_calc!$E$89&lt;=500,IF(LEN(INDEX('Our policies'!$H$4:$H$503,_calc!$E$89))=0,"",INDEX('Our policies'!$H$4:$H$503,_calc!$E$89)),""))</f>
        <v/>
      </c>
      <c r="K87" s="46">
        <f>IF(_calc!$E$89="","",IF(_calc!$E$89&lt;=500,IF(LEN(INDEX('Our policies'!$P$4:$P$503,_calc!$E$89))=0,"",INDEX('Our policies'!$P$4:$P$503,_calc!$E$89)),IF(LEN(INDEX('Vendor COIs'!$N$4:$N$503,(_calc!$E$89-500)))=0,"",INDEX('Vendor COIs'!$N$4:$N$503,(_calc!$E$89-500)))))</f>
        <v/>
      </c>
    </row>
    <row r="88">
      <c r="A88" s="46">
        <f>IF(_calc!$E$90="","",IF(_calc!$E$90&lt;=500,IF(LEN(INDEX('Our policies'!$A$4:$A$503,_calc!$E$90))=0,"",INDEX('Our policies'!$A$4:$A$503,_calc!$E$90)),"COI – "&amp;IF(LEN(INDEX('Vendor COIs'!$A$4:$A$503,(_calc!$E$90-500)))=0,"",INDEX('Vendor COIs'!$A$4:$A$503,(_calc!$E$90-500)))&amp;" – "&amp;IF(LEN(INDEX('Vendor COIs'!$B$4:$B$503,(_calc!$E$90-500)))=0,"",INDEX('Vendor COIs'!$B$4:$B$503,(_calc!$E$90-500)))))</f>
        <v/>
      </c>
      <c r="B88" s="46">
        <f>IF(_calc!$E$90="","",IF(_calc!$E$90&lt;=500,IF(ISNUMBER(INDEX('Our policies'!$J$4:$J$503,_calc!$E$90)),TEXT(INDEX('Our policies'!$J$4:$J$503,_calc!$E$90),"yyyy-mm-dd"),""),IF(ISNUMBER(INDEX('Vendor COIs'!$H$4:$H$503,(_calc!$E$90-500))),TEXT(INDEX('Vendor COIs'!$H$4:$H$503,(_calc!$E$90-500)),"yyyy-mm-dd"),"")))</f>
        <v/>
      </c>
      <c r="C88" s="46">
        <f>IF(_calc!$E$90="","",IF(_calc!$E$90&lt;=500,"Insurance","Certificate of insurance"))</f>
        <v/>
      </c>
      <c r="D88" s="46">
        <f>IF(_calc!$E$90="","",IF(_calc!$E$90&lt;=500,IF(ISNUMBER(INDEX('Our policies'!$I$4:$I$503,_calc!$E$90)),TEXT(INDEX('Our policies'!$I$4:$I$503,_calc!$E$90),"yyyy-mm-dd"),""),""))</f>
        <v/>
      </c>
      <c r="E88" s="46">
        <f>IF(_calc!$E$90="","",IF(_calc!$E$90&lt;=500,IF(LEN(INDEX('Our policies'!$Q$4:$Q$503,_calc!$E$90))=0,"",INDEX('Our policies'!$Q$4:$Q$503,_calc!$E$90)),"Medium"))</f>
        <v/>
      </c>
      <c r="F88" s="46">
        <f>IF(_calc!$E$90="","",IF(_calc!$E$90&lt;=500,TRIM(IF(LEN(IF(LEN(INDEX('Our policies'!$B$4:$B$503,_calc!$E$90))=0,"",INDEX('Our policies'!$B$4:$B$503,_calc!$E$90)))=0,"","Cover: "&amp;IF(LEN(INDEX('Our policies'!$B$4:$B$503,_calc!$E$90))=0,"",INDEX('Our policies'!$B$4:$B$503,_calc!$E$90))&amp;". ")&amp;IF(LEN(IF(LEN(INDEX('Our policies'!$C$4:$C$503,_calc!$E$90))=0,"",INDEX('Our policies'!$C$4:$C$503,_calc!$E$90)))=0,"","Insurer: "&amp;IF(LEN(INDEX('Our policies'!$C$4:$C$503,_calc!$E$90))=0,"",INDEX('Our policies'!$C$4:$C$503,_calc!$E$90))&amp;". ")&amp;IF(LEN(IF(LEN(INDEX('Our policies'!$D$4:$D$503,_calc!$E$90))=0,"",INDEX('Our policies'!$D$4:$D$503,_calc!$E$90)))=0,"","Broker: "&amp;IF(LEN(INDEX('Our policies'!$D$4:$D$503,_calc!$E$90))=0,"",INDEX('Our policies'!$D$4:$D$503,_calc!$E$90))&amp;". ")&amp;IF(LEN(IF(LEN(INDEX('Our policies'!$E$4:$E$503,_calc!$E$90))=0,"",INDEX('Our policies'!$E$4:$E$503,_calc!$E$90)))=0,"","Policy no.: "&amp;IF(LEN(INDEX('Our policies'!$E$4:$E$503,_calc!$E$90))=0,"",INDEX('Our policies'!$E$4:$E$503,_calc!$E$90))&amp;". ")&amp;IF(LEN(IF(LEN(INDEX('Our policies'!$S$4:$S$503,_calc!$E$90))=0,"",INDEX('Our policies'!$S$4:$S$503,_calc!$E$90)))=0,"",IF(LEN(INDEX('Our policies'!$S$4:$S$503,_calc!$E$90))=0,"",INDEX('Our policies'!$S$4:$S$503,_calc!$E$90)))),TRIM(IF(LEN(IF(LEN(INDEX('Vendor COIs'!$C$4:$C$503,(_calc!$E$90-500)))=0,"",INDEX('Vendor COIs'!$C$4:$C$503,(_calc!$E$90-500))))=0,"","Insurer: "&amp;IF(LEN(INDEX('Vendor COIs'!$C$4:$C$503,(_calc!$E$90-500)))=0,"",INDEX('Vendor COIs'!$C$4:$C$503,(_calc!$E$90-500)))&amp;". ")&amp;IF(LEN(IF(LEN(INDEX('Vendor COIs'!$D$4:$D$503,(_calc!$E$90-500)))=0,"",INDEX('Vendor COIs'!$D$4:$D$503,(_calc!$E$90-500))))=0,"","Policy no.: "&amp;IF(LEN(INDEX('Vendor COIs'!$D$4:$D$503,(_calc!$E$90-500)))=0,"",INDEX('Vendor COIs'!$D$4:$D$503,(_calc!$E$90-500)))&amp;". ")&amp;IF(LEN(IF(LEN(INDEX('Vendor COIs'!$F$4:$F$503,(_calc!$E$90-500)))=0,"",INDEX('Vendor COIs'!$F$4:$F$503,(_calc!$E$90-500))))=0,"","Meets minimum: "&amp;IF(LEN(INDEX('Vendor COIs'!$F$4:$F$503,(_calc!$E$90-500)))=0,"",INDEX('Vendor COIs'!$F$4:$F$503,(_calc!$E$90-500)))&amp;". ")&amp;IF(LEN(IF(LEN(INDEX('Vendor COIs'!$G$4:$G$503,(_calc!$E$90-500)))=0,"",INDEX('Vendor COIs'!$G$4:$G$503,(_calc!$E$90-500))))=0,"","Additional insured: "&amp;IF(LEN(INDEX('Vendor COIs'!$G$4:$G$503,(_calc!$E$90-500)))=0,"",INDEX('Vendor COIs'!$G$4:$G$503,(_calc!$E$90-500)))&amp;". ")&amp;IF(LEN(IF(LEN(INDEX('Vendor COIs'!$M$4:$M$503,(_calc!$E$90-500)))=0,"",INDEX('Vendor COIs'!$M$4:$M$503,(_calc!$E$90-500))))=0,"","Vendor contact: "&amp;IF(LEN(INDEX('Vendor COIs'!$M$4:$M$503,(_calc!$E$90-500)))=0,"",INDEX('Vendor COIs'!$M$4:$M$503,(_calc!$E$90-500)))&amp;". ")&amp;IF(LEN(IF(LEN(INDEX('Vendor COIs'!$P$4:$P$503,(_calc!$E$90-500)))=0,"",INDEX('Vendor COIs'!$P$4:$P$503,(_calc!$E$90-500))))=0,"",IF(LEN(INDEX('Vendor COIs'!$P$4:$P$503,(_calc!$E$90-500)))=0,"",INDEX('Vendor COIs'!$P$4:$P$503,(_calc!$E$90-500)))))))</f>
        <v/>
      </c>
      <c r="G88" s="46">
        <f>IF(_calc!$E$90="","",IF(_calc!$E$90&lt;=500,IF(LEN(INDEX('Our policies'!$R$4:$R$503,_calc!$E$90))=0,"",INDEX('Our policies'!$R$4:$R$503,_calc!$E$90)),IF(LEN(INDEX('Vendor COIs'!$O$4:$O$503,(_calc!$E$90-500)))=0,"",INDEX('Vendor COIs'!$O$4:$O$503,(_calc!$E$90-500)))))</f>
        <v/>
      </c>
      <c r="H88" s="46">
        <f>IF(_calc!$E$90="","",IF(_calc!$E$90&lt;=500,IF(LEN(INDEX('Our policies'!$G$4:$G$503,_calc!$E$90))=0,"",INDEX('Our policies'!$G$4:$G$503,_calc!$E$90)),""))</f>
        <v/>
      </c>
      <c r="I88" s="46">
        <f>IF(_calc!$E$90="","",IF(_calc!$E$90&lt;=500,IF(LEN(INDEX('Our policies'!$H$4:$H$503,_calc!$E$90))=0,"",INDEX('Our policies'!$H$4:$H$503,_calc!$E$90)),""))</f>
        <v/>
      </c>
      <c r="K88" s="46">
        <f>IF(_calc!$E$90="","",IF(_calc!$E$90&lt;=500,IF(LEN(INDEX('Our policies'!$P$4:$P$503,_calc!$E$90))=0,"",INDEX('Our policies'!$P$4:$P$503,_calc!$E$90)),IF(LEN(INDEX('Vendor COIs'!$N$4:$N$503,(_calc!$E$90-500)))=0,"",INDEX('Vendor COIs'!$N$4:$N$503,(_calc!$E$90-500)))))</f>
        <v/>
      </c>
    </row>
    <row r="89">
      <c r="A89" s="46">
        <f>IF(_calc!$E$91="","",IF(_calc!$E$91&lt;=500,IF(LEN(INDEX('Our policies'!$A$4:$A$503,_calc!$E$91))=0,"",INDEX('Our policies'!$A$4:$A$503,_calc!$E$91)),"COI – "&amp;IF(LEN(INDEX('Vendor COIs'!$A$4:$A$503,(_calc!$E$91-500)))=0,"",INDEX('Vendor COIs'!$A$4:$A$503,(_calc!$E$91-500)))&amp;" – "&amp;IF(LEN(INDEX('Vendor COIs'!$B$4:$B$503,(_calc!$E$91-500)))=0,"",INDEX('Vendor COIs'!$B$4:$B$503,(_calc!$E$91-500)))))</f>
        <v/>
      </c>
      <c r="B89" s="46">
        <f>IF(_calc!$E$91="","",IF(_calc!$E$91&lt;=500,IF(ISNUMBER(INDEX('Our policies'!$J$4:$J$503,_calc!$E$91)),TEXT(INDEX('Our policies'!$J$4:$J$503,_calc!$E$91),"yyyy-mm-dd"),""),IF(ISNUMBER(INDEX('Vendor COIs'!$H$4:$H$503,(_calc!$E$91-500))),TEXT(INDEX('Vendor COIs'!$H$4:$H$503,(_calc!$E$91-500)),"yyyy-mm-dd"),"")))</f>
        <v/>
      </c>
      <c r="C89" s="46">
        <f>IF(_calc!$E$91="","",IF(_calc!$E$91&lt;=500,"Insurance","Certificate of insurance"))</f>
        <v/>
      </c>
      <c r="D89" s="46">
        <f>IF(_calc!$E$91="","",IF(_calc!$E$91&lt;=500,IF(ISNUMBER(INDEX('Our policies'!$I$4:$I$503,_calc!$E$91)),TEXT(INDEX('Our policies'!$I$4:$I$503,_calc!$E$91),"yyyy-mm-dd"),""),""))</f>
        <v/>
      </c>
      <c r="E89" s="46">
        <f>IF(_calc!$E$91="","",IF(_calc!$E$91&lt;=500,IF(LEN(INDEX('Our policies'!$Q$4:$Q$503,_calc!$E$91))=0,"",INDEX('Our policies'!$Q$4:$Q$503,_calc!$E$91)),"Medium"))</f>
        <v/>
      </c>
      <c r="F89" s="46">
        <f>IF(_calc!$E$91="","",IF(_calc!$E$91&lt;=500,TRIM(IF(LEN(IF(LEN(INDEX('Our policies'!$B$4:$B$503,_calc!$E$91))=0,"",INDEX('Our policies'!$B$4:$B$503,_calc!$E$91)))=0,"","Cover: "&amp;IF(LEN(INDEX('Our policies'!$B$4:$B$503,_calc!$E$91))=0,"",INDEX('Our policies'!$B$4:$B$503,_calc!$E$91))&amp;". ")&amp;IF(LEN(IF(LEN(INDEX('Our policies'!$C$4:$C$503,_calc!$E$91))=0,"",INDEX('Our policies'!$C$4:$C$503,_calc!$E$91)))=0,"","Insurer: "&amp;IF(LEN(INDEX('Our policies'!$C$4:$C$503,_calc!$E$91))=0,"",INDEX('Our policies'!$C$4:$C$503,_calc!$E$91))&amp;". ")&amp;IF(LEN(IF(LEN(INDEX('Our policies'!$D$4:$D$503,_calc!$E$91))=0,"",INDEX('Our policies'!$D$4:$D$503,_calc!$E$91)))=0,"","Broker: "&amp;IF(LEN(INDEX('Our policies'!$D$4:$D$503,_calc!$E$91))=0,"",INDEX('Our policies'!$D$4:$D$503,_calc!$E$91))&amp;". ")&amp;IF(LEN(IF(LEN(INDEX('Our policies'!$E$4:$E$503,_calc!$E$91))=0,"",INDEX('Our policies'!$E$4:$E$503,_calc!$E$91)))=0,"","Policy no.: "&amp;IF(LEN(INDEX('Our policies'!$E$4:$E$503,_calc!$E$91))=0,"",INDEX('Our policies'!$E$4:$E$503,_calc!$E$91))&amp;". ")&amp;IF(LEN(IF(LEN(INDEX('Our policies'!$S$4:$S$503,_calc!$E$91))=0,"",INDEX('Our policies'!$S$4:$S$503,_calc!$E$91)))=0,"",IF(LEN(INDEX('Our policies'!$S$4:$S$503,_calc!$E$91))=0,"",INDEX('Our policies'!$S$4:$S$503,_calc!$E$91)))),TRIM(IF(LEN(IF(LEN(INDEX('Vendor COIs'!$C$4:$C$503,(_calc!$E$91-500)))=0,"",INDEX('Vendor COIs'!$C$4:$C$503,(_calc!$E$91-500))))=0,"","Insurer: "&amp;IF(LEN(INDEX('Vendor COIs'!$C$4:$C$503,(_calc!$E$91-500)))=0,"",INDEX('Vendor COIs'!$C$4:$C$503,(_calc!$E$91-500)))&amp;". ")&amp;IF(LEN(IF(LEN(INDEX('Vendor COIs'!$D$4:$D$503,(_calc!$E$91-500)))=0,"",INDEX('Vendor COIs'!$D$4:$D$503,(_calc!$E$91-500))))=0,"","Policy no.: "&amp;IF(LEN(INDEX('Vendor COIs'!$D$4:$D$503,(_calc!$E$91-500)))=0,"",INDEX('Vendor COIs'!$D$4:$D$503,(_calc!$E$91-500)))&amp;". ")&amp;IF(LEN(IF(LEN(INDEX('Vendor COIs'!$F$4:$F$503,(_calc!$E$91-500)))=0,"",INDEX('Vendor COIs'!$F$4:$F$503,(_calc!$E$91-500))))=0,"","Meets minimum: "&amp;IF(LEN(INDEX('Vendor COIs'!$F$4:$F$503,(_calc!$E$91-500)))=0,"",INDEX('Vendor COIs'!$F$4:$F$503,(_calc!$E$91-500)))&amp;". ")&amp;IF(LEN(IF(LEN(INDEX('Vendor COIs'!$G$4:$G$503,(_calc!$E$91-500)))=0,"",INDEX('Vendor COIs'!$G$4:$G$503,(_calc!$E$91-500))))=0,"","Additional insured: "&amp;IF(LEN(INDEX('Vendor COIs'!$G$4:$G$503,(_calc!$E$91-500)))=0,"",INDEX('Vendor COIs'!$G$4:$G$503,(_calc!$E$91-500)))&amp;". ")&amp;IF(LEN(IF(LEN(INDEX('Vendor COIs'!$M$4:$M$503,(_calc!$E$91-500)))=0,"",INDEX('Vendor COIs'!$M$4:$M$503,(_calc!$E$91-500))))=0,"","Vendor contact: "&amp;IF(LEN(INDEX('Vendor COIs'!$M$4:$M$503,(_calc!$E$91-500)))=0,"",INDEX('Vendor COIs'!$M$4:$M$503,(_calc!$E$91-500)))&amp;". ")&amp;IF(LEN(IF(LEN(INDEX('Vendor COIs'!$P$4:$P$503,(_calc!$E$91-500)))=0,"",INDEX('Vendor COIs'!$P$4:$P$503,(_calc!$E$91-500))))=0,"",IF(LEN(INDEX('Vendor COIs'!$P$4:$P$503,(_calc!$E$91-500)))=0,"",INDEX('Vendor COIs'!$P$4:$P$503,(_calc!$E$91-500)))))))</f>
        <v/>
      </c>
      <c r="G89" s="46">
        <f>IF(_calc!$E$91="","",IF(_calc!$E$91&lt;=500,IF(LEN(INDEX('Our policies'!$R$4:$R$503,_calc!$E$91))=0,"",INDEX('Our policies'!$R$4:$R$503,_calc!$E$91)),IF(LEN(INDEX('Vendor COIs'!$O$4:$O$503,(_calc!$E$91-500)))=0,"",INDEX('Vendor COIs'!$O$4:$O$503,(_calc!$E$91-500)))))</f>
        <v/>
      </c>
      <c r="H89" s="46">
        <f>IF(_calc!$E$91="","",IF(_calc!$E$91&lt;=500,IF(LEN(INDEX('Our policies'!$G$4:$G$503,_calc!$E$91))=0,"",INDEX('Our policies'!$G$4:$G$503,_calc!$E$91)),""))</f>
        <v/>
      </c>
      <c r="I89" s="46">
        <f>IF(_calc!$E$91="","",IF(_calc!$E$91&lt;=500,IF(LEN(INDEX('Our policies'!$H$4:$H$503,_calc!$E$91))=0,"",INDEX('Our policies'!$H$4:$H$503,_calc!$E$91)),""))</f>
        <v/>
      </c>
      <c r="K89" s="46">
        <f>IF(_calc!$E$91="","",IF(_calc!$E$91&lt;=500,IF(LEN(INDEX('Our policies'!$P$4:$P$503,_calc!$E$91))=0,"",INDEX('Our policies'!$P$4:$P$503,_calc!$E$91)),IF(LEN(INDEX('Vendor COIs'!$N$4:$N$503,(_calc!$E$91-500)))=0,"",INDEX('Vendor COIs'!$N$4:$N$503,(_calc!$E$91-500)))))</f>
        <v/>
      </c>
    </row>
    <row r="90">
      <c r="A90" s="46">
        <f>IF(_calc!$E$92="","",IF(_calc!$E$92&lt;=500,IF(LEN(INDEX('Our policies'!$A$4:$A$503,_calc!$E$92))=0,"",INDEX('Our policies'!$A$4:$A$503,_calc!$E$92)),"COI – "&amp;IF(LEN(INDEX('Vendor COIs'!$A$4:$A$503,(_calc!$E$92-500)))=0,"",INDEX('Vendor COIs'!$A$4:$A$503,(_calc!$E$92-500)))&amp;" – "&amp;IF(LEN(INDEX('Vendor COIs'!$B$4:$B$503,(_calc!$E$92-500)))=0,"",INDEX('Vendor COIs'!$B$4:$B$503,(_calc!$E$92-500)))))</f>
        <v/>
      </c>
      <c r="B90" s="46">
        <f>IF(_calc!$E$92="","",IF(_calc!$E$92&lt;=500,IF(ISNUMBER(INDEX('Our policies'!$J$4:$J$503,_calc!$E$92)),TEXT(INDEX('Our policies'!$J$4:$J$503,_calc!$E$92),"yyyy-mm-dd"),""),IF(ISNUMBER(INDEX('Vendor COIs'!$H$4:$H$503,(_calc!$E$92-500))),TEXT(INDEX('Vendor COIs'!$H$4:$H$503,(_calc!$E$92-500)),"yyyy-mm-dd"),"")))</f>
        <v/>
      </c>
      <c r="C90" s="46">
        <f>IF(_calc!$E$92="","",IF(_calc!$E$92&lt;=500,"Insurance","Certificate of insurance"))</f>
        <v/>
      </c>
      <c r="D90" s="46">
        <f>IF(_calc!$E$92="","",IF(_calc!$E$92&lt;=500,IF(ISNUMBER(INDEX('Our policies'!$I$4:$I$503,_calc!$E$92)),TEXT(INDEX('Our policies'!$I$4:$I$503,_calc!$E$92),"yyyy-mm-dd"),""),""))</f>
        <v/>
      </c>
      <c r="E90" s="46">
        <f>IF(_calc!$E$92="","",IF(_calc!$E$92&lt;=500,IF(LEN(INDEX('Our policies'!$Q$4:$Q$503,_calc!$E$92))=0,"",INDEX('Our policies'!$Q$4:$Q$503,_calc!$E$92)),"Medium"))</f>
        <v/>
      </c>
      <c r="F90" s="46">
        <f>IF(_calc!$E$92="","",IF(_calc!$E$92&lt;=500,TRIM(IF(LEN(IF(LEN(INDEX('Our policies'!$B$4:$B$503,_calc!$E$92))=0,"",INDEX('Our policies'!$B$4:$B$503,_calc!$E$92)))=0,"","Cover: "&amp;IF(LEN(INDEX('Our policies'!$B$4:$B$503,_calc!$E$92))=0,"",INDEX('Our policies'!$B$4:$B$503,_calc!$E$92))&amp;". ")&amp;IF(LEN(IF(LEN(INDEX('Our policies'!$C$4:$C$503,_calc!$E$92))=0,"",INDEX('Our policies'!$C$4:$C$503,_calc!$E$92)))=0,"","Insurer: "&amp;IF(LEN(INDEX('Our policies'!$C$4:$C$503,_calc!$E$92))=0,"",INDEX('Our policies'!$C$4:$C$503,_calc!$E$92))&amp;". ")&amp;IF(LEN(IF(LEN(INDEX('Our policies'!$D$4:$D$503,_calc!$E$92))=0,"",INDEX('Our policies'!$D$4:$D$503,_calc!$E$92)))=0,"","Broker: "&amp;IF(LEN(INDEX('Our policies'!$D$4:$D$503,_calc!$E$92))=0,"",INDEX('Our policies'!$D$4:$D$503,_calc!$E$92))&amp;". ")&amp;IF(LEN(IF(LEN(INDEX('Our policies'!$E$4:$E$503,_calc!$E$92))=0,"",INDEX('Our policies'!$E$4:$E$503,_calc!$E$92)))=0,"","Policy no.: "&amp;IF(LEN(INDEX('Our policies'!$E$4:$E$503,_calc!$E$92))=0,"",INDEX('Our policies'!$E$4:$E$503,_calc!$E$92))&amp;". ")&amp;IF(LEN(IF(LEN(INDEX('Our policies'!$S$4:$S$503,_calc!$E$92))=0,"",INDEX('Our policies'!$S$4:$S$503,_calc!$E$92)))=0,"",IF(LEN(INDEX('Our policies'!$S$4:$S$503,_calc!$E$92))=0,"",INDEX('Our policies'!$S$4:$S$503,_calc!$E$92)))),TRIM(IF(LEN(IF(LEN(INDEX('Vendor COIs'!$C$4:$C$503,(_calc!$E$92-500)))=0,"",INDEX('Vendor COIs'!$C$4:$C$503,(_calc!$E$92-500))))=0,"","Insurer: "&amp;IF(LEN(INDEX('Vendor COIs'!$C$4:$C$503,(_calc!$E$92-500)))=0,"",INDEX('Vendor COIs'!$C$4:$C$503,(_calc!$E$92-500)))&amp;". ")&amp;IF(LEN(IF(LEN(INDEX('Vendor COIs'!$D$4:$D$503,(_calc!$E$92-500)))=0,"",INDEX('Vendor COIs'!$D$4:$D$503,(_calc!$E$92-500))))=0,"","Policy no.: "&amp;IF(LEN(INDEX('Vendor COIs'!$D$4:$D$503,(_calc!$E$92-500)))=0,"",INDEX('Vendor COIs'!$D$4:$D$503,(_calc!$E$92-500)))&amp;". ")&amp;IF(LEN(IF(LEN(INDEX('Vendor COIs'!$F$4:$F$503,(_calc!$E$92-500)))=0,"",INDEX('Vendor COIs'!$F$4:$F$503,(_calc!$E$92-500))))=0,"","Meets minimum: "&amp;IF(LEN(INDEX('Vendor COIs'!$F$4:$F$503,(_calc!$E$92-500)))=0,"",INDEX('Vendor COIs'!$F$4:$F$503,(_calc!$E$92-500)))&amp;". ")&amp;IF(LEN(IF(LEN(INDEX('Vendor COIs'!$G$4:$G$503,(_calc!$E$92-500)))=0,"",INDEX('Vendor COIs'!$G$4:$G$503,(_calc!$E$92-500))))=0,"","Additional insured: "&amp;IF(LEN(INDEX('Vendor COIs'!$G$4:$G$503,(_calc!$E$92-500)))=0,"",INDEX('Vendor COIs'!$G$4:$G$503,(_calc!$E$92-500)))&amp;". ")&amp;IF(LEN(IF(LEN(INDEX('Vendor COIs'!$M$4:$M$503,(_calc!$E$92-500)))=0,"",INDEX('Vendor COIs'!$M$4:$M$503,(_calc!$E$92-500))))=0,"","Vendor contact: "&amp;IF(LEN(INDEX('Vendor COIs'!$M$4:$M$503,(_calc!$E$92-500)))=0,"",INDEX('Vendor COIs'!$M$4:$M$503,(_calc!$E$92-500)))&amp;". ")&amp;IF(LEN(IF(LEN(INDEX('Vendor COIs'!$P$4:$P$503,(_calc!$E$92-500)))=0,"",INDEX('Vendor COIs'!$P$4:$P$503,(_calc!$E$92-500))))=0,"",IF(LEN(INDEX('Vendor COIs'!$P$4:$P$503,(_calc!$E$92-500)))=0,"",INDEX('Vendor COIs'!$P$4:$P$503,(_calc!$E$92-500)))))))</f>
        <v/>
      </c>
      <c r="G90" s="46">
        <f>IF(_calc!$E$92="","",IF(_calc!$E$92&lt;=500,IF(LEN(INDEX('Our policies'!$R$4:$R$503,_calc!$E$92))=0,"",INDEX('Our policies'!$R$4:$R$503,_calc!$E$92)),IF(LEN(INDEX('Vendor COIs'!$O$4:$O$503,(_calc!$E$92-500)))=0,"",INDEX('Vendor COIs'!$O$4:$O$503,(_calc!$E$92-500)))))</f>
        <v/>
      </c>
      <c r="H90" s="46">
        <f>IF(_calc!$E$92="","",IF(_calc!$E$92&lt;=500,IF(LEN(INDEX('Our policies'!$G$4:$G$503,_calc!$E$92))=0,"",INDEX('Our policies'!$G$4:$G$503,_calc!$E$92)),""))</f>
        <v/>
      </c>
      <c r="I90" s="46">
        <f>IF(_calc!$E$92="","",IF(_calc!$E$92&lt;=500,IF(LEN(INDEX('Our policies'!$H$4:$H$503,_calc!$E$92))=0,"",INDEX('Our policies'!$H$4:$H$503,_calc!$E$92)),""))</f>
        <v/>
      </c>
      <c r="K90" s="46">
        <f>IF(_calc!$E$92="","",IF(_calc!$E$92&lt;=500,IF(LEN(INDEX('Our policies'!$P$4:$P$503,_calc!$E$92))=0,"",INDEX('Our policies'!$P$4:$P$503,_calc!$E$92)),IF(LEN(INDEX('Vendor COIs'!$N$4:$N$503,(_calc!$E$92-500)))=0,"",INDEX('Vendor COIs'!$N$4:$N$503,(_calc!$E$92-500)))))</f>
        <v/>
      </c>
    </row>
    <row r="91">
      <c r="A91" s="46">
        <f>IF(_calc!$E$93="","",IF(_calc!$E$93&lt;=500,IF(LEN(INDEX('Our policies'!$A$4:$A$503,_calc!$E$93))=0,"",INDEX('Our policies'!$A$4:$A$503,_calc!$E$93)),"COI – "&amp;IF(LEN(INDEX('Vendor COIs'!$A$4:$A$503,(_calc!$E$93-500)))=0,"",INDEX('Vendor COIs'!$A$4:$A$503,(_calc!$E$93-500)))&amp;" – "&amp;IF(LEN(INDEX('Vendor COIs'!$B$4:$B$503,(_calc!$E$93-500)))=0,"",INDEX('Vendor COIs'!$B$4:$B$503,(_calc!$E$93-500)))))</f>
        <v/>
      </c>
      <c r="B91" s="46">
        <f>IF(_calc!$E$93="","",IF(_calc!$E$93&lt;=500,IF(ISNUMBER(INDEX('Our policies'!$J$4:$J$503,_calc!$E$93)),TEXT(INDEX('Our policies'!$J$4:$J$503,_calc!$E$93),"yyyy-mm-dd"),""),IF(ISNUMBER(INDEX('Vendor COIs'!$H$4:$H$503,(_calc!$E$93-500))),TEXT(INDEX('Vendor COIs'!$H$4:$H$503,(_calc!$E$93-500)),"yyyy-mm-dd"),"")))</f>
        <v/>
      </c>
      <c r="C91" s="46">
        <f>IF(_calc!$E$93="","",IF(_calc!$E$93&lt;=500,"Insurance","Certificate of insurance"))</f>
        <v/>
      </c>
      <c r="D91" s="46">
        <f>IF(_calc!$E$93="","",IF(_calc!$E$93&lt;=500,IF(ISNUMBER(INDEX('Our policies'!$I$4:$I$503,_calc!$E$93)),TEXT(INDEX('Our policies'!$I$4:$I$503,_calc!$E$93),"yyyy-mm-dd"),""),""))</f>
        <v/>
      </c>
      <c r="E91" s="46">
        <f>IF(_calc!$E$93="","",IF(_calc!$E$93&lt;=500,IF(LEN(INDEX('Our policies'!$Q$4:$Q$503,_calc!$E$93))=0,"",INDEX('Our policies'!$Q$4:$Q$503,_calc!$E$93)),"Medium"))</f>
        <v/>
      </c>
      <c r="F91" s="46">
        <f>IF(_calc!$E$93="","",IF(_calc!$E$93&lt;=500,TRIM(IF(LEN(IF(LEN(INDEX('Our policies'!$B$4:$B$503,_calc!$E$93))=0,"",INDEX('Our policies'!$B$4:$B$503,_calc!$E$93)))=0,"","Cover: "&amp;IF(LEN(INDEX('Our policies'!$B$4:$B$503,_calc!$E$93))=0,"",INDEX('Our policies'!$B$4:$B$503,_calc!$E$93))&amp;". ")&amp;IF(LEN(IF(LEN(INDEX('Our policies'!$C$4:$C$503,_calc!$E$93))=0,"",INDEX('Our policies'!$C$4:$C$503,_calc!$E$93)))=0,"","Insurer: "&amp;IF(LEN(INDEX('Our policies'!$C$4:$C$503,_calc!$E$93))=0,"",INDEX('Our policies'!$C$4:$C$503,_calc!$E$93))&amp;". ")&amp;IF(LEN(IF(LEN(INDEX('Our policies'!$D$4:$D$503,_calc!$E$93))=0,"",INDEX('Our policies'!$D$4:$D$503,_calc!$E$93)))=0,"","Broker: "&amp;IF(LEN(INDEX('Our policies'!$D$4:$D$503,_calc!$E$93))=0,"",INDEX('Our policies'!$D$4:$D$503,_calc!$E$93))&amp;". ")&amp;IF(LEN(IF(LEN(INDEX('Our policies'!$E$4:$E$503,_calc!$E$93))=0,"",INDEX('Our policies'!$E$4:$E$503,_calc!$E$93)))=0,"","Policy no.: "&amp;IF(LEN(INDEX('Our policies'!$E$4:$E$503,_calc!$E$93))=0,"",INDEX('Our policies'!$E$4:$E$503,_calc!$E$93))&amp;". ")&amp;IF(LEN(IF(LEN(INDEX('Our policies'!$S$4:$S$503,_calc!$E$93))=0,"",INDEX('Our policies'!$S$4:$S$503,_calc!$E$93)))=0,"",IF(LEN(INDEX('Our policies'!$S$4:$S$503,_calc!$E$93))=0,"",INDEX('Our policies'!$S$4:$S$503,_calc!$E$93)))),TRIM(IF(LEN(IF(LEN(INDEX('Vendor COIs'!$C$4:$C$503,(_calc!$E$93-500)))=0,"",INDEX('Vendor COIs'!$C$4:$C$503,(_calc!$E$93-500))))=0,"","Insurer: "&amp;IF(LEN(INDEX('Vendor COIs'!$C$4:$C$503,(_calc!$E$93-500)))=0,"",INDEX('Vendor COIs'!$C$4:$C$503,(_calc!$E$93-500)))&amp;". ")&amp;IF(LEN(IF(LEN(INDEX('Vendor COIs'!$D$4:$D$503,(_calc!$E$93-500)))=0,"",INDEX('Vendor COIs'!$D$4:$D$503,(_calc!$E$93-500))))=0,"","Policy no.: "&amp;IF(LEN(INDEX('Vendor COIs'!$D$4:$D$503,(_calc!$E$93-500)))=0,"",INDEX('Vendor COIs'!$D$4:$D$503,(_calc!$E$93-500)))&amp;". ")&amp;IF(LEN(IF(LEN(INDEX('Vendor COIs'!$F$4:$F$503,(_calc!$E$93-500)))=0,"",INDEX('Vendor COIs'!$F$4:$F$503,(_calc!$E$93-500))))=0,"","Meets minimum: "&amp;IF(LEN(INDEX('Vendor COIs'!$F$4:$F$503,(_calc!$E$93-500)))=0,"",INDEX('Vendor COIs'!$F$4:$F$503,(_calc!$E$93-500)))&amp;". ")&amp;IF(LEN(IF(LEN(INDEX('Vendor COIs'!$G$4:$G$503,(_calc!$E$93-500)))=0,"",INDEX('Vendor COIs'!$G$4:$G$503,(_calc!$E$93-500))))=0,"","Additional insured: "&amp;IF(LEN(INDEX('Vendor COIs'!$G$4:$G$503,(_calc!$E$93-500)))=0,"",INDEX('Vendor COIs'!$G$4:$G$503,(_calc!$E$93-500)))&amp;". ")&amp;IF(LEN(IF(LEN(INDEX('Vendor COIs'!$M$4:$M$503,(_calc!$E$93-500)))=0,"",INDEX('Vendor COIs'!$M$4:$M$503,(_calc!$E$93-500))))=0,"","Vendor contact: "&amp;IF(LEN(INDEX('Vendor COIs'!$M$4:$M$503,(_calc!$E$93-500)))=0,"",INDEX('Vendor COIs'!$M$4:$M$503,(_calc!$E$93-500)))&amp;". ")&amp;IF(LEN(IF(LEN(INDEX('Vendor COIs'!$P$4:$P$503,(_calc!$E$93-500)))=0,"",INDEX('Vendor COIs'!$P$4:$P$503,(_calc!$E$93-500))))=0,"",IF(LEN(INDEX('Vendor COIs'!$P$4:$P$503,(_calc!$E$93-500)))=0,"",INDEX('Vendor COIs'!$P$4:$P$503,(_calc!$E$93-500)))))))</f>
        <v/>
      </c>
      <c r="G91" s="46">
        <f>IF(_calc!$E$93="","",IF(_calc!$E$93&lt;=500,IF(LEN(INDEX('Our policies'!$R$4:$R$503,_calc!$E$93))=0,"",INDEX('Our policies'!$R$4:$R$503,_calc!$E$93)),IF(LEN(INDEX('Vendor COIs'!$O$4:$O$503,(_calc!$E$93-500)))=0,"",INDEX('Vendor COIs'!$O$4:$O$503,(_calc!$E$93-500)))))</f>
        <v/>
      </c>
      <c r="H91" s="46">
        <f>IF(_calc!$E$93="","",IF(_calc!$E$93&lt;=500,IF(LEN(INDEX('Our policies'!$G$4:$G$503,_calc!$E$93))=0,"",INDEX('Our policies'!$G$4:$G$503,_calc!$E$93)),""))</f>
        <v/>
      </c>
      <c r="I91" s="46">
        <f>IF(_calc!$E$93="","",IF(_calc!$E$93&lt;=500,IF(LEN(INDEX('Our policies'!$H$4:$H$503,_calc!$E$93))=0,"",INDEX('Our policies'!$H$4:$H$503,_calc!$E$93)),""))</f>
        <v/>
      </c>
      <c r="K91" s="46">
        <f>IF(_calc!$E$93="","",IF(_calc!$E$93&lt;=500,IF(LEN(INDEX('Our policies'!$P$4:$P$503,_calc!$E$93))=0,"",INDEX('Our policies'!$P$4:$P$503,_calc!$E$93)),IF(LEN(INDEX('Vendor COIs'!$N$4:$N$503,(_calc!$E$93-500)))=0,"",INDEX('Vendor COIs'!$N$4:$N$503,(_calc!$E$93-500)))))</f>
        <v/>
      </c>
    </row>
    <row r="92">
      <c r="A92" s="46">
        <f>IF(_calc!$E$94="","",IF(_calc!$E$94&lt;=500,IF(LEN(INDEX('Our policies'!$A$4:$A$503,_calc!$E$94))=0,"",INDEX('Our policies'!$A$4:$A$503,_calc!$E$94)),"COI – "&amp;IF(LEN(INDEX('Vendor COIs'!$A$4:$A$503,(_calc!$E$94-500)))=0,"",INDEX('Vendor COIs'!$A$4:$A$503,(_calc!$E$94-500)))&amp;" – "&amp;IF(LEN(INDEX('Vendor COIs'!$B$4:$B$503,(_calc!$E$94-500)))=0,"",INDEX('Vendor COIs'!$B$4:$B$503,(_calc!$E$94-500)))))</f>
        <v/>
      </c>
      <c r="B92" s="46">
        <f>IF(_calc!$E$94="","",IF(_calc!$E$94&lt;=500,IF(ISNUMBER(INDEX('Our policies'!$J$4:$J$503,_calc!$E$94)),TEXT(INDEX('Our policies'!$J$4:$J$503,_calc!$E$94),"yyyy-mm-dd"),""),IF(ISNUMBER(INDEX('Vendor COIs'!$H$4:$H$503,(_calc!$E$94-500))),TEXT(INDEX('Vendor COIs'!$H$4:$H$503,(_calc!$E$94-500)),"yyyy-mm-dd"),"")))</f>
        <v/>
      </c>
      <c r="C92" s="46">
        <f>IF(_calc!$E$94="","",IF(_calc!$E$94&lt;=500,"Insurance","Certificate of insurance"))</f>
        <v/>
      </c>
      <c r="D92" s="46">
        <f>IF(_calc!$E$94="","",IF(_calc!$E$94&lt;=500,IF(ISNUMBER(INDEX('Our policies'!$I$4:$I$503,_calc!$E$94)),TEXT(INDEX('Our policies'!$I$4:$I$503,_calc!$E$94),"yyyy-mm-dd"),""),""))</f>
        <v/>
      </c>
      <c r="E92" s="46">
        <f>IF(_calc!$E$94="","",IF(_calc!$E$94&lt;=500,IF(LEN(INDEX('Our policies'!$Q$4:$Q$503,_calc!$E$94))=0,"",INDEX('Our policies'!$Q$4:$Q$503,_calc!$E$94)),"Medium"))</f>
        <v/>
      </c>
      <c r="F92" s="46">
        <f>IF(_calc!$E$94="","",IF(_calc!$E$94&lt;=500,TRIM(IF(LEN(IF(LEN(INDEX('Our policies'!$B$4:$B$503,_calc!$E$94))=0,"",INDEX('Our policies'!$B$4:$B$503,_calc!$E$94)))=0,"","Cover: "&amp;IF(LEN(INDEX('Our policies'!$B$4:$B$503,_calc!$E$94))=0,"",INDEX('Our policies'!$B$4:$B$503,_calc!$E$94))&amp;". ")&amp;IF(LEN(IF(LEN(INDEX('Our policies'!$C$4:$C$503,_calc!$E$94))=0,"",INDEX('Our policies'!$C$4:$C$503,_calc!$E$94)))=0,"","Insurer: "&amp;IF(LEN(INDEX('Our policies'!$C$4:$C$503,_calc!$E$94))=0,"",INDEX('Our policies'!$C$4:$C$503,_calc!$E$94))&amp;". ")&amp;IF(LEN(IF(LEN(INDEX('Our policies'!$D$4:$D$503,_calc!$E$94))=0,"",INDEX('Our policies'!$D$4:$D$503,_calc!$E$94)))=0,"","Broker: "&amp;IF(LEN(INDEX('Our policies'!$D$4:$D$503,_calc!$E$94))=0,"",INDEX('Our policies'!$D$4:$D$503,_calc!$E$94))&amp;". ")&amp;IF(LEN(IF(LEN(INDEX('Our policies'!$E$4:$E$503,_calc!$E$94))=0,"",INDEX('Our policies'!$E$4:$E$503,_calc!$E$94)))=0,"","Policy no.: "&amp;IF(LEN(INDEX('Our policies'!$E$4:$E$503,_calc!$E$94))=0,"",INDEX('Our policies'!$E$4:$E$503,_calc!$E$94))&amp;". ")&amp;IF(LEN(IF(LEN(INDEX('Our policies'!$S$4:$S$503,_calc!$E$94))=0,"",INDEX('Our policies'!$S$4:$S$503,_calc!$E$94)))=0,"",IF(LEN(INDEX('Our policies'!$S$4:$S$503,_calc!$E$94))=0,"",INDEX('Our policies'!$S$4:$S$503,_calc!$E$94)))),TRIM(IF(LEN(IF(LEN(INDEX('Vendor COIs'!$C$4:$C$503,(_calc!$E$94-500)))=0,"",INDEX('Vendor COIs'!$C$4:$C$503,(_calc!$E$94-500))))=0,"","Insurer: "&amp;IF(LEN(INDEX('Vendor COIs'!$C$4:$C$503,(_calc!$E$94-500)))=0,"",INDEX('Vendor COIs'!$C$4:$C$503,(_calc!$E$94-500)))&amp;". ")&amp;IF(LEN(IF(LEN(INDEX('Vendor COIs'!$D$4:$D$503,(_calc!$E$94-500)))=0,"",INDEX('Vendor COIs'!$D$4:$D$503,(_calc!$E$94-500))))=0,"","Policy no.: "&amp;IF(LEN(INDEX('Vendor COIs'!$D$4:$D$503,(_calc!$E$94-500)))=0,"",INDEX('Vendor COIs'!$D$4:$D$503,(_calc!$E$94-500)))&amp;". ")&amp;IF(LEN(IF(LEN(INDEX('Vendor COIs'!$F$4:$F$503,(_calc!$E$94-500)))=0,"",INDEX('Vendor COIs'!$F$4:$F$503,(_calc!$E$94-500))))=0,"","Meets minimum: "&amp;IF(LEN(INDEX('Vendor COIs'!$F$4:$F$503,(_calc!$E$94-500)))=0,"",INDEX('Vendor COIs'!$F$4:$F$503,(_calc!$E$94-500)))&amp;". ")&amp;IF(LEN(IF(LEN(INDEX('Vendor COIs'!$G$4:$G$503,(_calc!$E$94-500)))=0,"",INDEX('Vendor COIs'!$G$4:$G$503,(_calc!$E$94-500))))=0,"","Additional insured: "&amp;IF(LEN(INDEX('Vendor COIs'!$G$4:$G$503,(_calc!$E$94-500)))=0,"",INDEX('Vendor COIs'!$G$4:$G$503,(_calc!$E$94-500)))&amp;". ")&amp;IF(LEN(IF(LEN(INDEX('Vendor COIs'!$M$4:$M$503,(_calc!$E$94-500)))=0,"",INDEX('Vendor COIs'!$M$4:$M$503,(_calc!$E$94-500))))=0,"","Vendor contact: "&amp;IF(LEN(INDEX('Vendor COIs'!$M$4:$M$503,(_calc!$E$94-500)))=0,"",INDEX('Vendor COIs'!$M$4:$M$503,(_calc!$E$94-500)))&amp;". ")&amp;IF(LEN(IF(LEN(INDEX('Vendor COIs'!$P$4:$P$503,(_calc!$E$94-500)))=0,"",INDEX('Vendor COIs'!$P$4:$P$503,(_calc!$E$94-500))))=0,"",IF(LEN(INDEX('Vendor COIs'!$P$4:$P$503,(_calc!$E$94-500)))=0,"",INDEX('Vendor COIs'!$P$4:$P$503,(_calc!$E$94-500)))))))</f>
        <v/>
      </c>
      <c r="G92" s="46">
        <f>IF(_calc!$E$94="","",IF(_calc!$E$94&lt;=500,IF(LEN(INDEX('Our policies'!$R$4:$R$503,_calc!$E$94))=0,"",INDEX('Our policies'!$R$4:$R$503,_calc!$E$94)),IF(LEN(INDEX('Vendor COIs'!$O$4:$O$503,(_calc!$E$94-500)))=0,"",INDEX('Vendor COIs'!$O$4:$O$503,(_calc!$E$94-500)))))</f>
        <v/>
      </c>
      <c r="H92" s="46">
        <f>IF(_calc!$E$94="","",IF(_calc!$E$94&lt;=500,IF(LEN(INDEX('Our policies'!$G$4:$G$503,_calc!$E$94))=0,"",INDEX('Our policies'!$G$4:$G$503,_calc!$E$94)),""))</f>
        <v/>
      </c>
      <c r="I92" s="46">
        <f>IF(_calc!$E$94="","",IF(_calc!$E$94&lt;=500,IF(LEN(INDEX('Our policies'!$H$4:$H$503,_calc!$E$94))=0,"",INDEX('Our policies'!$H$4:$H$503,_calc!$E$94)),""))</f>
        <v/>
      </c>
      <c r="K92" s="46">
        <f>IF(_calc!$E$94="","",IF(_calc!$E$94&lt;=500,IF(LEN(INDEX('Our policies'!$P$4:$P$503,_calc!$E$94))=0,"",INDEX('Our policies'!$P$4:$P$503,_calc!$E$94)),IF(LEN(INDEX('Vendor COIs'!$N$4:$N$503,(_calc!$E$94-500)))=0,"",INDEX('Vendor COIs'!$N$4:$N$503,(_calc!$E$94-500)))))</f>
        <v/>
      </c>
    </row>
    <row r="93">
      <c r="A93" s="46">
        <f>IF(_calc!$E$95="","",IF(_calc!$E$95&lt;=500,IF(LEN(INDEX('Our policies'!$A$4:$A$503,_calc!$E$95))=0,"",INDEX('Our policies'!$A$4:$A$503,_calc!$E$95)),"COI – "&amp;IF(LEN(INDEX('Vendor COIs'!$A$4:$A$503,(_calc!$E$95-500)))=0,"",INDEX('Vendor COIs'!$A$4:$A$503,(_calc!$E$95-500)))&amp;" – "&amp;IF(LEN(INDEX('Vendor COIs'!$B$4:$B$503,(_calc!$E$95-500)))=0,"",INDEX('Vendor COIs'!$B$4:$B$503,(_calc!$E$95-500)))))</f>
        <v/>
      </c>
      <c r="B93" s="46">
        <f>IF(_calc!$E$95="","",IF(_calc!$E$95&lt;=500,IF(ISNUMBER(INDEX('Our policies'!$J$4:$J$503,_calc!$E$95)),TEXT(INDEX('Our policies'!$J$4:$J$503,_calc!$E$95),"yyyy-mm-dd"),""),IF(ISNUMBER(INDEX('Vendor COIs'!$H$4:$H$503,(_calc!$E$95-500))),TEXT(INDEX('Vendor COIs'!$H$4:$H$503,(_calc!$E$95-500)),"yyyy-mm-dd"),"")))</f>
        <v/>
      </c>
      <c r="C93" s="46">
        <f>IF(_calc!$E$95="","",IF(_calc!$E$95&lt;=500,"Insurance","Certificate of insurance"))</f>
        <v/>
      </c>
      <c r="D93" s="46">
        <f>IF(_calc!$E$95="","",IF(_calc!$E$95&lt;=500,IF(ISNUMBER(INDEX('Our policies'!$I$4:$I$503,_calc!$E$95)),TEXT(INDEX('Our policies'!$I$4:$I$503,_calc!$E$95),"yyyy-mm-dd"),""),""))</f>
        <v/>
      </c>
      <c r="E93" s="46">
        <f>IF(_calc!$E$95="","",IF(_calc!$E$95&lt;=500,IF(LEN(INDEX('Our policies'!$Q$4:$Q$503,_calc!$E$95))=0,"",INDEX('Our policies'!$Q$4:$Q$503,_calc!$E$95)),"Medium"))</f>
        <v/>
      </c>
      <c r="F93" s="46">
        <f>IF(_calc!$E$95="","",IF(_calc!$E$95&lt;=500,TRIM(IF(LEN(IF(LEN(INDEX('Our policies'!$B$4:$B$503,_calc!$E$95))=0,"",INDEX('Our policies'!$B$4:$B$503,_calc!$E$95)))=0,"","Cover: "&amp;IF(LEN(INDEX('Our policies'!$B$4:$B$503,_calc!$E$95))=0,"",INDEX('Our policies'!$B$4:$B$503,_calc!$E$95))&amp;". ")&amp;IF(LEN(IF(LEN(INDEX('Our policies'!$C$4:$C$503,_calc!$E$95))=0,"",INDEX('Our policies'!$C$4:$C$503,_calc!$E$95)))=0,"","Insurer: "&amp;IF(LEN(INDEX('Our policies'!$C$4:$C$503,_calc!$E$95))=0,"",INDEX('Our policies'!$C$4:$C$503,_calc!$E$95))&amp;". ")&amp;IF(LEN(IF(LEN(INDEX('Our policies'!$D$4:$D$503,_calc!$E$95))=0,"",INDEX('Our policies'!$D$4:$D$503,_calc!$E$95)))=0,"","Broker: "&amp;IF(LEN(INDEX('Our policies'!$D$4:$D$503,_calc!$E$95))=0,"",INDEX('Our policies'!$D$4:$D$503,_calc!$E$95))&amp;". ")&amp;IF(LEN(IF(LEN(INDEX('Our policies'!$E$4:$E$503,_calc!$E$95))=0,"",INDEX('Our policies'!$E$4:$E$503,_calc!$E$95)))=0,"","Policy no.: "&amp;IF(LEN(INDEX('Our policies'!$E$4:$E$503,_calc!$E$95))=0,"",INDEX('Our policies'!$E$4:$E$503,_calc!$E$95))&amp;". ")&amp;IF(LEN(IF(LEN(INDEX('Our policies'!$S$4:$S$503,_calc!$E$95))=0,"",INDEX('Our policies'!$S$4:$S$503,_calc!$E$95)))=0,"",IF(LEN(INDEX('Our policies'!$S$4:$S$503,_calc!$E$95))=0,"",INDEX('Our policies'!$S$4:$S$503,_calc!$E$95)))),TRIM(IF(LEN(IF(LEN(INDEX('Vendor COIs'!$C$4:$C$503,(_calc!$E$95-500)))=0,"",INDEX('Vendor COIs'!$C$4:$C$503,(_calc!$E$95-500))))=0,"","Insurer: "&amp;IF(LEN(INDEX('Vendor COIs'!$C$4:$C$503,(_calc!$E$95-500)))=0,"",INDEX('Vendor COIs'!$C$4:$C$503,(_calc!$E$95-500)))&amp;". ")&amp;IF(LEN(IF(LEN(INDEX('Vendor COIs'!$D$4:$D$503,(_calc!$E$95-500)))=0,"",INDEX('Vendor COIs'!$D$4:$D$503,(_calc!$E$95-500))))=0,"","Policy no.: "&amp;IF(LEN(INDEX('Vendor COIs'!$D$4:$D$503,(_calc!$E$95-500)))=0,"",INDEX('Vendor COIs'!$D$4:$D$503,(_calc!$E$95-500)))&amp;". ")&amp;IF(LEN(IF(LEN(INDEX('Vendor COIs'!$F$4:$F$503,(_calc!$E$95-500)))=0,"",INDEX('Vendor COIs'!$F$4:$F$503,(_calc!$E$95-500))))=0,"","Meets minimum: "&amp;IF(LEN(INDEX('Vendor COIs'!$F$4:$F$503,(_calc!$E$95-500)))=0,"",INDEX('Vendor COIs'!$F$4:$F$503,(_calc!$E$95-500)))&amp;". ")&amp;IF(LEN(IF(LEN(INDEX('Vendor COIs'!$G$4:$G$503,(_calc!$E$95-500)))=0,"",INDEX('Vendor COIs'!$G$4:$G$503,(_calc!$E$95-500))))=0,"","Additional insured: "&amp;IF(LEN(INDEX('Vendor COIs'!$G$4:$G$503,(_calc!$E$95-500)))=0,"",INDEX('Vendor COIs'!$G$4:$G$503,(_calc!$E$95-500)))&amp;". ")&amp;IF(LEN(IF(LEN(INDEX('Vendor COIs'!$M$4:$M$503,(_calc!$E$95-500)))=0,"",INDEX('Vendor COIs'!$M$4:$M$503,(_calc!$E$95-500))))=0,"","Vendor contact: "&amp;IF(LEN(INDEX('Vendor COIs'!$M$4:$M$503,(_calc!$E$95-500)))=0,"",INDEX('Vendor COIs'!$M$4:$M$503,(_calc!$E$95-500)))&amp;". ")&amp;IF(LEN(IF(LEN(INDEX('Vendor COIs'!$P$4:$P$503,(_calc!$E$95-500)))=0,"",INDEX('Vendor COIs'!$P$4:$P$503,(_calc!$E$95-500))))=0,"",IF(LEN(INDEX('Vendor COIs'!$P$4:$P$503,(_calc!$E$95-500)))=0,"",INDEX('Vendor COIs'!$P$4:$P$503,(_calc!$E$95-500)))))))</f>
        <v/>
      </c>
      <c r="G93" s="46">
        <f>IF(_calc!$E$95="","",IF(_calc!$E$95&lt;=500,IF(LEN(INDEX('Our policies'!$R$4:$R$503,_calc!$E$95))=0,"",INDEX('Our policies'!$R$4:$R$503,_calc!$E$95)),IF(LEN(INDEX('Vendor COIs'!$O$4:$O$503,(_calc!$E$95-500)))=0,"",INDEX('Vendor COIs'!$O$4:$O$503,(_calc!$E$95-500)))))</f>
        <v/>
      </c>
      <c r="H93" s="46">
        <f>IF(_calc!$E$95="","",IF(_calc!$E$95&lt;=500,IF(LEN(INDEX('Our policies'!$G$4:$G$503,_calc!$E$95))=0,"",INDEX('Our policies'!$G$4:$G$503,_calc!$E$95)),""))</f>
        <v/>
      </c>
      <c r="I93" s="46">
        <f>IF(_calc!$E$95="","",IF(_calc!$E$95&lt;=500,IF(LEN(INDEX('Our policies'!$H$4:$H$503,_calc!$E$95))=0,"",INDEX('Our policies'!$H$4:$H$503,_calc!$E$95)),""))</f>
        <v/>
      </c>
      <c r="K93" s="46">
        <f>IF(_calc!$E$95="","",IF(_calc!$E$95&lt;=500,IF(LEN(INDEX('Our policies'!$P$4:$P$503,_calc!$E$95))=0,"",INDEX('Our policies'!$P$4:$P$503,_calc!$E$95)),IF(LEN(INDEX('Vendor COIs'!$N$4:$N$503,(_calc!$E$95-500)))=0,"",INDEX('Vendor COIs'!$N$4:$N$503,(_calc!$E$95-500)))))</f>
        <v/>
      </c>
    </row>
    <row r="94">
      <c r="A94" s="46">
        <f>IF(_calc!$E$96="","",IF(_calc!$E$96&lt;=500,IF(LEN(INDEX('Our policies'!$A$4:$A$503,_calc!$E$96))=0,"",INDEX('Our policies'!$A$4:$A$503,_calc!$E$96)),"COI – "&amp;IF(LEN(INDEX('Vendor COIs'!$A$4:$A$503,(_calc!$E$96-500)))=0,"",INDEX('Vendor COIs'!$A$4:$A$503,(_calc!$E$96-500)))&amp;" – "&amp;IF(LEN(INDEX('Vendor COIs'!$B$4:$B$503,(_calc!$E$96-500)))=0,"",INDEX('Vendor COIs'!$B$4:$B$503,(_calc!$E$96-500)))))</f>
        <v/>
      </c>
      <c r="B94" s="46">
        <f>IF(_calc!$E$96="","",IF(_calc!$E$96&lt;=500,IF(ISNUMBER(INDEX('Our policies'!$J$4:$J$503,_calc!$E$96)),TEXT(INDEX('Our policies'!$J$4:$J$503,_calc!$E$96),"yyyy-mm-dd"),""),IF(ISNUMBER(INDEX('Vendor COIs'!$H$4:$H$503,(_calc!$E$96-500))),TEXT(INDEX('Vendor COIs'!$H$4:$H$503,(_calc!$E$96-500)),"yyyy-mm-dd"),"")))</f>
        <v/>
      </c>
      <c r="C94" s="46">
        <f>IF(_calc!$E$96="","",IF(_calc!$E$96&lt;=500,"Insurance","Certificate of insurance"))</f>
        <v/>
      </c>
      <c r="D94" s="46">
        <f>IF(_calc!$E$96="","",IF(_calc!$E$96&lt;=500,IF(ISNUMBER(INDEX('Our policies'!$I$4:$I$503,_calc!$E$96)),TEXT(INDEX('Our policies'!$I$4:$I$503,_calc!$E$96),"yyyy-mm-dd"),""),""))</f>
        <v/>
      </c>
      <c r="E94" s="46">
        <f>IF(_calc!$E$96="","",IF(_calc!$E$96&lt;=500,IF(LEN(INDEX('Our policies'!$Q$4:$Q$503,_calc!$E$96))=0,"",INDEX('Our policies'!$Q$4:$Q$503,_calc!$E$96)),"Medium"))</f>
        <v/>
      </c>
      <c r="F94" s="46">
        <f>IF(_calc!$E$96="","",IF(_calc!$E$96&lt;=500,TRIM(IF(LEN(IF(LEN(INDEX('Our policies'!$B$4:$B$503,_calc!$E$96))=0,"",INDEX('Our policies'!$B$4:$B$503,_calc!$E$96)))=0,"","Cover: "&amp;IF(LEN(INDEX('Our policies'!$B$4:$B$503,_calc!$E$96))=0,"",INDEX('Our policies'!$B$4:$B$503,_calc!$E$96))&amp;". ")&amp;IF(LEN(IF(LEN(INDEX('Our policies'!$C$4:$C$503,_calc!$E$96))=0,"",INDEX('Our policies'!$C$4:$C$503,_calc!$E$96)))=0,"","Insurer: "&amp;IF(LEN(INDEX('Our policies'!$C$4:$C$503,_calc!$E$96))=0,"",INDEX('Our policies'!$C$4:$C$503,_calc!$E$96))&amp;". ")&amp;IF(LEN(IF(LEN(INDEX('Our policies'!$D$4:$D$503,_calc!$E$96))=0,"",INDEX('Our policies'!$D$4:$D$503,_calc!$E$96)))=0,"","Broker: "&amp;IF(LEN(INDEX('Our policies'!$D$4:$D$503,_calc!$E$96))=0,"",INDEX('Our policies'!$D$4:$D$503,_calc!$E$96))&amp;". ")&amp;IF(LEN(IF(LEN(INDEX('Our policies'!$E$4:$E$503,_calc!$E$96))=0,"",INDEX('Our policies'!$E$4:$E$503,_calc!$E$96)))=0,"","Policy no.: "&amp;IF(LEN(INDEX('Our policies'!$E$4:$E$503,_calc!$E$96))=0,"",INDEX('Our policies'!$E$4:$E$503,_calc!$E$96))&amp;". ")&amp;IF(LEN(IF(LEN(INDEX('Our policies'!$S$4:$S$503,_calc!$E$96))=0,"",INDEX('Our policies'!$S$4:$S$503,_calc!$E$96)))=0,"",IF(LEN(INDEX('Our policies'!$S$4:$S$503,_calc!$E$96))=0,"",INDEX('Our policies'!$S$4:$S$503,_calc!$E$96)))),TRIM(IF(LEN(IF(LEN(INDEX('Vendor COIs'!$C$4:$C$503,(_calc!$E$96-500)))=0,"",INDEX('Vendor COIs'!$C$4:$C$503,(_calc!$E$96-500))))=0,"","Insurer: "&amp;IF(LEN(INDEX('Vendor COIs'!$C$4:$C$503,(_calc!$E$96-500)))=0,"",INDEX('Vendor COIs'!$C$4:$C$503,(_calc!$E$96-500)))&amp;". ")&amp;IF(LEN(IF(LEN(INDEX('Vendor COIs'!$D$4:$D$503,(_calc!$E$96-500)))=0,"",INDEX('Vendor COIs'!$D$4:$D$503,(_calc!$E$96-500))))=0,"","Policy no.: "&amp;IF(LEN(INDEX('Vendor COIs'!$D$4:$D$503,(_calc!$E$96-500)))=0,"",INDEX('Vendor COIs'!$D$4:$D$503,(_calc!$E$96-500)))&amp;". ")&amp;IF(LEN(IF(LEN(INDEX('Vendor COIs'!$F$4:$F$503,(_calc!$E$96-500)))=0,"",INDEX('Vendor COIs'!$F$4:$F$503,(_calc!$E$96-500))))=0,"","Meets minimum: "&amp;IF(LEN(INDEX('Vendor COIs'!$F$4:$F$503,(_calc!$E$96-500)))=0,"",INDEX('Vendor COIs'!$F$4:$F$503,(_calc!$E$96-500)))&amp;". ")&amp;IF(LEN(IF(LEN(INDEX('Vendor COIs'!$G$4:$G$503,(_calc!$E$96-500)))=0,"",INDEX('Vendor COIs'!$G$4:$G$503,(_calc!$E$96-500))))=0,"","Additional insured: "&amp;IF(LEN(INDEX('Vendor COIs'!$G$4:$G$503,(_calc!$E$96-500)))=0,"",INDEX('Vendor COIs'!$G$4:$G$503,(_calc!$E$96-500)))&amp;". ")&amp;IF(LEN(IF(LEN(INDEX('Vendor COIs'!$M$4:$M$503,(_calc!$E$96-500)))=0,"",INDEX('Vendor COIs'!$M$4:$M$503,(_calc!$E$96-500))))=0,"","Vendor contact: "&amp;IF(LEN(INDEX('Vendor COIs'!$M$4:$M$503,(_calc!$E$96-500)))=0,"",INDEX('Vendor COIs'!$M$4:$M$503,(_calc!$E$96-500)))&amp;". ")&amp;IF(LEN(IF(LEN(INDEX('Vendor COIs'!$P$4:$P$503,(_calc!$E$96-500)))=0,"",INDEX('Vendor COIs'!$P$4:$P$503,(_calc!$E$96-500))))=0,"",IF(LEN(INDEX('Vendor COIs'!$P$4:$P$503,(_calc!$E$96-500)))=0,"",INDEX('Vendor COIs'!$P$4:$P$503,(_calc!$E$96-500)))))))</f>
        <v/>
      </c>
      <c r="G94" s="46">
        <f>IF(_calc!$E$96="","",IF(_calc!$E$96&lt;=500,IF(LEN(INDEX('Our policies'!$R$4:$R$503,_calc!$E$96))=0,"",INDEX('Our policies'!$R$4:$R$503,_calc!$E$96)),IF(LEN(INDEX('Vendor COIs'!$O$4:$O$503,(_calc!$E$96-500)))=0,"",INDEX('Vendor COIs'!$O$4:$O$503,(_calc!$E$96-500)))))</f>
        <v/>
      </c>
      <c r="H94" s="46">
        <f>IF(_calc!$E$96="","",IF(_calc!$E$96&lt;=500,IF(LEN(INDEX('Our policies'!$G$4:$G$503,_calc!$E$96))=0,"",INDEX('Our policies'!$G$4:$G$503,_calc!$E$96)),""))</f>
        <v/>
      </c>
      <c r="I94" s="46">
        <f>IF(_calc!$E$96="","",IF(_calc!$E$96&lt;=500,IF(LEN(INDEX('Our policies'!$H$4:$H$503,_calc!$E$96))=0,"",INDEX('Our policies'!$H$4:$H$503,_calc!$E$96)),""))</f>
        <v/>
      </c>
      <c r="K94" s="46">
        <f>IF(_calc!$E$96="","",IF(_calc!$E$96&lt;=500,IF(LEN(INDEX('Our policies'!$P$4:$P$503,_calc!$E$96))=0,"",INDEX('Our policies'!$P$4:$P$503,_calc!$E$96)),IF(LEN(INDEX('Vendor COIs'!$N$4:$N$503,(_calc!$E$96-500)))=0,"",INDEX('Vendor COIs'!$N$4:$N$503,(_calc!$E$96-500)))))</f>
        <v/>
      </c>
    </row>
    <row r="95">
      <c r="A95" s="46">
        <f>IF(_calc!$E$97="","",IF(_calc!$E$97&lt;=500,IF(LEN(INDEX('Our policies'!$A$4:$A$503,_calc!$E$97))=0,"",INDEX('Our policies'!$A$4:$A$503,_calc!$E$97)),"COI – "&amp;IF(LEN(INDEX('Vendor COIs'!$A$4:$A$503,(_calc!$E$97-500)))=0,"",INDEX('Vendor COIs'!$A$4:$A$503,(_calc!$E$97-500)))&amp;" – "&amp;IF(LEN(INDEX('Vendor COIs'!$B$4:$B$503,(_calc!$E$97-500)))=0,"",INDEX('Vendor COIs'!$B$4:$B$503,(_calc!$E$97-500)))))</f>
        <v/>
      </c>
      <c r="B95" s="46">
        <f>IF(_calc!$E$97="","",IF(_calc!$E$97&lt;=500,IF(ISNUMBER(INDEX('Our policies'!$J$4:$J$503,_calc!$E$97)),TEXT(INDEX('Our policies'!$J$4:$J$503,_calc!$E$97),"yyyy-mm-dd"),""),IF(ISNUMBER(INDEX('Vendor COIs'!$H$4:$H$503,(_calc!$E$97-500))),TEXT(INDEX('Vendor COIs'!$H$4:$H$503,(_calc!$E$97-500)),"yyyy-mm-dd"),"")))</f>
        <v/>
      </c>
      <c r="C95" s="46">
        <f>IF(_calc!$E$97="","",IF(_calc!$E$97&lt;=500,"Insurance","Certificate of insurance"))</f>
        <v/>
      </c>
      <c r="D95" s="46">
        <f>IF(_calc!$E$97="","",IF(_calc!$E$97&lt;=500,IF(ISNUMBER(INDEX('Our policies'!$I$4:$I$503,_calc!$E$97)),TEXT(INDEX('Our policies'!$I$4:$I$503,_calc!$E$97),"yyyy-mm-dd"),""),""))</f>
        <v/>
      </c>
      <c r="E95" s="46">
        <f>IF(_calc!$E$97="","",IF(_calc!$E$97&lt;=500,IF(LEN(INDEX('Our policies'!$Q$4:$Q$503,_calc!$E$97))=0,"",INDEX('Our policies'!$Q$4:$Q$503,_calc!$E$97)),"Medium"))</f>
        <v/>
      </c>
      <c r="F95" s="46">
        <f>IF(_calc!$E$97="","",IF(_calc!$E$97&lt;=500,TRIM(IF(LEN(IF(LEN(INDEX('Our policies'!$B$4:$B$503,_calc!$E$97))=0,"",INDEX('Our policies'!$B$4:$B$503,_calc!$E$97)))=0,"","Cover: "&amp;IF(LEN(INDEX('Our policies'!$B$4:$B$503,_calc!$E$97))=0,"",INDEX('Our policies'!$B$4:$B$503,_calc!$E$97))&amp;". ")&amp;IF(LEN(IF(LEN(INDEX('Our policies'!$C$4:$C$503,_calc!$E$97))=0,"",INDEX('Our policies'!$C$4:$C$503,_calc!$E$97)))=0,"","Insurer: "&amp;IF(LEN(INDEX('Our policies'!$C$4:$C$503,_calc!$E$97))=0,"",INDEX('Our policies'!$C$4:$C$503,_calc!$E$97))&amp;". ")&amp;IF(LEN(IF(LEN(INDEX('Our policies'!$D$4:$D$503,_calc!$E$97))=0,"",INDEX('Our policies'!$D$4:$D$503,_calc!$E$97)))=0,"","Broker: "&amp;IF(LEN(INDEX('Our policies'!$D$4:$D$503,_calc!$E$97))=0,"",INDEX('Our policies'!$D$4:$D$503,_calc!$E$97))&amp;". ")&amp;IF(LEN(IF(LEN(INDEX('Our policies'!$E$4:$E$503,_calc!$E$97))=0,"",INDEX('Our policies'!$E$4:$E$503,_calc!$E$97)))=0,"","Policy no.: "&amp;IF(LEN(INDEX('Our policies'!$E$4:$E$503,_calc!$E$97))=0,"",INDEX('Our policies'!$E$4:$E$503,_calc!$E$97))&amp;". ")&amp;IF(LEN(IF(LEN(INDEX('Our policies'!$S$4:$S$503,_calc!$E$97))=0,"",INDEX('Our policies'!$S$4:$S$503,_calc!$E$97)))=0,"",IF(LEN(INDEX('Our policies'!$S$4:$S$503,_calc!$E$97))=0,"",INDEX('Our policies'!$S$4:$S$503,_calc!$E$97)))),TRIM(IF(LEN(IF(LEN(INDEX('Vendor COIs'!$C$4:$C$503,(_calc!$E$97-500)))=0,"",INDEX('Vendor COIs'!$C$4:$C$503,(_calc!$E$97-500))))=0,"","Insurer: "&amp;IF(LEN(INDEX('Vendor COIs'!$C$4:$C$503,(_calc!$E$97-500)))=0,"",INDEX('Vendor COIs'!$C$4:$C$503,(_calc!$E$97-500)))&amp;". ")&amp;IF(LEN(IF(LEN(INDEX('Vendor COIs'!$D$4:$D$503,(_calc!$E$97-500)))=0,"",INDEX('Vendor COIs'!$D$4:$D$503,(_calc!$E$97-500))))=0,"","Policy no.: "&amp;IF(LEN(INDEX('Vendor COIs'!$D$4:$D$503,(_calc!$E$97-500)))=0,"",INDEX('Vendor COIs'!$D$4:$D$503,(_calc!$E$97-500)))&amp;". ")&amp;IF(LEN(IF(LEN(INDEX('Vendor COIs'!$F$4:$F$503,(_calc!$E$97-500)))=0,"",INDEX('Vendor COIs'!$F$4:$F$503,(_calc!$E$97-500))))=0,"","Meets minimum: "&amp;IF(LEN(INDEX('Vendor COIs'!$F$4:$F$503,(_calc!$E$97-500)))=0,"",INDEX('Vendor COIs'!$F$4:$F$503,(_calc!$E$97-500)))&amp;". ")&amp;IF(LEN(IF(LEN(INDEX('Vendor COIs'!$G$4:$G$503,(_calc!$E$97-500)))=0,"",INDEX('Vendor COIs'!$G$4:$G$503,(_calc!$E$97-500))))=0,"","Additional insured: "&amp;IF(LEN(INDEX('Vendor COIs'!$G$4:$G$503,(_calc!$E$97-500)))=0,"",INDEX('Vendor COIs'!$G$4:$G$503,(_calc!$E$97-500)))&amp;". ")&amp;IF(LEN(IF(LEN(INDEX('Vendor COIs'!$M$4:$M$503,(_calc!$E$97-500)))=0,"",INDEX('Vendor COIs'!$M$4:$M$503,(_calc!$E$97-500))))=0,"","Vendor contact: "&amp;IF(LEN(INDEX('Vendor COIs'!$M$4:$M$503,(_calc!$E$97-500)))=0,"",INDEX('Vendor COIs'!$M$4:$M$503,(_calc!$E$97-500)))&amp;". ")&amp;IF(LEN(IF(LEN(INDEX('Vendor COIs'!$P$4:$P$503,(_calc!$E$97-500)))=0,"",INDEX('Vendor COIs'!$P$4:$P$503,(_calc!$E$97-500))))=0,"",IF(LEN(INDEX('Vendor COIs'!$P$4:$P$503,(_calc!$E$97-500)))=0,"",INDEX('Vendor COIs'!$P$4:$P$503,(_calc!$E$97-500)))))))</f>
        <v/>
      </c>
      <c r="G95" s="46">
        <f>IF(_calc!$E$97="","",IF(_calc!$E$97&lt;=500,IF(LEN(INDEX('Our policies'!$R$4:$R$503,_calc!$E$97))=0,"",INDEX('Our policies'!$R$4:$R$503,_calc!$E$97)),IF(LEN(INDEX('Vendor COIs'!$O$4:$O$503,(_calc!$E$97-500)))=0,"",INDEX('Vendor COIs'!$O$4:$O$503,(_calc!$E$97-500)))))</f>
        <v/>
      </c>
      <c r="H95" s="46">
        <f>IF(_calc!$E$97="","",IF(_calc!$E$97&lt;=500,IF(LEN(INDEX('Our policies'!$G$4:$G$503,_calc!$E$97))=0,"",INDEX('Our policies'!$G$4:$G$503,_calc!$E$97)),""))</f>
        <v/>
      </c>
      <c r="I95" s="46">
        <f>IF(_calc!$E$97="","",IF(_calc!$E$97&lt;=500,IF(LEN(INDEX('Our policies'!$H$4:$H$503,_calc!$E$97))=0,"",INDEX('Our policies'!$H$4:$H$503,_calc!$E$97)),""))</f>
        <v/>
      </c>
      <c r="K95" s="46">
        <f>IF(_calc!$E$97="","",IF(_calc!$E$97&lt;=500,IF(LEN(INDEX('Our policies'!$P$4:$P$503,_calc!$E$97))=0,"",INDEX('Our policies'!$P$4:$P$503,_calc!$E$97)),IF(LEN(INDEX('Vendor COIs'!$N$4:$N$503,(_calc!$E$97-500)))=0,"",INDEX('Vendor COIs'!$N$4:$N$503,(_calc!$E$97-500)))))</f>
        <v/>
      </c>
    </row>
    <row r="96">
      <c r="A96" s="46">
        <f>IF(_calc!$E$98="","",IF(_calc!$E$98&lt;=500,IF(LEN(INDEX('Our policies'!$A$4:$A$503,_calc!$E$98))=0,"",INDEX('Our policies'!$A$4:$A$503,_calc!$E$98)),"COI – "&amp;IF(LEN(INDEX('Vendor COIs'!$A$4:$A$503,(_calc!$E$98-500)))=0,"",INDEX('Vendor COIs'!$A$4:$A$503,(_calc!$E$98-500)))&amp;" – "&amp;IF(LEN(INDEX('Vendor COIs'!$B$4:$B$503,(_calc!$E$98-500)))=0,"",INDEX('Vendor COIs'!$B$4:$B$503,(_calc!$E$98-500)))))</f>
        <v/>
      </c>
      <c r="B96" s="46">
        <f>IF(_calc!$E$98="","",IF(_calc!$E$98&lt;=500,IF(ISNUMBER(INDEX('Our policies'!$J$4:$J$503,_calc!$E$98)),TEXT(INDEX('Our policies'!$J$4:$J$503,_calc!$E$98),"yyyy-mm-dd"),""),IF(ISNUMBER(INDEX('Vendor COIs'!$H$4:$H$503,(_calc!$E$98-500))),TEXT(INDEX('Vendor COIs'!$H$4:$H$503,(_calc!$E$98-500)),"yyyy-mm-dd"),"")))</f>
        <v/>
      </c>
      <c r="C96" s="46">
        <f>IF(_calc!$E$98="","",IF(_calc!$E$98&lt;=500,"Insurance","Certificate of insurance"))</f>
        <v/>
      </c>
      <c r="D96" s="46">
        <f>IF(_calc!$E$98="","",IF(_calc!$E$98&lt;=500,IF(ISNUMBER(INDEX('Our policies'!$I$4:$I$503,_calc!$E$98)),TEXT(INDEX('Our policies'!$I$4:$I$503,_calc!$E$98),"yyyy-mm-dd"),""),""))</f>
        <v/>
      </c>
      <c r="E96" s="46">
        <f>IF(_calc!$E$98="","",IF(_calc!$E$98&lt;=500,IF(LEN(INDEX('Our policies'!$Q$4:$Q$503,_calc!$E$98))=0,"",INDEX('Our policies'!$Q$4:$Q$503,_calc!$E$98)),"Medium"))</f>
        <v/>
      </c>
      <c r="F96" s="46">
        <f>IF(_calc!$E$98="","",IF(_calc!$E$98&lt;=500,TRIM(IF(LEN(IF(LEN(INDEX('Our policies'!$B$4:$B$503,_calc!$E$98))=0,"",INDEX('Our policies'!$B$4:$B$503,_calc!$E$98)))=0,"","Cover: "&amp;IF(LEN(INDEX('Our policies'!$B$4:$B$503,_calc!$E$98))=0,"",INDEX('Our policies'!$B$4:$B$503,_calc!$E$98))&amp;". ")&amp;IF(LEN(IF(LEN(INDEX('Our policies'!$C$4:$C$503,_calc!$E$98))=0,"",INDEX('Our policies'!$C$4:$C$503,_calc!$E$98)))=0,"","Insurer: "&amp;IF(LEN(INDEX('Our policies'!$C$4:$C$503,_calc!$E$98))=0,"",INDEX('Our policies'!$C$4:$C$503,_calc!$E$98))&amp;". ")&amp;IF(LEN(IF(LEN(INDEX('Our policies'!$D$4:$D$503,_calc!$E$98))=0,"",INDEX('Our policies'!$D$4:$D$503,_calc!$E$98)))=0,"","Broker: "&amp;IF(LEN(INDEX('Our policies'!$D$4:$D$503,_calc!$E$98))=0,"",INDEX('Our policies'!$D$4:$D$503,_calc!$E$98))&amp;". ")&amp;IF(LEN(IF(LEN(INDEX('Our policies'!$E$4:$E$503,_calc!$E$98))=0,"",INDEX('Our policies'!$E$4:$E$503,_calc!$E$98)))=0,"","Policy no.: "&amp;IF(LEN(INDEX('Our policies'!$E$4:$E$503,_calc!$E$98))=0,"",INDEX('Our policies'!$E$4:$E$503,_calc!$E$98))&amp;". ")&amp;IF(LEN(IF(LEN(INDEX('Our policies'!$S$4:$S$503,_calc!$E$98))=0,"",INDEX('Our policies'!$S$4:$S$503,_calc!$E$98)))=0,"",IF(LEN(INDEX('Our policies'!$S$4:$S$503,_calc!$E$98))=0,"",INDEX('Our policies'!$S$4:$S$503,_calc!$E$98)))),TRIM(IF(LEN(IF(LEN(INDEX('Vendor COIs'!$C$4:$C$503,(_calc!$E$98-500)))=0,"",INDEX('Vendor COIs'!$C$4:$C$503,(_calc!$E$98-500))))=0,"","Insurer: "&amp;IF(LEN(INDEX('Vendor COIs'!$C$4:$C$503,(_calc!$E$98-500)))=0,"",INDEX('Vendor COIs'!$C$4:$C$503,(_calc!$E$98-500)))&amp;". ")&amp;IF(LEN(IF(LEN(INDEX('Vendor COIs'!$D$4:$D$503,(_calc!$E$98-500)))=0,"",INDEX('Vendor COIs'!$D$4:$D$503,(_calc!$E$98-500))))=0,"","Policy no.: "&amp;IF(LEN(INDEX('Vendor COIs'!$D$4:$D$503,(_calc!$E$98-500)))=0,"",INDEX('Vendor COIs'!$D$4:$D$503,(_calc!$E$98-500)))&amp;". ")&amp;IF(LEN(IF(LEN(INDEX('Vendor COIs'!$F$4:$F$503,(_calc!$E$98-500)))=0,"",INDEX('Vendor COIs'!$F$4:$F$503,(_calc!$E$98-500))))=0,"","Meets minimum: "&amp;IF(LEN(INDEX('Vendor COIs'!$F$4:$F$503,(_calc!$E$98-500)))=0,"",INDEX('Vendor COIs'!$F$4:$F$503,(_calc!$E$98-500)))&amp;". ")&amp;IF(LEN(IF(LEN(INDEX('Vendor COIs'!$G$4:$G$503,(_calc!$E$98-500)))=0,"",INDEX('Vendor COIs'!$G$4:$G$503,(_calc!$E$98-500))))=0,"","Additional insured: "&amp;IF(LEN(INDEX('Vendor COIs'!$G$4:$G$503,(_calc!$E$98-500)))=0,"",INDEX('Vendor COIs'!$G$4:$G$503,(_calc!$E$98-500)))&amp;". ")&amp;IF(LEN(IF(LEN(INDEX('Vendor COIs'!$M$4:$M$503,(_calc!$E$98-500)))=0,"",INDEX('Vendor COIs'!$M$4:$M$503,(_calc!$E$98-500))))=0,"","Vendor contact: "&amp;IF(LEN(INDEX('Vendor COIs'!$M$4:$M$503,(_calc!$E$98-500)))=0,"",INDEX('Vendor COIs'!$M$4:$M$503,(_calc!$E$98-500)))&amp;". ")&amp;IF(LEN(IF(LEN(INDEX('Vendor COIs'!$P$4:$P$503,(_calc!$E$98-500)))=0,"",INDEX('Vendor COIs'!$P$4:$P$503,(_calc!$E$98-500))))=0,"",IF(LEN(INDEX('Vendor COIs'!$P$4:$P$503,(_calc!$E$98-500)))=0,"",INDEX('Vendor COIs'!$P$4:$P$503,(_calc!$E$98-500)))))))</f>
        <v/>
      </c>
      <c r="G96" s="46">
        <f>IF(_calc!$E$98="","",IF(_calc!$E$98&lt;=500,IF(LEN(INDEX('Our policies'!$R$4:$R$503,_calc!$E$98))=0,"",INDEX('Our policies'!$R$4:$R$503,_calc!$E$98)),IF(LEN(INDEX('Vendor COIs'!$O$4:$O$503,(_calc!$E$98-500)))=0,"",INDEX('Vendor COIs'!$O$4:$O$503,(_calc!$E$98-500)))))</f>
        <v/>
      </c>
      <c r="H96" s="46">
        <f>IF(_calc!$E$98="","",IF(_calc!$E$98&lt;=500,IF(LEN(INDEX('Our policies'!$G$4:$G$503,_calc!$E$98))=0,"",INDEX('Our policies'!$G$4:$G$503,_calc!$E$98)),""))</f>
        <v/>
      </c>
      <c r="I96" s="46">
        <f>IF(_calc!$E$98="","",IF(_calc!$E$98&lt;=500,IF(LEN(INDEX('Our policies'!$H$4:$H$503,_calc!$E$98))=0,"",INDEX('Our policies'!$H$4:$H$503,_calc!$E$98)),""))</f>
        <v/>
      </c>
      <c r="K96" s="46">
        <f>IF(_calc!$E$98="","",IF(_calc!$E$98&lt;=500,IF(LEN(INDEX('Our policies'!$P$4:$P$503,_calc!$E$98))=0,"",INDEX('Our policies'!$P$4:$P$503,_calc!$E$98)),IF(LEN(INDEX('Vendor COIs'!$N$4:$N$503,(_calc!$E$98-500)))=0,"",INDEX('Vendor COIs'!$N$4:$N$503,(_calc!$E$98-500)))))</f>
        <v/>
      </c>
    </row>
    <row r="97">
      <c r="A97" s="46">
        <f>IF(_calc!$E$99="","",IF(_calc!$E$99&lt;=500,IF(LEN(INDEX('Our policies'!$A$4:$A$503,_calc!$E$99))=0,"",INDEX('Our policies'!$A$4:$A$503,_calc!$E$99)),"COI – "&amp;IF(LEN(INDEX('Vendor COIs'!$A$4:$A$503,(_calc!$E$99-500)))=0,"",INDEX('Vendor COIs'!$A$4:$A$503,(_calc!$E$99-500)))&amp;" – "&amp;IF(LEN(INDEX('Vendor COIs'!$B$4:$B$503,(_calc!$E$99-500)))=0,"",INDEX('Vendor COIs'!$B$4:$B$503,(_calc!$E$99-500)))))</f>
        <v/>
      </c>
      <c r="B97" s="46">
        <f>IF(_calc!$E$99="","",IF(_calc!$E$99&lt;=500,IF(ISNUMBER(INDEX('Our policies'!$J$4:$J$503,_calc!$E$99)),TEXT(INDEX('Our policies'!$J$4:$J$503,_calc!$E$99),"yyyy-mm-dd"),""),IF(ISNUMBER(INDEX('Vendor COIs'!$H$4:$H$503,(_calc!$E$99-500))),TEXT(INDEX('Vendor COIs'!$H$4:$H$503,(_calc!$E$99-500)),"yyyy-mm-dd"),"")))</f>
        <v/>
      </c>
      <c r="C97" s="46">
        <f>IF(_calc!$E$99="","",IF(_calc!$E$99&lt;=500,"Insurance","Certificate of insurance"))</f>
        <v/>
      </c>
      <c r="D97" s="46">
        <f>IF(_calc!$E$99="","",IF(_calc!$E$99&lt;=500,IF(ISNUMBER(INDEX('Our policies'!$I$4:$I$503,_calc!$E$99)),TEXT(INDEX('Our policies'!$I$4:$I$503,_calc!$E$99),"yyyy-mm-dd"),""),""))</f>
        <v/>
      </c>
      <c r="E97" s="46">
        <f>IF(_calc!$E$99="","",IF(_calc!$E$99&lt;=500,IF(LEN(INDEX('Our policies'!$Q$4:$Q$503,_calc!$E$99))=0,"",INDEX('Our policies'!$Q$4:$Q$503,_calc!$E$99)),"Medium"))</f>
        <v/>
      </c>
      <c r="F97" s="46">
        <f>IF(_calc!$E$99="","",IF(_calc!$E$99&lt;=500,TRIM(IF(LEN(IF(LEN(INDEX('Our policies'!$B$4:$B$503,_calc!$E$99))=0,"",INDEX('Our policies'!$B$4:$B$503,_calc!$E$99)))=0,"","Cover: "&amp;IF(LEN(INDEX('Our policies'!$B$4:$B$503,_calc!$E$99))=0,"",INDEX('Our policies'!$B$4:$B$503,_calc!$E$99))&amp;". ")&amp;IF(LEN(IF(LEN(INDEX('Our policies'!$C$4:$C$503,_calc!$E$99))=0,"",INDEX('Our policies'!$C$4:$C$503,_calc!$E$99)))=0,"","Insurer: "&amp;IF(LEN(INDEX('Our policies'!$C$4:$C$503,_calc!$E$99))=0,"",INDEX('Our policies'!$C$4:$C$503,_calc!$E$99))&amp;". ")&amp;IF(LEN(IF(LEN(INDEX('Our policies'!$D$4:$D$503,_calc!$E$99))=0,"",INDEX('Our policies'!$D$4:$D$503,_calc!$E$99)))=0,"","Broker: "&amp;IF(LEN(INDEX('Our policies'!$D$4:$D$503,_calc!$E$99))=0,"",INDEX('Our policies'!$D$4:$D$503,_calc!$E$99))&amp;". ")&amp;IF(LEN(IF(LEN(INDEX('Our policies'!$E$4:$E$503,_calc!$E$99))=0,"",INDEX('Our policies'!$E$4:$E$503,_calc!$E$99)))=0,"","Policy no.: "&amp;IF(LEN(INDEX('Our policies'!$E$4:$E$503,_calc!$E$99))=0,"",INDEX('Our policies'!$E$4:$E$503,_calc!$E$99))&amp;". ")&amp;IF(LEN(IF(LEN(INDEX('Our policies'!$S$4:$S$503,_calc!$E$99))=0,"",INDEX('Our policies'!$S$4:$S$503,_calc!$E$99)))=0,"",IF(LEN(INDEX('Our policies'!$S$4:$S$503,_calc!$E$99))=0,"",INDEX('Our policies'!$S$4:$S$503,_calc!$E$99)))),TRIM(IF(LEN(IF(LEN(INDEX('Vendor COIs'!$C$4:$C$503,(_calc!$E$99-500)))=0,"",INDEX('Vendor COIs'!$C$4:$C$503,(_calc!$E$99-500))))=0,"","Insurer: "&amp;IF(LEN(INDEX('Vendor COIs'!$C$4:$C$503,(_calc!$E$99-500)))=0,"",INDEX('Vendor COIs'!$C$4:$C$503,(_calc!$E$99-500)))&amp;". ")&amp;IF(LEN(IF(LEN(INDEX('Vendor COIs'!$D$4:$D$503,(_calc!$E$99-500)))=0,"",INDEX('Vendor COIs'!$D$4:$D$503,(_calc!$E$99-500))))=0,"","Policy no.: "&amp;IF(LEN(INDEX('Vendor COIs'!$D$4:$D$503,(_calc!$E$99-500)))=0,"",INDEX('Vendor COIs'!$D$4:$D$503,(_calc!$E$99-500)))&amp;". ")&amp;IF(LEN(IF(LEN(INDEX('Vendor COIs'!$F$4:$F$503,(_calc!$E$99-500)))=0,"",INDEX('Vendor COIs'!$F$4:$F$503,(_calc!$E$99-500))))=0,"","Meets minimum: "&amp;IF(LEN(INDEX('Vendor COIs'!$F$4:$F$503,(_calc!$E$99-500)))=0,"",INDEX('Vendor COIs'!$F$4:$F$503,(_calc!$E$99-500)))&amp;". ")&amp;IF(LEN(IF(LEN(INDEX('Vendor COIs'!$G$4:$G$503,(_calc!$E$99-500)))=0,"",INDEX('Vendor COIs'!$G$4:$G$503,(_calc!$E$99-500))))=0,"","Additional insured: "&amp;IF(LEN(INDEX('Vendor COIs'!$G$4:$G$503,(_calc!$E$99-500)))=0,"",INDEX('Vendor COIs'!$G$4:$G$503,(_calc!$E$99-500)))&amp;". ")&amp;IF(LEN(IF(LEN(INDEX('Vendor COIs'!$M$4:$M$503,(_calc!$E$99-500)))=0,"",INDEX('Vendor COIs'!$M$4:$M$503,(_calc!$E$99-500))))=0,"","Vendor contact: "&amp;IF(LEN(INDEX('Vendor COIs'!$M$4:$M$503,(_calc!$E$99-500)))=0,"",INDEX('Vendor COIs'!$M$4:$M$503,(_calc!$E$99-500)))&amp;". ")&amp;IF(LEN(IF(LEN(INDEX('Vendor COIs'!$P$4:$P$503,(_calc!$E$99-500)))=0,"",INDEX('Vendor COIs'!$P$4:$P$503,(_calc!$E$99-500))))=0,"",IF(LEN(INDEX('Vendor COIs'!$P$4:$P$503,(_calc!$E$99-500)))=0,"",INDEX('Vendor COIs'!$P$4:$P$503,(_calc!$E$99-500)))))))</f>
        <v/>
      </c>
      <c r="G97" s="46">
        <f>IF(_calc!$E$99="","",IF(_calc!$E$99&lt;=500,IF(LEN(INDEX('Our policies'!$R$4:$R$503,_calc!$E$99))=0,"",INDEX('Our policies'!$R$4:$R$503,_calc!$E$99)),IF(LEN(INDEX('Vendor COIs'!$O$4:$O$503,(_calc!$E$99-500)))=0,"",INDEX('Vendor COIs'!$O$4:$O$503,(_calc!$E$99-500)))))</f>
        <v/>
      </c>
      <c r="H97" s="46">
        <f>IF(_calc!$E$99="","",IF(_calc!$E$99&lt;=500,IF(LEN(INDEX('Our policies'!$G$4:$G$503,_calc!$E$99))=0,"",INDEX('Our policies'!$G$4:$G$503,_calc!$E$99)),""))</f>
        <v/>
      </c>
      <c r="I97" s="46">
        <f>IF(_calc!$E$99="","",IF(_calc!$E$99&lt;=500,IF(LEN(INDEX('Our policies'!$H$4:$H$503,_calc!$E$99))=0,"",INDEX('Our policies'!$H$4:$H$503,_calc!$E$99)),""))</f>
        <v/>
      </c>
      <c r="K97" s="46">
        <f>IF(_calc!$E$99="","",IF(_calc!$E$99&lt;=500,IF(LEN(INDEX('Our policies'!$P$4:$P$503,_calc!$E$99))=0,"",INDEX('Our policies'!$P$4:$P$503,_calc!$E$99)),IF(LEN(INDEX('Vendor COIs'!$N$4:$N$503,(_calc!$E$99-500)))=0,"",INDEX('Vendor COIs'!$N$4:$N$503,(_calc!$E$99-500)))))</f>
        <v/>
      </c>
    </row>
    <row r="98">
      <c r="A98" s="46">
        <f>IF(_calc!$E$100="","",IF(_calc!$E$100&lt;=500,IF(LEN(INDEX('Our policies'!$A$4:$A$503,_calc!$E$100))=0,"",INDEX('Our policies'!$A$4:$A$503,_calc!$E$100)),"COI – "&amp;IF(LEN(INDEX('Vendor COIs'!$A$4:$A$503,(_calc!$E$100-500)))=0,"",INDEX('Vendor COIs'!$A$4:$A$503,(_calc!$E$100-500)))&amp;" – "&amp;IF(LEN(INDEX('Vendor COIs'!$B$4:$B$503,(_calc!$E$100-500)))=0,"",INDEX('Vendor COIs'!$B$4:$B$503,(_calc!$E$100-500)))))</f>
        <v/>
      </c>
      <c r="B98" s="46">
        <f>IF(_calc!$E$100="","",IF(_calc!$E$100&lt;=500,IF(ISNUMBER(INDEX('Our policies'!$J$4:$J$503,_calc!$E$100)),TEXT(INDEX('Our policies'!$J$4:$J$503,_calc!$E$100),"yyyy-mm-dd"),""),IF(ISNUMBER(INDEX('Vendor COIs'!$H$4:$H$503,(_calc!$E$100-500))),TEXT(INDEX('Vendor COIs'!$H$4:$H$503,(_calc!$E$100-500)),"yyyy-mm-dd"),"")))</f>
        <v/>
      </c>
      <c r="C98" s="46">
        <f>IF(_calc!$E$100="","",IF(_calc!$E$100&lt;=500,"Insurance","Certificate of insurance"))</f>
        <v/>
      </c>
      <c r="D98" s="46">
        <f>IF(_calc!$E$100="","",IF(_calc!$E$100&lt;=500,IF(ISNUMBER(INDEX('Our policies'!$I$4:$I$503,_calc!$E$100)),TEXT(INDEX('Our policies'!$I$4:$I$503,_calc!$E$100),"yyyy-mm-dd"),""),""))</f>
        <v/>
      </c>
      <c r="E98" s="46">
        <f>IF(_calc!$E$100="","",IF(_calc!$E$100&lt;=500,IF(LEN(INDEX('Our policies'!$Q$4:$Q$503,_calc!$E$100))=0,"",INDEX('Our policies'!$Q$4:$Q$503,_calc!$E$100)),"Medium"))</f>
        <v/>
      </c>
      <c r="F98" s="46">
        <f>IF(_calc!$E$100="","",IF(_calc!$E$100&lt;=500,TRIM(IF(LEN(IF(LEN(INDEX('Our policies'!$B$4:$B$503,_calc!$E$100))=0,"",INDEX('Our policies'!$B$4:$B$503,_calc!$E$100)))=0,"","Cover: "&amp;IF(LEN(INDEX('Our policies'!$B$4:$B$503,_calc!$E$100))=0,"",INDEX('Our policies'!$B$4:$B$503,_calc!$E$100))&amp;". ")&amp;IF(LEN(IF(LEN(INDEX('Our policies'!$C$4:$C$503,_calc!$E$100))=0,"",INDEX('Our policies'!$C$4:$C$503,_calc!$E$100)))=0,"","Insurer: "&amp;IF(LEN(INDEX('Our policies'!$C$4:$C$503,_calc!$E$100))=0,"",INDEX('Our policies'!$C$4:$C$503,_calc!$E$100))&amp;". ")&amp;IF(LEN(IF(LEN(INDEX('Our policies'!$D$4:$D$503,_calc!$E$100))=0,"",INDEX('Our policies'!$D$4:$D$503,_calc!$E$100)))=0,"","Broker: "&amp;IF(LEN(INDEX('Our policies'!$D$4:$D$503,_calc!$E$100))=0,"",INDEX('Our policies'!$D$4:$D$503,_calc!$E$100))&amp;". ")&amp;IF(LEN(IF(LEN(INDEX('Our policies'!$E$4:$E$503,_calc!$E$100))=0,"",INDEX('Our policies'!$E$4:$E$503,_calc!$E$100)))=0,"","Policy no.: "&amp;IF(LEN(INDEX('Our policies'!$E$4:$E$503,_calc!$E$100))=0,"",INDEX('Our policies'!$E$4:$E$503,_calc!$E$100))&amp;". ")&amp;IF(LEN(IF(LEN(INDEX('Our policies'!$S$4:$S$503,_calc!$E$100))=0,"",INDEX('Our policies'!$S$4:$S$503,_calc!$E$100)))=0,"",IF(LEN(INDEX('Our policies'!$S$4:$S$503,_calc!$E$100))=0,"",INDEX('Our policies'!$S$4:$S$503,_calc!$E$100)))),TRIM(IF(LEN(IF(LEN(INDEX('Vendor COIs'!$C$4:$C$503,(_calc!$E$100-500)))=0,"",INDEX('Vendor COIs'!$C$4:$C$503,(_calc!$E$100-500))))=0,"","Insurer: "&amp;IF(LEN(INDEX('Vendor COIs'!$C$4:$C$503,(_calc!$E$100-500)))=0,"",INDEX('Vendor COIs'!$C$4:$C$503,(_calc!$E$100-500)))&amp;". ")&amp;IF(LEN(IF(LEN(INDEX('Vendor COIs'!$D$4:$D$503,(_calc!$E$100-500)))=0,"",INDEX('Vendor COIs'!$D$4:$D$503,(_calc!$E$100-500))))=0,"","Policy no.: "&amp;IF(LEN(INDEX('Vendor COIs'!$D$4:$D$503,(_calc!$E$100-500)))=0,"",INDEX('Vendor COIs'!$D$4:$D$503,(_calc!$E$100-500)))&amp;". ")&amp;IF(LEN(IF(LEN(INDEX('Vendor COIs'!$F$4:$F$503,(_calc!$E$100-500)))=0,"",INDEX('Vendor COIs'!$F$4:$F$503,(_calc!$E$100-500))))=0,"","Meets minimum: "&amp;IF(LEN(INDEX('Vendor COIs'!$F$4:$F$503,(_calc!$E$100-500)))=0,"",INDEX('Vendor COIs'!$F$4:$F$503,(_calc!$E$100-500)))&amp;". ")&amp;IF(LEN(IF(LEN(INDEX('Vendor COIs'!$G$4:$G$503,(_calc!$E$100-500)))=0,"",INDEX('Vendor COIs'!$G$4:$G$503,(_calc!$E$100-500))))=0,"","Additional insured: "&amp;IF(LEN(INDEX('Vendor COIs'!$G$4:$G$503,(_calc!$E$100-500)))=0,"",INDEX('Vendor COIs'!$G$4:$G$503,(_calc!$E$100-500)))&amp;". ")&amp;IF(LEN(IF(LEN(INDEX('Vendor COIs'!$M$4:$M$503,(_calc!$E$100-500)))=0,"",INDEX('Vendor COIs'!$M$4:$M$503,(_calc!$E$100-500))))=0,"","Vendor contact: "&amp;IF(LEN(INDEX('Vendor COIs'!$M$4:$M$503,(_calc!$E$100-500)))=0,"",INDEX('Vendor COIs'!$M$4:$M$503,(_calc!$E$100-500)))&amp;". ")&amp;IF(LEN(IF(LEN(INDEX('Vendor COIs'!$P$4:$P$503,(_calc!$E$100-500)))=0,"",INDEX('Vendor COIs'!$P$4:$P$503,(_calc!$E$100-500))))=0,"",IF(LEN(INDEX('Vendor COIs'!$P$4:$P$503,(_calc!$E$100-500)))=0,"",INDEX('Vendor COIs'!$P$4:$P$503,(_calc!$E$100-500)))))))</f>
        <v/>
      </c>
      <c r="G98" s="46">
        <f>IF(_calc!$E$100="","",IF(_calc!$E$100&lt;=500,IF(LEN(INDEX('Our policies'!$R$4:$R$503,_calc!$E$100))=0,"",INDEX('Our policies'!$R$4:$R$503,_calc!$E$100)),IF(LEN(INDEX('Vendor COIs'!$O$4:$O$503,(_calc!$E$100-500)))=0,"",INDEX('Vendor COIs'!$O$4:$O$503,(_calc!$E$100-500)))))</f>
        <v/>
      </c>
      <c r="H98" s="46">
        <f>IF(_calc!$E$100="","",IF(_calc!$E$100&lt;=500,IF(LEN(INDEX('Our policies'!$G$4:$G$503,_calc!$E$100))=0,"",INDEX('Our policies'!$G$4:$G$503,_calc!$E$100)),""))</f>
        <v/>
      </c>
      <c r="I98" s="46">
        <f>IF(_calc!$E$100="","",IF(_calc!$E$100&lt;=500,IF(LEN(INDEX('Our policies'!$H$4:$H$503,_calc!$E$100))=0,"",INDEX('Our policies'!$H$4:$H$503,_calc!$E$100)),""))</f>
        <v/>
      </c>
      <c r="K98" s="46">
        <f>IF(_calc!$E$100="","",IF(_calc!$E$100&lt;=500,IF(LEN(INDEX('Our policies'!$P$4:$P$503,_calc!$E$100))=0,"",INDEX('Our policies'!$P$4:$P$503,_calc!$E$100)),IF(LEN(INDEX('Vendor COIs'!$N$4:$N$503,(_calc!$E$100-500)))=0,"",INDEX('Vendor COIs'!$N$4:$N$503,(_calc!$E$100-500)))))</f>
        <v/>
      </c>
    </row>
    <row r="99">
      <c r="A99" s="46">
        <f>IF(_calc!$E$101="","",IF(_calc!$E$101&lt;=500,IF(LEN(INDEX('Our policies'!$A$4:$A$503,_calc!$E$101))=0,"",INDEX('Our policies'!$A$4:$A$503,_calc!$E$101)),"COI – "&amp;IF(LEN(INDEX('Vendor COIs'!$A$4:$A$503,(_calc!$E$101-500)))=0,"",INDEX('Vendor COIs'!$A$4:$A$503,(_calc!$E$101-500)))&amp;" – "&amp;IF(LEN(INDEX('Vendor COIs'!$B$4:$B$503,(_calc!$E$101-500)))=0,"",INDEX('Vendor COIs'!$B$4:$B$503,(_calc!$E$101-500)))))</f>
        <v/>
      </c>
      <c r="B99" s="46">
        <f>IF(_calc!$E$101="","",IF(_calc!$E$101&lt;=500,IF(ISNUMBER(INDEX('Our policies'!$J$4:$J$503,_calc!$E$101)),TEXT(INDEX('Our policies'!$J$4:$J$503,_calc!$E$101),"yyyy-mm-dd"),""),IF(ISNUMBER(INDEX('Vendor COIs'!$H$4:$H$503,(_calc!$E$101-500))),TEXT(INDEX('Vendor COIs'!$H$4:$H$503,(_calc!$E$101-500)),"yyyy-mm-dd"),"")))</f>
        <v/>
      </c>
      <c r="C99" s="46">
        <f>IF(_calc!$E$101="","",IF(_calc!$E$101&lt;=500,"Insurance","Certificate of insurance"))</f>
        <v/>
      </c>
      <c r="D99" s="46">
        <f>IF(_calc!$E$101="","",IF(_calc!$E$101&lt;=500,IF(ISNUMBER(INDEX('Our policies'!$I$4:$I$503,_calc!$E$101)),TEXT(INDEX('Our policies'!$I$4:$I$503,_calc!$E$101),"yyyy-mm-dd"),""),""))</f>
        <v/>
      </c>
      <c r="E99" s="46">
        <f>IF(_calc!$E$101="","",IF(_calc!$E$101&lt;=500,IF(LEN(INDEX('Our policies'!$Q$4:$Q$503,_calc!$E$101))=0,"",INDEX('Our policies'!$Q$4:$Q$503,_calc!$E$101)),"Medium"))</f>
        <v/>
      </c>
      <c r="F99" s="46">
        <f>IF(_calc!$E$101="","",IF(_calc!$E$101&lt;=500,TRIM(IF(LEN(IF(LEN(INDEX('Our policies'!$B$4:$B$503,_calc!$E$101))=0,"",INDEX('Our policies'!$B$4:$B$503,_calc!$E$101)))=0,"","Cover: "&amp;IF(LEN(INDEX('Our policies'!$B$4:$B$503,_calc!$E$101))=0,"",INDEX('Our policies'!$B$4:$B$503,_calc!$E$101))&amp;". ")&amp;IF(LEN(IF(LEN(INDEX('Our policies'!$C$4:$C$503,_calc!$E$101))=0,"",INDEX('Our policies'!$C$4:$C$503,_calc!$E$101)))=0,"","Insurer: "&amp;IF(LEN(INDEX('Our policies'!$C$4:$C$503,_calc!$E$101))=0,"",INDEX('Our policies'!$C$4:$C$503,_calc!$E$101))&amp;". ")&amp;IF(LEN(IF(LEN(INDEX('Our policies'!$D$4:$D$503,_calc!$E$101))=0,"",INDEX('Our policies'!$D$4:$D$503,_calc!$E$101)))=0,"","Broker: "&amp;IF(LEN(INDEX('Our policies'!$D$4:$D$503,_calc!$E$101))=0,"",INDEX('Our policies'!$D$4:$D$503,_calc!$E$101))&amp;". ")&amp;IF(LEN(IF(LEN(INDEX('Our policies'!$E$4:$E$503,_calc!$E$101))=0,"",INDEX('Our policies'!$E$4:$E$503,_calc!$E$101)))=0,"","Policy no.: "&amp;IF(LEN(INDEX('Our policies'!$E$4:$E$503,_calc!$E$101))=0,"",INDEX('Our policies'!$E$4:$E$503,_calc!$E$101))&amp;". ")&amp;IF(LEN(IF(LEN(INDEX('Our policies'!$S$4:$S$503,_calc!$E$101))=0,"",INDEX('Our policies'!$S$4:$S$503,_calc!$E$101)))=0,"",IF(LEN(INDEX('Our policies'!$S$4:$S$503,_calc!$E$101))=0,"",INDEX('Our policies'!$S$4:$S$503,_calc!$E$101)))),TRIM(IF(LEN(IF(LEN(INDEX('Vendor COIs'!$C$4:$C$503,(_calc!$E$101-500)))=0,"",INDEX('Vendor COIs'!$C$4:$C$503,(_calc!$E$101-500))))=0,"","Insurer: "&amp;IF(LEN(INDEX('Vendor COIs'!$C$4:$C$503,(_calc!$E$101-500)))=0,"",INDEX('Vendor COIs'!$C$4:$C$503,(_calc!$E$101-500)))&amp;". ")&amp;IF(LEN(IF(LEN(INDEX('Vendor COIs'!$D$4:$D$503,(_calc!$E$101-500)))=0,"",INDEX('Vendor COIs'!$D$4:$D$503,(_calc!$E$101-500))))=0,"","Policy no.: "&amp;IF(LEN(INDEX('Vendor COIs'!$D$4:$D$503,(_calc!$E$101-500)))=0,"",INDEX('Vendor COIs'!$D$4:$D$503,(_calc!$E$101-500)))&amp;". ")&amp;IF(LEN(IF(LEN(INDEX('Vendor COIs'!$F$4:$F$503,(_calc!$E$101-500)))=0,"",INDEX('Vendor COIs'!$F$4:$F$503,(_calc!$E$101-500))))=0,"","Meets minimum: "&amp;IF(LEN(INDEX('Vendor COIs'!$F$4:$F$503,(_calc!$E$101-500)))=0,"",INDEX('Vendor COIs'!$F$4:$F$503,(_calc!$E$101-500)))&amp;". ")&amp;IF(LEN(IF(LEN(INDEX('Vendor COIs'!$G$4:$G$503,(_calc!$E$101-500)))=0,"",INDEX('Vendor COIs'!$G$4:$G$503,(_calc!$E$101-500))))=0,"","Additional insured: "&amp;IF(LEN(INDEX('Vendor COIs'!$G$4:$G$503,(_calc!$E$101-500)))=0,"",INDEX('Vendor COIs'!$G$4:$G$503,(_calc!$E$101-500)))&amp;". ")&amp;IF(LEN(IF(LEN(INDEX('Vendor COIs'!$M$4:$M$503,(_calc!$E$101-500)))=0,"",INDEX('Vendor COIs'!$M$4:$M$503,(_calc!$E$101-500))))=0,"","Vendor contact: "&amp;IF(LEN(INDEX('Vendor COIs'!$M$4:$M$503,(_calc!$E$101-500)))=0,"",INDEX('Vendor COIs'!$M$4:$M$503,(_calc!$E$101-500)))&amp;". ")&amp;IF(LEN(IF(LEN(INDEX('Vendor COIs'!$P$4:$P$503,(_calc!$E$101-500)))=0,"",INDEX('Vendor COIs'!$P$4:$P$503,(_calc!$E$101-500))))=0,"",IF(LEN(INDEX('Vendor COIs'!$P$4:$P$503,(_calc!$E$101-500)))=0,"",INDEX('Vendor COIs'!$P$4:$P$503,(_calc!$E$101-500)))))))</f>
        <v/>
      </c>
      <c r="G99" s="46">
        <f>IF(_calc!$E$101="","",IF(_calc!$E$101&lt;=500,IF(LEN(INDEX('Our policies'!$R$4:$R$503,_calc!$E$101))=0,"",INDEX('Our policies'!$R$4:$R$503,_calc!$E$101)),IF(LEN(INDEX('Vendor COIs'!$O$4:$O$503,(_calc!$E$101-500)))=0,"",INDEX('Vendor COIs'!$O$4:$O$503,(_calc!$E$101-500)))))</f>
        <v/>
      </c>
      <c r="H99" s="46">
        <f>IF(_calc!$E$101="","",IF(_calc!$E$101&lt;=500,IF(LEN(INDEX('Our policies'!$G$4:$G$503,_calc!$E$101))=0,"",INDEX('Our policies'!$G$4:$G$503,_calc!$E$101)),""))</f>
        <v/>
      </c>
      <c r="I99" s="46">
        <f>IF(_calc!$E$101="","",IF(_calc!$E$101&lt;=500,IF(LEN(INDEX('Our policies'!$H$4:$H$503,_calc!$E$101))=0,"",INDEX('Our policies'!$H$4:$H$503,_calc!$E$101)),""))</f>
        <v/>
      </c>
      <c r="K99" s="46">
        <f>IF(_calc!$E$101="","",IF(_calc!$E$101&lt;=500,IF(LEN(INDEX('Our policies'!$P$4:$P$503,_calc!$E$101))=0,"",INDEX('Our policies'!$P$4:$P$503,_calc!$E$101)),IF(LEN(INDEX('Vendor COIs'!$N$4:$N$503,(_calc!$E$101-500)))=0,"",INDEX('Vendor COIs'!$N$4:$N$503,(_calc!$E$101-500)))))</f>
        <v/>
      </c>
    </row>
    <row r="100">
      <c r="A100" s="46">
        <f>IF(_calc!$E$102="","",IF(_calc!$E$102&lt;=500,IF(LEN(INDEX('Our policies'!$A$4:$A$503,_calc!$E$102))=0,"",INDEX('Our policies'!$A$4:$A$503,_calc!$E$102)),"COI – "&amp;IF(LEN(INDEX('Vendor COIs'!$A$4:$A$503,(_calc!$E$102-500)))=0,"",INDEX('Vendor COIs'!$A$4:$A$503,(_calc!$E$102-500)))&amp;" – "&amp;IF(LEN(INDEX('Vendor COIs'!$B$4:$B$503,(_calc!$E$102-500)))=0,"",INDEX('Vendor COIs'!$B$4:$B$503,(_calc!$E$102-500)))))</f>
        <v/>
      </c>
      <c r="B100" s="46">
        <f>IF(_calc!$E$102="","",IF(_calc!$E$102&lt;=500,IF(ISNUMBER(INDEX('Our policies'!$J$4:$J$503,_calc!$E$102)),TEXT(INDEX('Our policies'!$J$4:$J$503,_calc!$E$102),"yyyy-mm-dd"),""),IF(ISNUMBER(INDEX('Vendor COIs'!$H$4:$H$503,(_calc!$E$102-500))),TEXT(INDEX('Vendor COIs'!$H$4:$H$503,(_calc!$E$102-500)),"yyyy-mm-dd"),"")))</f>
        <v/>
      </c>
      <c r="C100" s="46">
        <f>IF(_calc!$E$102="","",IF(_calc!$E$102&lt;=500,"Insurance","Certificate of insurance"))</f>
        <v/>
      </c>
      <c r="D100" s="46">
        <f>IF(_calc!$E$102="","",IF(_calc!$E$102&lt;=500,IF(ISNUMBER(INDEX('Our policies'!$I$4:$I$503,_calc!$E$102)),TEXT(INDEX('Our policies'!$I$4:$I$503,_calc!$E$102),"yyyy-mm-dd"),""),""))</f>
        <v/>
      </c>
      <c r="E100" s="46">
        <f>IF(_calc!$E$102="","",IF(_calc!$E$102&lt;=500,IF(LEN(INDEX('Our policies'!$Q$4:$Q$503,_calc!$E$102))=0,"",INDEX('Our policies'!$Q$4:$Q$503,_calc!$E$102)),"Medium"))</f>
        <v/>
      </c>
      <c r="F100" s="46">
        <f>IF(_calc!$E$102="","",IF(_calc!$E$102&lt;=500,TRIM(IF(LEN(IF(LEN(INDEX('Our policies'!$B$4:$B$503,_calc!$E$102))=0,"",INDEX('Our policies'!$B$4:$B$503,_calc!$E$102)))=0,"","Cover: "&amp;IF(LEN(INDEX('Our policies'!$B$4:$B$503,_calc!$E$102))=0,"",INDEX('Our policies'!$B$4:$B$503,_calc!$E$102))&amp;". ")&amp;IF(LEN(IF(LEN(INDEX('Our policies'!$C$4:$C$503,_calc!$E$102))=0,"",INDEX('Our policies'!$C$4:$C$503,_calc!$E$102)))=0,"","Insurer: "&amp;IF(LEN(INDEX('Our policies'!$C$4:$C$503,_calc!$E$102))=0,"",INDEX('Our policies'!$C$4:$C$503,_calc!$E$102))&amp;". ")&amp;IF(LEN(IF(LEN(INDEX('Our policies'!$D$4:$D$503,_calc!$E$102))=0,"",INDEX('Our policies'!$D$4:$D$503,_calc!$E$102)))=0,"","Broker: "&amp;IF(LEN(INDEX('Our policies'!$D$4:$D$503,_calc!$E$102))=0,"",INDEX('Our policies'!$D$4:$D$503,_calc!$E$102))&amp;". ")&amp;IF(LEN(IF(LEN(INDEX('Our policies'!$E$4:$E$503,_calc!$E$102))=0,"",INDEX('Our policies'!$E$4:$E$503,_calc!$E$102)))=0,"","Policy no.: "&amp;IF(LEN(INDEX('Our policies'!$E$4:$E$503,_calc!$E$102))=0,"",INDEX('Our policies'!$E$4:$E$503,_calc!$E$102))&amp;". ")&amp;IF(LEN(IF(LEN(INDEX('Our policies'!$S$4:$S$503,_calc!$E$102))=0,"",INDEX('Our policies'!$S$4:$S$503,_calc!$E$102)))=0,"",IF(LEN(INDEX('Our policies'!$S$4:$S$503,_calc!$E$102))=0,"",INDEX('Our policies'!$S$4:$S$503,_calc!$E$102)))),TRIM(IF(LEN(IF(LEN(INDEX('Vendor COIs'!$C$4:$C$503,(_calc!$E$102-500)))=0,"",INDEX('Vendor COIs'!$C$4:$C$503,(_calc!$E$102-500))))=0,"","Insurer: "&amp;IF(LEN(INDEX('Vendor COIs'!$C$4:$C$503,(_calc!$E$102-500)))=0,"",INDEX('Vendor COIs'!$C$4:$C$503,(_calc!$E$102-500)))&amp;". ")&amp;IF(LEN(IF(LEN(INDEX('Vendor COIs'!$D$4:$D$503,(_calc!$E$102-500)))=0,"",INDEX('Vendor COIs'!$D$4:$D$503,(_calc!$E$102-500))))=0,"","Policy no.: "&amp;IF(LEN(INDEX('Vendor COIs'!$D$4:$D$503,(_calc!$E$102-500)))=0,"",INDEX('Vendor COIs'!$D$4:$D$503,(_calc!$E$102-500)))&amp;". ")&amp;IF(LEN(IF(LEN(INDEX('Vendor COIs'!$F$4:$F$503,(_calc!$E$102-500)))=0,"",INDEX('Vendor COIs'!$F$4:$F$503,(_calc!$E$102-500))))=0,"","Meets minimum: "&amp;IF(LEN(INDEX('Vendor COIs'!$F$4:$F$503,(_calc!$E$102-500)))=0,"",INDEX('Vendor COIs'!$F$4:$F$503,(_calc!$E$102-500)))&amp;". ")&amp;IF(LEN(IF(LEN(INDEX('Vendor COIs'!$G$4:$G$503,(_calc!$E$102-500)))=0,"",INDEX('Vendor COIs'!$G$4:$G$503,(_calc!$E$102-500))))=0,"","Additional insured: "&amp;IF(LEN(INDEX('Vendor COIs'!$G$4:$G$503,(_calc!$E$102-500)))=0,"",INDEX('Vendor COIs'!$G$4:$G$503,(_calc!$E$102-500)))&amp;". ")&amp;IF(LEN(IF(LEN(INDEX('Vendor COIs'!$M$4:$M$503,(_calc!$E$102-500)))=0,"",INDEX('Vendor COIs'!$M$4:$M$503,(_calc!$E$102-500))))=0,"","Vendor contact: "&amp;IF(LEN(INDEX('Vendor COIs'!$M$4:$M$503,(_calc!$E$102-500)))=0,"",INDEX('Vendor COIs'!$M$4:$M$503,(_calc!$E$102-500)))&amp;". ")&amp;IF(LEN(IF(LEN(INDEX('Vendor COIs'!$P$4:$P$503,(_calc!$E$102-500)))=0,"",INDEX('Vendor COIs'!$P$4:$P$503,(_calc!$E$102-500))))=0,"",IF(LEN(INDEX('Vendor COIs'!$P$4:$P$503,(_calc!$E$102-500)))=0,"",INDEX('Vendor COIs'!$P$4:$P$503,(_calc!$E$102-500)))))))</f>
        <v/>
      </c>
      <c r="G100" s="46">
        <f>IF(_calc!$E$102="","",IF(_calc!$E$102&lt;=500,IF(LEN(INDEX('Our policies'!$R$4:$R$503,_calc!$E$102))=0,"",INDEX('Our policies'!$R$4:$R$503,_calc!$E$102)),IF(LEN(INDEX('Vendor COIs'!$O$4:$O$503,(_calc!$E$102-500)))=0,"",INDEX('Vendor COIs'!$O$4:$O$503,(_calc!$E$102-500)))))</f>
        <v/>
      </c>
      <c r="H100" s="46">
        <f>IF(_calc!$E$102="","",IF(_calc!$E$102&lt;=500,IF(LEN(INDEX('Our policies'!$G$4:$G$503,_calc!$E$102))=0,"",INDEX('Our policies'!$G$4:$G$503,_calc!$E$102)),""))</f>
        <v/>
      </c>
      <c r="I100" s="46">
        <f>IF(_calc!$E$102="","",IF(_calc!$E$102&lt;=500,IF(LEN(INDEX('Our policies'!$H$4:$H$503,_calc!$E$102))=0,"",INDEX('Our policies'!$H$4:$H$503,_calc!$E$102)),""))</f>
        <v/>
      </c>
      <c r="K100" s="46">
        <f>IF(_calc!$E$102="","",IF(_calc!$E$102&lt;=500,IF(LEN(INDEX('Our policies'!$P$4:$P$503,_calc!$E$102))=0,"",INDEX('Our policies'!$P$4:$P$503,_calc!$E$102)),IF(LEN(INDEX('Vendor COIs'!$N$4:$N$503,(_calc!$E$102-500)))=0,"",INDEX('Vendor COIs'!$N$4:$N$503,(_calc!$E$102-500)))))</f>
        <v/>
      </c>
    </row>
    <row r="101">
      <c r="A101" s="46">
        <f>IF(_calc!$E$103="","",IF(_calc!$E$103&lt;=500,IF(LEN(INDEX('Our policies'!$A$4:$A$503,_calc!$E$103))=0,"",INDEX('Our policies'!$A$4:$A$503,_calc!$E$103)),"COI – "&amp;IF(LEN(INDEX('Vendor COIs'!$A$4:$A$503,(_calc!$E$103-500)))=0,"",INDEX('Vendor COIs'!$A$4:$A$503,(_calc!$E$103-500)))&amp;" – "&amp;IF(LEN(INDEX('Vendor COIs'!$B$4:$B$503,(_calc!$E$103-500)))=0,"",INDEX('Vendor COIs'!$B$4:$B$503,(_calc!$E$103-500)))))</f>
        <v/>
      </c>
      <c r="B101" s="46">
        <f>IF(_calc!$E$103="","",IF(_calc!$E$103&lt;=500,IF(ISNUMBER(INDEX('Our policies'!$J$4:$J$503,_calc!$E$103)),TEXT(INDEX('Our policies'!$J$4:$J$503,_calc!$E$103),"yyyy-mm-dd"),""),IF(ISNUMBER(INDEX('Vendor COIs'!$H$4:$H$503,(_calc!$E$103-500))),TEXT(INDEX('Vendor COIs'!$H$4:$H$503,(_calc!$E$103-500)),"yyyy-mm-dd"),"")))</f>
        <v/>
      </c>
      <c r="C101" s="46">
        <f>IF(_calc!$E$103="","",IF(_calc!$E$103&lt;=500,"Insurance","Certificate of insurance"))</f>
        <v/>
      </c>
      <c r="D101" s="46">
        <f>IF(_calc!$E$103="","",IF(_calc!$E$103&lt;=500,IF(ISNUMBER(INDEX('Our policies'!$I$4:$I$503,_calc!$E$103)),TEXT(INDEX('Our policies'!$I$4:$I$503,_calc!$E$103),"yyyy-mm-dd"),""),""))</f>
        <v/>
      </c>
      <c r="E101" s="46">
        <f>IF(_calc!$E$103="","",IF(_calc!$E$103&lt;=500,IF(LEN(INDEX('Our policies'!$Q$4:$Q$503,_calc!$E$103))=0,"",INDEX('Our policies'!$Q$4:$Q$503,_calc!$E$103)),"Medium"))</f>
        <v/>
      </c>
      <c r="F101" s="46">
        <f>IF(_calc!$E$103="","",IF(_calc!$E$103&lt;=500,TRIM(IF(LEN(IF(LEN(INDEX('Our policies'!$B$4:$B$503,_calc!$E$103))=0,"",INDEX('Our policies'!$B$4:$B$503,_calc!$E$103)))=0,"","Cover: "&amp;IF(LEN(INDEX('Our policies'!$B$4:$B$503,_calc!$E$103))=0,"",INDEX('Our policies'!$B$4:$B$503,_calc!$E$103))&amp;". ")&amp;IF(LEN(IF(LEN(INDEX('Our policies'!$C$4:$C$503,_calc!$E$103))=0,"",INDEX('Our policies'!$C$4:$C$503,_calc!$E$103)))=0,"","Insurer: "&amp;IF(LEN(INDEX('Our policies'!$C$4:$C$503,_calc!$E$103))=0,"",INDEX('Our policies'!$C$4:$C$503,_calc!$E$103))&amp;". ")&amp;IF(LEN(IF(LEN(INDEX('Our policies'!$D$4:$D$503,_calc!$E$103))=0,"",INDEX('Our policies'!$D$4:$D$503,_calc!$E$103)))=0,"","Broker: "&amp;IF(LEN(INDEX('Our policies'!$D$4:$D$503,_calc!$E$103))=0,"",INDEX('Our policies'!$D$4:$D$503,_calc!$E$103))&amp;". ")&amp;IF(LEN(IF(LEN(INDEX('Our policies'!$E$4:$E$503,_calc!$E$103))=0,"",INDEX('Our policies'!$E$4:$E$503,_calc!$E$103)))=0,"","Policy no.: "&amp;IF(LEN(INDEX('Our policies'!$E$4:$E$503,_calc!$E$103))=0,"",INDEX('Our policies'!$E$4:$E$503,_calc!$E$103))&amp;". ")&amp;IF(LEN(IF(LEN(INDEX('Our policies'!$S$4:$S$503,_calc!$E$103))=0,"",INDEX('Our policies'!$S$4:$S$503,_calc!$E$103)))=0,"",IF(LEN(INDEX('Our policies'!$S$4:$S$503,_calc!$E$103))=0,"",INDEX('Our policies'!$S$4:$S$503,_calc!$E$103)))),TRIM(IF(LEN(IF(LEN(INDEX('Vendor COIs'!$C$4:$C$503,(_calc!$E$103-500)))=0,"",INDEX('Vendor COIs'!$C$4:$C$503,(_calc!$E$103-500))))=0,"","Insurer: "&amp;IF(LEN(INDEX('Vendor COIs'!$C$4:$C$503,(_calc!$E$103-500)))=0,"",INDEX('Vendor COIs'!$C$4:$C$503,(_calc!$E$103-500)))&amp;". ")&amp;IF(LEN(IF(LEN(INDEX('Vendor COIs'!$D$4:$D$503,(_calc!$E$103-500)))=0,"",INDEX('Vendor COIs'!$D$4:$D$503,(_calc!$E$103-500))))=0,"","Policy no.: "&amp;IF(LEN(INDEX('Vendor COIs'!$D$4:$D$503,(_calc!$E$103-500)))=0,"",INDEX('Vendor COIs'!$D$4:$D$503,(_calc!$E$103-500)))&amp;". ")&amp;IF(LEN(IF(LEN(INDEX('Vendor COIs'!$F$4:$F$503,(_calc!$E$103-500)))=0,"",INDEX('Vendor COIs'!$F$4:$F$503,(_calc!$E$103-500))))=0,"","Meets minimum: "&amp;IF(LEN(INDEX('Vendor COIs'!$F$4:$F$503,(_calc!$E$103-500)))=0,"",INDEX('Vendor COIs'!$F$4:$F$503,(_calc!$E$103-500)))&amp;". ")&amp;IF(LEN(IF(LEN(INDEX('Vendor COIs'!$G$4:$G$503,(_calc!$E$103-500)))=0,"",INDEX('Vendor COIs'!$G$4:$G$503,(_calc!$E$103-500))))=0,"","Additional insured: "&amp;IF(LEN(INDEX('Vendor COIs'!$G$4:$G$503,(_calc!$E$103-500)))=0,"",INDEX('Vendor COIs'!$G$4:$G$503,(_calc!$E$103-500)))&amp;". ")&amp;IF(LEN(IF(LEN(INDEX('Vendor COIs'!$M$4:$M$503,(_calc!$E$103-500)))=0,"",INDEX('Vendor COIs'!$M$4:$M$503,(_calc!$E$103-500))))=0,"","Vendor contact: "&amp;IF(LEN(INDEX('Vendor COIs'!$M$4:$M$503,(_calc!$E$103-500)))=0,"",INDEX('Vendor COIs'!$M$4:$M$503,(_calc!$E$103-500)))&amp;". ")&amp;IF(LEN(IF(LEN(INDEX('Vendor COIs'!$P$4:$P$503,(_calc!$E$103-500)))=0,"",INDEX('Vendor COIs'!$P$4:$P$503,(_calc!$E$103-500))))=0,"",IF(LEN(INDEX('Vendor COIs'!$P$4:$P$503,(_calc!$E$103-500)))=0,"",INDEX('Vendor COIs'!$P$4:$P$503,(_calc!$E$103-500)))))))</f>
        <v/>
      </c>
      <c r="G101" s="46">
        <f>IF(_calc!$E$103="","",IF(_calc!$E$103&lt;=500,IF(LEN(INDEX('Our policies'!$R$4:$R$503,_calc!$E$103))=0,"",INDEX('Our policies'!$R$4:$R$503,_calc!$E$103)),IF(LEN(INDEX('Vendor COIs'!$O$4:$O$503,(_calc!$E$103-500)))=0,"",INDEX('Vendor COIs'!$O$4:$O$503,(_calc!$E$103-500)))))</f>
        <v/>
      </c>
      <c r="H101" s="46">
        <f>IF(_calc!$E$103="","",IF(_calc!$E$103&lt;=500,IF(LEN(INDEX('Our policies'!$G$4:$G$503,_calc!$E$103))=0,"",INDEX('Our policies'!$G$4:$G$503,_calc!$E$103)),""))</f>
        <v/>
      </c>
      <c r="I101" s="46">
        <f>IF(_calc!$E$103="","",IF(_calc!$E$103&lt;=500,IF(LEN(INDEX('Our policies'!$H$4:$H$503,_calc!$E$103))=0,"",INDEX('Our policies'!$H$4:$H$503,_calc!$E$103)),""))</f>
        <v/>
      </c>
      <c r="K101" s="46">
        <f>IF(_calc!$E$103="","",IF(_calc!$E$103&lt;=500,IF(LEN(INDEX('Our policies'!$P$4:$P$503,_calc!$E$103))=0,"",INDEX('Our policies'!$P$4:$P$503,_calc!$E$103)),IF(LEN(INDEX('Vendor COIs'!$N$4:$N$503,(_calc!$E$103-500)))=0,"",INDEX('Vendor COIs'!$N$4:$N$503,(_calc!$E$103-500)))))</f>
        <v/>
      </c>
    </row>
    <row r="102">
      <c r="A102" s="46">
        <f>IF(_calc!$E$104="","",IF(_calc!$E$104&lt;=500,IF(LEN(INDEX('Our policies'!$A$4:$A$503,_calc!$E$104))=0,"",INDEX('Our policies'!$A$4:$A$503,_calc!$E$104)),"COI – "&amp;IF(LEN(INDEX('Vendor COIs'!$A$4:$A$503,(_calc!$E$104-500)))=0,"",INDEX('Vendor COIs'!$A$4:$A$503,(_calc!$E$104-500)))&amp;" – "&amp;IF(LEN(INDEX('Vendor COIs'!$B$4:$B$503,(_calc!$E$104-500)))=0,"",INDEX('Vendor COIs'!$B$4:$B$503,(_calc!$E$104-500)))))</f>
        <v/>
      </c>
      <c r="B102" s="46">
        <f>IF(_calc!$E$104="","",IF(_calc!$E$104&lt;=500,IF(ISNUMBER(INDEX('Our policies'!$J$4:$J$503,_calc!$E$104)),TEXT(INDEX('Our policies'!$J$4:$J$503,_calc!$E$104),"yyyy-mm-dd"),""),IF(ISNUMBER(INDEX('Vendor COIs'!$H$4:$H$503,(_calc!$E$104-500))),TEXT(INDEX('Vendor COIs'!$H$4:$H$503,(_calc!$E$104-500)),"yyyy-mm-dd"),"")))</f>
        <v/>
      </c>
      <c r="C102" s="46">
        <f>IF(_calc!$E$104="","",IF(_calc!$E$104&lt;=500,"Insurance","Certificate of insurance"))</f>
        <v/>
      </c>
      <c r="D102" s="46">
        <f>IF(_calc!$E$104="","",IF(_calc!$E$104&lt;=500,IF(ISNUMBER(INDEX('Our policies'!$I$4:$I$503,_calc!$E$104)),TEXT(INDEX('Our policies'!$I$4:$I$503,_calc!$E$104),"yyyy-mm-dd"),""),""))</f>
        <v/>
      </c>
      <c r="E102" s="46">
        <f>IF(_calc!$E$104="","",IF(_calc!$E$104&lt;=500,IF(LEN(INDEX('Our policies'!$Q$4:$Q$503,_calc!$E$104))=0,"",INDEX('Our policies'!$Q$4:$Q$503,_calc!$E$104)),"Medium"))</f>
        <v/>
      </c>
      <c r="F102" s="46">
        <f>IF(_calc!$E$104="","",IF(_calc!$E$104&lt;=500,TRIM(IF(LEN(IF(LEN(INDEX('Our policies'!$B$4:$B$503,_calc!$E$104))=0,"",INDEX('Our policies'!$B$4:$B$503,_calc!$E$104)))=0,"","Cover: "&amp;IF(LEN(INDEX('Our policies'!$B$4:$B$503,_calc!$E$104))=0,"",INDEX('Our policies'!$B$4:$B$503,_calc!$E$104))&amp;". ")&amp;IF(LEN(IF(LEN(INDEX('Our policies'!$C$4:$C$503,_calc!$E$104))=0,"",INDEX('Our policies'!$C$4:$C$503,_calc!$E$104)))=0,"","Insurer: "&amp;IF(LEN(INDEX('Our policies'!$C$4:$C$503,_calc!$E$104))=0,"",INDEX('Our policies'!$C$4:$C$503,_calc!$E$104))&amp;". ")&amp;IF(LEN(IF(LEN(INDEX('Our policies'!$D$4:$D$503,_calc!$E$104))=0,"",INDEX('Our policies'!$D$4:$D$503,_calc!$E$104)))=0,"","Broker: "&amp;IF(LEN(INDEX('Our policies'!$D$4:$D$503,_calc!$E$104))=0,"",INDEX('Our policies'!$D$4:$D$503,_calc!$E$104))&amp;". ")&amp;IF(LEN(IF(LEN(INDEX('Our policies'!$E$4:$E$503,_calc!$E$104))=0,"",INDEX('Our policies'!$E$4:$E$503,_calc!$E$104)))=0,"","Policy no.: "&amp;IF(LEN(INDEX('Our policies'!$E$4:$E$503,_calc!$E$104))=0,"",INDEX('Our policies'!$E$4:$E$503,_calc!$E$104))&amp;". ")&amp;IF(LEN(IF(LEN(INDEX('Our policies'!$S$4:$S$503,_calc!$E$104))=0,"",INDEX('Our policies'!$S$4:$S$503,_calc!$E$104)))=0,"",IF(LEN(INDEX('Our policies'!$S$4:$S$503,_calc!$E$104))=0,"",INDEX('Our policies'!$S$4:$S$503,_calc!$E$104)))),TRIM(IF(LEN(IF(LEN(INDEX('Vendor COIs'!$C$4:$C$503,(_calc!$E$104-500)))=0,"",INDEX('Vendor COIs'!$C$4:$C$503,(_calc!$E$104-500))))=0,"","Insurer: "&amp;IF(LEN(INDEX('Vendor COIs'!$C$4:$C$503,(_calc!$E$104-500)))=0,"",INDEX('Vendor COIs'!$C$4:$C$503,(_calc!$E$104-500)))&amp;". ")&amp;IF(LEN(IF(LEN(INDEX('Vendor COIs'!$D$4:$D$503,(_calc!$E$104-500)))=0,"",INDEX('Vendor COIs'!$D$4:$D$503,(_calc!$E$104-500))))=0,"","Policy no.: "&amp;IF(LEN(INDEX('Vendor COIs'!$D$4:$D$503,(_calc!$E$104-500)))=0,"",INDEX('Vendor COIs'!$D$4:$D$503,(_calc!$E$104-500)))&amp;". ")&amp;IF(LEN(IF(LEN(INDEX('Vendor COIs'!$F$4:$F$503,(_calc!$E$104-500)))=0,"",INDEX('Vendor COIs'!$F$4:$F$503,(_calc!$E$104-500))))=0,"","Meets minimum: "&amp;IF(LEN(INDEX('Vendor COIs'!$F$4:$F$503,(_calc!$E$104-500)))=0,"",INDEX('Vendor COIs'!$F$4:$F$503,(_calc!$E$104-500)))&amp;". ")&amp;IF(LEN(IF(LEN(INDEX('Vendor COIs'!$G$4:$G$503,(_calc!$E$104-500)))=0,"",INDEX('Vendor COIs'!$G$4:$G$503,(_calc!$E$104-500))))=0,"","Additional insured: "&amp;IF(LEN(INDEX('Vendor COIs'!$G$4:$G$503,(_calc!$E$104-500)))=0,"",INDEX('Vendor COIs'!$G$4:$G$503,(_calc!$E$104-500)))&amp;". ")&amp;IF(LEN(IF(LEN(INDEX('Vendor COIs'!$M$4:$M$503,(_calc!$E$104-500)))=0,"",INDEX('Vendor COIs'!$M$4:$M$503,(_calc!$E$104-500))))=0,"","Vendor contact: "&amp;IF(LEN(INDEX('Vendor COIs'!$M$4:$M$503,(_calc!$E$104-500)))=0,"",INDEX('Vendor COIs'!$M$4:$M$503,(_calc!$E$104-500)))&amp;". ")&amp;IF(LEN(IF(LEN(INDEX('Vendor COIs'!$P$4:$P$503,(_calc!$E$104-500)))=0,"",INDEX('Vendor COIs'!$P$4:$P$503,(_calc!$E$104-500))))=0,"",IF(LEN(INDEX('Vendor COIs'!$P$4:$P$503,(_calc!$E$104-500)))=0,"",INDEX('Vendor COIs'!$P$4:$P$503,(_calc!$E$104-500)))))))</f>
        <v/>
      </c>
      <c r="G102" s="46">
        <f>IF(_calc!$E$104="","",IF(_calc!$E$104&lt;=500,IF(LEN(INDEX('Our policies'!$R$4:$R$503,_calc!$E$104))=0,"",INDEX('Our policies'!$R$4:$R$503,_calc!$E$104)),IF(LEN(INDEX('Vendor COIs'!$O$4:$O$503,(_calc!$E$104-500)))=0,"",INDEX('Vendor COIs'!$O$4:$O$503,(_calc!$E$104-500)))))</f>
        <v/>
      </c>
      <c r="H102" s="46">
        <f>IF(_calc!$E$104="","",IF(_calc!$E$104&lt;=500,IF(LEN(INDEX('Our policies'!$G$4:$G$503,_calc!$E$104))=0,"",INDEX('Our policies'!$G$4:$G$503,_calc!$E$104)),""))</f>
        <v/>
      </c>
      <c r="I102" s="46">
        <f>IF(_calc!$E$104="","",IF(_calc!$E$104&lt;=500,IF(LEN(INDEX('Our policies'!$H$4:$H$503,_calc!$E$104))=0,"",INDEX('Our policies'!$H$4:$H$503,_calc!$E$104)),""))</f>
        <v/>
      </c>
      <c r="K102" s="46">
        <f>IF(_calc!$E$104="","",IF(_calc!$E$104&lt;=500,IF(LEN(INDEX('Our policies'!$P$4:$P$503,_calc!$E$104))=0,"",INDEX('Our policies'!$P$4:$P$503,_calc!$E$104)),IF(LEN(INDEX('Vendor COIs'!$N$4:$N$503,(_calc!$E$104-500)))=0,"",INDEX('Vendor COIs'!$N$4:$N$503,(_calc!$E$104-500)))))</f>
        <v/>
      </c>
    </row>
    <row r="103">
      <c r="A103" s="46">
        <f>IF(_calc!$E$105="","",IF(_calc!$E$105&lt;=500,IF(LEN(INDEX('Our policies'!$A$4:$A$503,_calc!$E$105))=0,"",INDEX('Our policies'!$A$4:$A$503,_calc!$E$105)),"COI – "&amp;IF(LEN(INDEX('Vendor COIs'!$A$4:$A$503,(_calc!$E$105-500)))=0,"",INDEX('Vendor COIs'!$A$4:$A$503,(_calc!$E$105-500)))&amp;" – "&amp;IF(LEN(INDEX('Vendor COIs'!$B$4:$B$503,(_calc!$E$105-500)))=0,"",INDEX('Vendor COIs'!$B$4:$B$503,(_calc!$E$105-500)))))</f>
        <v/>
      </c>
      <c r="B103" s="46">
        <f>IF(_calc!$E$105="","",IF(_calc!$E$105&lt;=500,IF(ISNUMBER(INDEX('Our policies'!$J$4:$J$503,_calc!$E$105)),TEXT(INDEX('Our policies'!$J$4:$J$503,_calc!$E$105),"yyyy-mm-dd"),""),IF(ISNUMBER(INDEX('Vendor COIs'!$H$4:$H$503,(_calc!$E$105-500))),TEXT(INDEX('Vendor COIs'!$H$4:$H$503,(_calc!$E$105-500)),"yyyy-mm-dd"),"")))</f>
        <v/>
      </c>
      <c r="C103" s="46">
        <f>IF(_calc!$E$105="","",IF(_calc!$E$105&lt;=500,"Insurance","Certificate of insurance"))</f>
        <v/>
      </c>
      <c r="D103" s="46">
        <f>IF(_calc!$E$105="","",IF(_calc!$E$105&lt;=500,IF(ISNUMBER(INDEX('Our policies'!$I$4:$I$503,_calc!$E$105)),TEXT(INDEX('Our policies'!$I$4:$I$503,_calc!$E$105),"yyyy-mm-dd"),""),""))</f>
        <v/>
      </c>
      <c r="E103" s="46">
        <f>IF(_calc!$E$105="","",IF(_calc!$E$105&lt;=500,IF(LEN(INDEX('Our policies'!$Q$4:$Q$503,_calc!$E$105))=0,"",INDEX('Our policies'!$Q$4:$Q$503,_calc!$E$105)),"Medium"))</f>
        <v/>
      </c>
      <c r="F103" s="46">
        <f>IF(_calc!$E$105="","",IF(_calc!$E$105&lt;=500,TRIM(IF(LEN(IF(LEN(INDEX('Our policies'!$B$4:$B$503,_calc!$E$105))=0,"",INDEX('Our policies'!$B$4:$B$503,_calc!$E$105)))=0,"","Cover: "&amp;IF(LEN(INDEX('Our policies'!$B$4:$B$503,_calc!$E$105))=0,"",INDEX('Our policies'!$B$4:$B$503,_calc!$E$105))&amp;". ")&amp;IF(LEN(IF(LEN(INDEX('Our policies'!$C$4:$C$503,_calc!$E$105))=0,"",INDEX('Our policies'!$C$4:$C$503,_calc!$E$105)))=0,"","Insurer: "&amp;IF(LEN(INDEX('Our policies'!$C$4:$C$503,_calc!$E$105))=0,"",INDEX('Our policies'!$C$4:$C$503,_calc!$E$105))&amp;". ")&amp;IF(LEN(IF(LEN(INDEX('Our policies'!$D$4:$D$503,_calc!$E$105))=0,"",INDEX('Our policies'!$D$4:$D$503,_calc!$E$105)))=0,"","Broker: "&amp;IF(LEN(INDEX('Our policies'!$D$4:$D$503,_calc!$E$105))=0,"",INDEX('Our policies'!$D$4:$D$503,_calc!$E$105))&amp;". ")&amp;IF(LEN(IF(LEN(INDEX('Our policies'!$E$4:$E$503,_calc!$E$105))=0,"",INDEX('Our policies'!$E$4:$E$503,_calc!$E$105)))=0,"","Policy no.: "&amp;IF(LEN(INDEX('Our policies'!$E$4:$E$503,_calc!$E$105))=0,"",INDEX('Our policies'!$E$4:$E$503,_calc!$E$105))&amp;". ")&amp;IF(LEN(IF(LEN(INDEX('Our policies'!$S$4:$S$503,_calc!$E$105))=0,"",INDEX('Our policies'!$S$4:$S$503,_calc!$E$105)))=0,"",IF(LEN(INDEX('Our policies'!$S$4:$S$503,_calc!$E$105))=0,"",INDEX('Our policies'!$S$4:$S$503,_calc!$E$105)))),TRIM(IF(LEN(IF(LEN(INDEX('Vendor COIs'!$C$4:$C$503,(_calc!$E$105-500)))=0,"",INDEX('Vendor COIs'!$C$4:$C$503,(_calc!$E$105-500))))=0,"","Insurer: "&amp;IF(LEN(INDEX('Vendor COIs'!$C$4:$C$503,(_calc!$E$105-500)))=0,"",INDEX('Vendor COIs'!$C$4:$C$503,(_calc!$E$105-500)))&amp;". ")&amp;IF(LEN(IF(LEN(INDEX('Vendor COIs'!$D$4:$D$503,(_calc!$E$105-500)))=0,"",INDEX('Vendor COIs'!$D$4:$D$503,(_calc!$E$105-500))))=0,"","Policy no.: "&amp;IF(LEN(INDEX('Vendor COIs'!$D$4:$D$503,(_calc!$E$105-500)))=0,"",INDEX('Vendor COIs'!$D$4:$D$503,(_calc!$E$105-500)))&amp;". ")&amp;IF(LEN(IF(LEN(INDEX('Vendor COIs'!$F$4:$F$503,(_calc!$E$105-500)))=0,"",INDEX('Vendor COIs'!$F$4:$F$503,(_calc!$E$105-500))))=0,"","Meets minimum: "&amp;IF(LEN(INDEX('Vendor COIs'!$F$4:$F$503,(_calc!$E$105-500)))=0,"",INDEX('Vendor COIs'!$F$4:$F$503,(_calc!$E$105-500)))&amp;". ")&amp;IF(LEN(IF(LEN(INDEX('Vendor COIs'!$G$4:$G$503,(_calc!$E$105-500)))=0,"",INDEX('Vendor COIs'!$G$4:$G$503,(_calc!$E$105-500))))=0,"","Additional insured: "&amp;IF(LEN(INDEX('Vendor COIs'!$G$4:$G$503,(_calc!$E$105-500)))=0,"",INDEX('Vendor COIs'!$G$4:$G$503,(_calc!$E$105-500)))&amp;". ")&amp;IF(LEN(IF(LEN(INDEX('Vendor COIs'!$M$4:$M$503,(_calc!$E$105-500)))=0,"",INDEX('Vendor COIs'!$M$4:$M$503,(_calc!$E$105-500))))=0,"","Vendor contact: "&amp;IF(LEN(INDEX('Vendor COIs'!$M$4:$M$503,(_calc!$E$105-500)))=0,"",INDEX('Vendor COIs'!$M$4:$M$503,(_calc!$E$105-500)))&amp;". ")&amp;IF(LEN(IF(LEN(INDEX('Vendor COIs'!$P$4:$P$503,(_calc!$E$105-500)))=0,"",INDEX('Vendor COIs'!$P$4:$P$503,(_calc!$E$105-500))))=0,"",IF(LEN(INDEX('Vendor COIs'!$P$4:$P$503,(_calc!$E$105-500)))=0,"",INDEX('Vendor COIs'!$P$4:$P$503,(_calc!$E$105-500)))))))</f>
        <v/>
      </c>
      <c r="G103" s="46">
        <f>IF(_calc!$E$105="","",IF(_calc!$E$105&lt;=500,IF(LEN(INDEX('Our policies'!$R$4:$R$503,_calc!$E$105))=0,"",INDEX('Our policies'!$R$4:$R$503,_calc!$E$105)),IF(LEN(INDEX('Vendor COIs'!$O$4:$O$503,(_calc!$E$105-500)))=0,"",INDEX('Vendor COIs'!$O$4:$O$503,(_calc!$E$105-500)))))</f>
        <v/>
      </c>
      <c r="H103" s="46">
        <f>IF(_calc!$E$105="","",IF(_calc!$E$105&lt;=500,IF(LEN(INDEX('Our policies'!$G$4:$G$503,_calc!$E$105))=0,"",INDEX('Our policies'!$G$4:$G$503,_calc!$E$105)),""))</f>
        <v/>
      </c>
      <c r="I103" s="46">
        <f>IF(_calc!$E$105="","",IF(_calc!$E$105&lt;=500,IF(LEN(INDEX('Our policies'!$H$4:$H$503,_calc!$E$105))=0,"",INDEX('Our policies'!$H$4:$H$503,_calc!$E$105)),""))</f>
        <v/>
      </c>
      <c r="K103" s="46">
        <f>IF(_calc!$E$105="","",IF(_calc!$E$105&lt;=500,IF(LEN(INDEX('Our policies'!$P$4:$P$503,_calc!$E$105))=0,"",INDEX('Our policies'!$P$4:$P$503,_calc!$E$105)),IF(LEN(INDEX('Vendor COIs'!$N$4:$N$503,(_calc!$E$105-500)))=0,"",INDEX('Vendor COIs'!$N$4:$N$503,(_calc!$E$105-500)))))</f>
        <v/>
      </c>
    </row>
    <row r="104">
      <c r="A104" s="46">
        <f>IF(_calc!$E$106="","",IF(_calc!$E$106&lt;=500,IF(LEN(INDEX('Our policies'!$A$4:$A$503,_calc!$E$106))=0,"",INDEX('Our policies'!$A$4:$A$503,_calc!$E$106)),"COI – "&amp;IF(LEN(INDEX('Vendor COIs'!$A$4:$A$503,(_calc!$E$106-500)))=0,"",INDEX('Vendor COIs'!$A$4:$A$503,(_calc!$E$106-500)))&amp;" – "&amp;IF(LEN(INDEX('Vendor COIs'!$B$4:$B$503,(_calc!$E$106-500)))=0,"",INDEX('Vendor COIs'!$B$4:$B$503,(_calc!$E$106-500)))))</f>
        <v/>
      </c>
      <c r="B104" s="46">
        <f>IF(_calc!$E$106="","",IF(_calc!$E$106&lt;=500,IF(ISNUMBER(INDEX('Our policies'!$J$4:$J$503,_calc!$E$106)),TEXT(INDEX('Our policies'!$J$4:$J$503,_calc!$E$106),"yyyy-mm-dd"),""),IF(ISNUMBER(INDEX('Vendor COIs'!$H$4:$H$503,(_calc!$E$106-500))),TEXT(INDEX('Vendor COIs'!$H$4:$H$503,(_calc!$E$106-500)),"yyyy-mm-dd"),"")))</f>
        <v/>
      </c>
      <c r="C104" s="46">
        <f>IF(_calc!$E$106="","",IF(_calc!$E$106&lt;=500,"Insurance","Certificate of insurance"))</f>
        <v/>
      </c>
      <c r="D104" s="46">
        <f>IF(_calc!$E$106="","",IF(_calc!$E$106&lt;=500,IF(ISNUMBER(INDEX('Our policies'!$I$4:$I$503,_calc!$E$106)),TEXT(INDEX('Our policies'!$I$4:$I$503,_calc!$E$106),"yyyy-mm-dd"),""),""))</f>
        <v/>
      </c>
      <c r="E104" s="46">
        <f>IF(_calc!$E$106="","",IF(_calc!$E$106&lt;=500,IF(LEN(INDEX('Our policies'!$Q$4:$Q$503,_calc!$E$106))=0,"",INDEX('Our policies'!$Q$4:$Q$503,_calc!$E$106)),"Medium"))</f>
        <v/>
      </c>
      <c r="F104" s="46">
        <f>IF(_calc!$E$106="","",IF(_calc!$E$106&lt;=500,TRIM(IF(LEN(IF(LEN(INDEX('Our policies'!$B$4:$B$503,_calc!$E$106))=0,"",INDEX('Our policies'!$B$4:$B$503,_calc!$E$106)))=0,"","Cover: "&amp;IF(LEN(INDEX('Our policies'!$B$4:$B$503,_calc!$E$106))=0,"",INDEX('Our policies'!$B$4:$B$503,_calc!$E$106))&amp;". ")&amp;IF(LEN(IF(LEN(INDEX('Our policies'!$C$4:$C$503,_calc!$E$106))=0,"",INDEX('Our policies'!$C$4:$C$503,_calc!$E$106)))=0,"","Insurer: "&amp;IF(LEN(INDEX('Our policies'!$C$4:$C$503,_calc!$E$106))=0,"",INDEX('Our policies'!$C$4:$C$503,_calc!$E$106))&amp;". ")&amp;IF(LEN(IF(LEN(INDEX('Our policies'!$D$4:$D$503,_calc!$E$106))=0,"",INDEX('Our policies'!$D$4:$D$503,_calc!$E$106)))=0,"","Broker: "&amp;IF(LEN(INDEX('Our policies'!$D$4:$D$503,_calc!$E$106))=0,"",INDEX('Our policies'!$D$4:$D$503,_calc!$E$106))&amp;". ")&amp;IF(LEN(IF(LEN(INDEX('Our policies'!$E$4:$E$503,_calc!$E$106))=0,"",INDEX('Our policies'!$E$4:$E$503,_calc!$E$106)))=0,"","Policy no.: "&amp;IF(LEN(INDEX('Our policies'!$E$4:$E$503,_calc!$E$106))=0,"",INDEX('Our policies'!$E$4:$E$503,_calc!$E$106))&amp;". ")&amp;IF(LEN(IF(LEN(INDEX('Our policies'!$S$4:$S$503,_calc!$E$106))=0,"",INDEX('Our policies'!$S$4:$S$503,_calc!$E$106)))=0,"",IF(LEN(INDEX('Our policies'!$S$4:$S$503,_calc!$E$106))=0,"",INDEX('Our policies'!$S$4:$S$503,_calc!$E$106)))),TRIM(IF(LEN(IF(LEN(INDEX('Vendor COIs'!$C$4:$C$503,(_calc!$E$106-500)))=0,"",INDEX('Vendor COIs'!$C$4:$C$503,(_calc!$E$106-500))))=0,"","Insurer: "&amp;IF(LEN(INDEX('Vendor COIs'!$C$4:$C$503,(_calc!$E$106-500)))=0,"",INDEX('Vendor COIs'!$C$4:$C$503,(_calc!$E$106-500)))&amp;". ")&amp;IF(LEN(IF(LEN(INDEX('Vendor COIs'!$D$4:$D$503,(_calc!$E$106-500)))=0,"",INDEX('Vendor COIs'!$D$4:$D$503,(_calc!$E$106-500))))=0,"","Policy no.: "&amp;IF(LEN(INDEX('Vendor COIs'!$D$4:$D$503,(_calc!$E$106-500)))=0,"",INDEX('Vendor COIs'!$D$4:$D$503,(_calc!$E$106-500)))&amp;". ")&amp;IF(LEN(IF(LEN(INDEX('Vendor COIs'!$F$4:$F$503,(_calc!$E$106-500)))=0,"",INDEX('Vendor COIs'!$F$4:$F$503,(_calc!$E$106-500))))=0,"","Meets minimum: "&amp;IF(LEN(INDEX('Vendor COIs'!$F$4:$F$503,(_calc!$E$106-500)))=0,"",INDEX('Vendor COIs'!$F$4:$F$503,(_calc!$E$106-500)))&amp;". ")&amp;IF(LEN(IF(LEN(INDEX('Vendor COIs'!$G$4:$G$503,(_calc!$E$106-500)))=0,"",INDEX('Vendor COIs'!$G$4:$G$503,(_calc!$E$106-500))))=0,"","Additional insured: "&amp;IF(LEN(INDEX('Vendor COIs'!$G$4:$G$503,(_calc!$E$106-500)))=0,"",INDEX('Vendor COIs'!$G$4:$G$503,(_calc!$E$106-500)))&amp;". ")&amp;IF(LEN(IF(LEN(INDEX('Vendor COIs'!$M$4:$M$503,(_calc!$E$106-500)))=0,"",INDEX('Vendor COIs'!$M$4:$M$503,(_calc!$E$106-500))))=0,"","Vendor contact: "&amp;IF(LEN(INDEX('Vendor COIs'!$M$4:$M$503,(_calc!$E$106-500)))=0,"",INDEX('Vendor COIs'!$M$4:$M$503,(_calc!$E$106-500)))&amp;". ")&amp;IF(LEN(IF(LEN(INDEX('Vendor COIs'!$P$4:$P$503,(_calc!$E$106-500)))=0,"",INDEX('Vendor COIs'!$P$4:$P$503,(_calc!$E$106-500))))=0,"",IF(LEN(INDEX('Vendor COIs'!$P$4:$P$503,(_calc!$E$106-500)))=0,"",INDEX('Vendor COIs'!$P$4:$P$503,(_calc!$E$106-500)))))))</f>
        <v/>
      </c>
      <c r="G104" s="46">
        <f>IF(_calc!$E$106="","",IF(_calc!$E$106&lt;=500,IF(LEN(INDEX('Our policies'!$R$4:$R$503,_calc!$E$106))=0,"",INDEX('Our policies'!$R$4:$R$503,_calc!$E$106)),IF(LEN(INDEX('Vendor COIs'!$O$4:$O$503,(_calc!$E$106-500)))=0,"",INDEX('Vendor COIs'!$O$4:$O$503,(_calc!$E$106-500)))))</f>
        <v/>
      </c>
      <c r="H104" s="46">
        <f>IF(_calc!$E$106="","",IF(_calc!$E$106&lt;=500,IF(LEN(INDEX('Our policies'!$G$4:$G$503,_calc!$E$106))=0,"",INDEX('Our policies'!$G$4:$G$503,_calc!$E$106)),""))</f>
        <v/>
      </c>
      <c r="I104" s="46">
        <f>IF(_calc!$E$106="","",IF(_calc!$E$106&lt;=500,IF(LEN(INDEX('Our policies'!$H$4:$H$503,_calc!$E$106))=0,"",INDEX('Our policies'!$H$4:$H$503,_calc!$E$106)),""))</f>
        <v/>
      </c>
      <c r="K104" s="46">
        <f>IF(_calc!$E$106="","",IF(_calc!$E$106&lt;=500,IF(LEN(INDEX('Our policies'!$P$4:$P$503,_calc!$E$106))=0,"",INDEX('Our policies'!$P$4:$P$503,_calc!$E$106)),IF(LEN(INDEX('Vendor COIs'!$N$4:$N$503,(_calc!$E$106-500)))=0,"",INDEX('Vendor COIs'!$N$4:$N$503,(_calc!$E$106-500)))))</f>
        <v/>
      </c>
    </row>
    <row r="105">
      <c r="A105" s="46">
        <f>IF(_calc!$E$107="","",IF(_calc!$E$107&lt;=500,IF(LEN(INDEX('Our policies'!$A$4:$A$503,_calc!$E$107))=0,"",INDEX('Our policies'!$A$4:$A$503,_calc!$E$107)),"COI – "&amp;IF(LEN(INDEX('Vendor COIs'!$A$4:$A$503,(_calc!$E$107-500)))=0,"",INDEX('Vendor COIs'!$A$4:$A$503,(_calc!$E$107-500)))&amp;" – "&amp;IF(LEN(INDEX('Vendor COIs'!$B$4:$B$503,(_calc!$E$107-500)))=0,"",INDEX('Vendor COIs'!$B$4:$B$503,(_calc!$E$107-500)))))</f>
        <v/>
      </c>
      <c r="B105" s="46">
        <f>IF(_calc!$E$107="","",IF(_calc!$E$107&lt;=500,IF(ISNUMBER(INDEX('Our policies'!$J$4:$J$503,_calc!$E$107)),TEXT(INDEX('Our policies'!$J$4:$J$503,_calc!$E$107),"yyyy-mm-dd"),""),IF(ISNUMBER(INDEX('Vendor COIs'!$H$4:$H$503,(_calc!$E$107-500))),TEXT(INDEX('Vendor COIs'!$H$4:$H$503,(_calc!$E$107-500)),"yyyy-mm-dd"),"")))</f>
        <v/>
      </c>
      <c r="C105" s="46">
        <f>IF(_calc!$E$107="","",IF(_calc!$E$107&lt;=500,"Insurance","Certificate of insurance"))</f>
        <v/>
      </c>
      <c r="D105" s="46">
        <f>IF(_calc!$E$107="","",IF(_calc!$E$107&lt;=500,IF(ISNUMBER(INDEX('Our policies'!$I$4:$I$503,_calc!$E$107)),TEXT(INDEX('Our policies'!$I$4:$I$503,_calc!$E$107),"yyyy-mm-dd"),""),""))</f>
        <v/>
      </c>
      <c r="E105" s="46">
        <f>IF(_calc!$E$107="","",IF(_calc!$E$107&lt;=500,IF(LEN(INDEX('Our policies'!$Q$4:$Q$503,_calc!$E$107))=0,"",INDEX('Our policies'!$Q$4:$Q$503,_calc!$E$107)),"Medium"))</f>
        <v/>
      </c>
      <c r="F105" s="46">
        <f>IF(_calc!$E$107="","",IF(_calc!$E$107&lt;=500,TRIM(IF(LEN(IF(LEN(INDEX('Our policies'!$B$4:$B$503,_calc!$E$107))=0,"",INDEX('Our policies'!$B$4:$B$503,_calc!$E$107)))=0,"","Cover: "&amp;IF(LEN(INDEX('Our policies'!$B$4:$B$503,_calc!$E$107))=0,"",INDEX('Our policies'!$B$4:$B$503,_calc!$E$107))&amp;". ")&amp;IF(LEN(IF(LEN(INDEX('Our policies'!$C$4:$C$503,_calc!$E$107))=0,"",INDEX('Our policies'!$C$4:$C$503,_calc!$E$107)))=0,"","Insurer: "&amp;IF(LEN(INDEX('Our policies'!$C$4:$C$503,_calc!$E$107))=0,"",INDEX('Our policies'!$C$4:$C$503,_calc!$E$107))&amp;". ")&amp;IF(LEN(IF(LEN(INDEX('Our policies'!$D$4:$D$503,_calc!$E$107))=0,"",INDEX('Our policies'!$D$4:$D$503,_calc!$E$107)))=0,"","Broker: "&amp;IF(LEN(INDEX('Our policies'!$D$4:$D$503,_calc!$E$107))=0,"",INDEX('Our policies'!$D$4:$D$503,_calc!$E$107))&amp;". ")&amp;IF(LEN(IF(LEN(INDEX('Our policies'!$E$4:$E$503,_calc!$E$107))=0,"",INDEX('Our policies'!$E$4:$E$503,_calc!$E$107)))=0,"","Policy no.: "&amp;IF(LEN(INDEX('Our policies'!$E$4:$E$503,_calc!$E$107))=0,"",INDEX('Our policies'!$E$4:$E$503,_calc!$E$107))&amp;". ")&amp;IF(LEN(IF(LEN(INDEX('Our policies'!$S$4:$S$503,_calc!$E$107))=0,"",INDEX('Our policies'!$S$4:$S$503,_calc!$E$107)))=0,"",IF(LEN(INDEX('Our policies'!$S$4:$S$503,_calc!$E$107))=0,"",INDEX('Our policies'!$S$4:$S$503,_calc!$E$107)))),TRIM(IF(LEN(IF(LEN(INDEX('Vendor COIs'!$C$4:$C$503,(_calc!$E$107-500)))=0,"",INDEX('Vendor COIs'!$C$4:$C$503,(_calc!$E$107-500))))=0,"","Insurer: "&amp;IF(LEN(INDEX('Vendor COIs'!$C$4:$C$503,(_calc!$E$107-500)))=0,"",INDEX('Vendor COIs'!$C$4:$C$503,(_calc!$E$107-500)))&amp;". ")&amp;IF(LEN(IF(LEN(INDEX('Vendor COIs'!$D$4:$D$503,(_calc!$E$107-500)))=0,"",INDEX('Vendor COIs'!$D$4:$D$503,(_calc!$E$107-500))))=0,"","Policy no.: "&amp;IF(LEN(INDEX('Vendor COIs'!$D$4:$D$503,(_calc!$E$107-500)))=0,"",INDEX('Vendor COIs'!$D$4:$D$503,(_calc!$E$107-500)))&amp;". ")&amp;IF(LEN(IF(LEN(INDEX('Vendor COIs'!$F$4:$F$503,(_calc!$E$107-500)))=0,"",INDEX('Vendor COIs'!$F$4:$F$503,(_calc!$E$107-500))))=0,"","Meets minimum: "&amp;IF(LEN(INDEX('Vendor COIs'!$F$4:$F$503,(_calc!$E$107-500)))=0,"",INDEX('Vendor COIs'!$F$4:$F$503,(_calc!$E$107-500)))&amp;". ")&amp;IF(LEN(IF(LEN(INDEX('Vendor COIs'!$G$4:$G$503,(_calc!$E$107-500)))=0,"",INDEX('Vendor COIs'!$G$4:$G$503,(_calc!$E$107-500))))=0,"","Additional insured: "&amp;IF(LEN(INDEX('Vendor COIs'!$G$4:$G$503,(_calc!$E$107-500)))=0,"",INDEX('Vendor COIs'!$G$4:$G$503,(_calc!$E$107-500)))&amp;". ")&amp;IF(LEN(IF(LEN(INDEX('Vendor COIs'!$M$4:$M$503,(_calc!$E$107-500)))=0,"",INDEX('Vendor COIs'!$M$4:$M$503,(_calc!$E$107-500))))=0,"","Vendor contact: "&amp;IF(LEN(INDEX('Vendor COIs'!$M$4:$M$503,(_calc!$E$107-500)))=0,"",INDEX('Vendor COIs'!$M$4:$M$503,(_calc!$E$107-500)))&amp;". ")&amp;IF(LEN(IF(LEN(INDEX('Vendor COIs'!$P$4:$P$503,(_calc!$E$107-500)))=0,"",INDEX('Vendor COIs'!$P$4:$P$503,(_calc!$E$107-500))))=0,"",IF(LEN(INDEX('Vendor COIs'!$P$4:$P$503,(_calc!$E$107-500)))=0,"",INDEX('Vendor COIs'!$P$4:$P$503,(_calc!$E$107-500)))))))</f>
        <v/>
      </c>
      <c r="G105" s="46">
        <f>IF(_calc!$E$107="","",IF(_calc!$E$107&lt;=500,IF(LEN(INDEX('Our policies'!$R$4:$R$503,_calc!$E$107))=0,"",INDEX('Our policies'!$R$4:$R$503,_calc!$E$107)),IF(LEN(INDEX('Vendor COIs'!$O$4:$O$503,(_calc!$E$107-500)))=0,"",INDEX('Vendor COIs'!$O$4:$O$503,(_calc!$E$107-500)))))</f>
        <v/>
      </c>
      <c r="H105" s="46">
        <f>IF(_calc!$E$107="","",IF(_calc!$E$107&lt;=500,IF(LEN(INDEX('Our policies'!$G$4:$G$503,_calc!$E$107))=0,"",INDEX('Our policies'!$G$4:$G$503,_calc!$E$107)),""))</f>
        <v/>
      </c>
      <c r="I105" s="46">
        <f>IF(_calc!$E$107="","",IF(_calc!$E$107&lt;=500,IF(LEN(INDEX('Our policies'!$H$4:$H$503,_calc!$E$107))=0,"",INDEX('Our policies'!$H$4:$H$503,_calc!$E$107)),""))</f>
        <v/>
      </c>
      <c r="K105" s="46">
        <f>IF(_calc!$E$107="","",IF(_calc!$E$107&lt;=500,IF(LEN(INDEX('Our policies'!$P$4:$P$503,_calc!$E$107))=0,"",INDEX('Our policies'!$P$4:$P$503,_calc!$E$107)),IF(LEN(INDEX('Vendor COIs'!$N$4:$N$503,(_calc!$E$107-500)))=0,"",INDEX('Vendor COIs'!$N$4:$N$503,(_calc!$E$107-500)))))</f>
        <v/>
      </c>
    </row>
    <row r="106">
      <c r="A106" s="46">
        <f>IF(_calc!$E$108="","",IF(_calc!$E$108&lt;=500,IF(LEN(INDEX('Our policies'!$A$4:$A$503,_calc!$E$108))=0,"",INDEX('Our policies'!$A$4:$A$503,_calc!$E$108)),"COI – "&amp;IF(LEN(INDEX('Vendor COIs'!$A$4:$A$503,(_calc!$E$108-500)))=0,"",INDEX('Vendor COIs'!$A$4:$A$503,(_calc!$E$108-500)))&amp;" – "&amp;IF(LEN(INDEX('Vendor COIs'!$B$4:$B$503,(_calc!$E$108-500)))=0,"",INDEX('Vendor COIs'!$B$4:$B$503,(_calc!$E$108-500)))))</f>
        <v/>
      </c>
      <c r="B106" s="46">
        <f>IF(_calc!$E$108="","",IF(_calc!$E$108&lt;=500,IF(ISNUMBER(INDEX('Our policies'!$J$4:$J$503,_calc!$E$108)),TEXT(INDEX('Our policies'!$J$4:$J$503,_calc!$E$108),"yyyy-mm-dd"),""),IF(ISNUMBER(INDEX('Vendor COIs'!$H$4:$H$503,(_calc!$E$108-500))),TEXT(INDEX('Vendor COIs'!$H$4:$H$503,(_calc!$E$108-500)),"yyyy-mm-dd"),"")))</f>
        <v/>
      </c>
      <c r="C106" s="46">
        <f>IF(_calc!$E$108="","",IF(_calc!$E$108&lt;=500,"Insurance","Certificate of insurance"))</f>
        <v/>
      </c>
      <c r="D106" s="46">
        <f>IF(_calc!$E$108="","",IF(_calc!$E$108&lt;=500,IF(ISNUMBER(INDEX('Our policies'!$I$4:$I$503,_calc!$E$108)),TEXT(INDEX('Our policies'!$I$4:$I$503,_calc!$E$108),"yyyy-mm-dd"),""),""))</f>
        <v/>
      </c>
      <c r="E106" s="46">
        <f>IF(_calc!$E$108="","",IF(_calc!$E$108&lt;=500,IF(LEN(INDEX('Our policies'!$Q$4:$Q$503,_calc!$E$108))=0,"",INDEX('Our policies'!$Q$4:$Q$503,_calc!$E$108)),"Medium"))</f>
        <v/>
      </c>
      <c r="F106" s="46">
        <f>IF(_calc!$E$108="","",IF(_calc!$E$108&lt;=500,TRIM(IF(LEN(IF(LEN(INDEX('Our policies'!$B$4:$B$503,_calc!$E$108))=0,"",INDEX('Our policies'!$B$4:$B$503,_calc!$E$108)))=0,"","Cover: "&amp;IF(LEN(INDEX('Our policies'!$B$4:$B$503,_calc!$E$108))=0,"",INDEX('Our policies'!$B$4:$B$503,_calc!$E$108))&amp;". ")&amp;IF(LEN(IF(LEN(INDEX('Our policies'!$C$4:$C$503,_calc!$E$108))=0,"",INDEX('Our policies'!$C$4:$C$503,_calc!$E$108)))=0,"","Insurer: "&amp;IF(LEN(INDEX('Our policies'!$C$4:$C$503,_calc!$E$108))=0,"",INDEX('Our policies'!$C$4:$C$503,_calc!$E$108))&amp;". ")&amp;IF(LEN(IF(LEN(INDEX('Our policies'!$D$4:$D$503,_calc!$E$108))=0,"",INDEX('Our policies'!$D$4:$D$503,_calc!$E$108)))=0,"","Broker: "&amp;IF(LEN(INDEX('Our policies'!$D$4:$D$503,_calc!$E$108))=0,"",INDEX('Our policies'!$D$4:$D$503,_calc!$E$108))&amp;". ")&amp;IF(LEN(IF(LEN(INDEX('Our policies'!$E$4:$E$503,_calc!$E$108))=0,"",INDEX('Our policies'!$E$4:$E$503,_calc!$E$108)))=0,"","Policy no.: "&amp;IF(LEN(INDEX('Our policies'!$E$4:$E$503,_calc!$E$108))=0,"",INDEX('Our policies'!$E$4:$E$503,_calc!$E$108))&amp;". ")&amp;IF(LEN(IF(LEN(INDEX('Our policies'!$S$4:$S$503,_calc!$E$108))=0,"",INDEX('Our policies'!$S$4:$S$503,_calc!$E$108)))=0,"",IF(LEN(INDEX('Our policies'!$S$4:$S$503,_calc!$E$108))=0,"",INDEX('Our policies'!$S$4:$S$503,_calc!$E$108)))),TRIM(IF(LEN(IF(LEN(INDEX('Vendor COIs'!$C$4:$C$503,(_calc!$E$108-500)))=0,"",INDEX('Vendor COIs'!$C$4:$C$503,(_calc!$E$108-500))))=0,"","Insurer: "&amp;IF(LEN(INDEX('Vendor COIs'!$C$4:$C$503,(_calc!$E$108-500)))=0,"",INDEX('Vendor COIs'!$C$4:$C$503,(_calc!$E$108-500)))&amp;". ")&amp;IF(LEN(IF(LEN(INDEX('Vendor COIs'!$D$4:$D$503,(_calc!$E$108-500)))=0,"",INDEX('Vendor COIs'!$D$4:$D$503,(_calc!$E$108-500))))=0,"","Policy no.: "&amp;IF(LEN(INDEX('Vendor COIs'!$D$4:$D$503,(_calc!$E$108-500)))=0,"",INDEX('Vendor COIs'!$D$4:$D$503,(_calc!$E$108-500)))&amp;". ")&amp;IF(LEN(IF(LEN(INDEX('Vendor COIs'!$F$4:$F$503,(_calc!$E$108-500)))=0,"",INDEX('Vendor COIs'!$F$4:$F$503,(_calc!$E$108-500))))=0,"","Meets minimum: "&amp;IF(LEN(INDEX('Vendor COIs'!$F$4:$F$503,(_calc!$E$108-500)))=0,"",INDEX('Vendor COIs'!$F$4:$F$503,(_calc!$E$108-500)))&amp;". ")&amp;IF(LEN(IF(LEN(INDEX('Vendor COIs'!$G$4:$G$503,(_calc!$E$108-500)))=0,"",INDEX('Vendor COIs'!$G$4:$G$503,(_calc!$E$108-500))))=0,"","Additional insured: "&amp;IF(LEN(INDEX('Vendor COIs'!$G$4:$G$503,(_calc!$E$108-500)))=0,"",INDEX('Vendor COIs'!$G$4:$G$503,(_calc!$E$108-500)))&amp;". ")&amp;IF(LEN(IF(LEN(INDEX('Vendor COIs'!$M$4:$M$503,(_calc!$E$108-500)))=0,"",INDEX('Vendor COIs'!$M$4:$M$503,(_calc!$E$108-500))))=0,"","Vendor contact: "&amp;IF(LEN(INDEX('Vendor COIs'!$M$4:$M$503,(_calc!$E$108-500)))=0,"",INDEX('Vendor COIs'!$M$4:$M$503,(_calc!$E$108-500)))&amp;". ")&amp;IF(LEN(IF(LEN(INDEX('Vendor COIs'!$P$4:$P$503,(_calc!$E$108-500)))=0,"",INDEX('Vendor COIs'!$P$4:$P$503,(_calc!$E$108-500))))=0,"",IF(LEN(INDEX('Vendor COIs'!$P$4:$P$503,(_calc!$E$108-500)))=0,"",INDEX('Vendor COIs'!$P$4:$P$503,(_calc!$E$108-500)))))))</f>
        <v/>
      </c>
      <c r="G106" s="46">
        <f>IF(_calc!$E$108="","",IF(_calc!$E$108&lt;=500,IF(LEN(INDEX('Our policies'!$R$4:$R$503,_calc!$E$108))=0,"",INDEX('Our policies'!$R$4:$R$503,_calc!$E$108)),IF(LEN(INDEX('Vendor COIs'!$O$4:$O$503,(_calc!$E$108-500)))=0,"",INDEX('Vendor COIs'!$O$4:$O$503,(_calc!$E$108-500)))))</f>
        <v/>
      </c>
      <c r="H106" s="46">
        <f>IF(_calc!$E$108="","",IF(_calc!$E$108&lt;=500,IF(LEN(INDEX('Our policies'!$G$4:$G$503,_calc!$E$108))=0,"",INDEX('Our policies'!$G$4:$G$503,_calc!$E$108)),""))</f>
        <v/>
      </c>
      <c r="I106" s="46">
        <f>IF(_calc!$E$108="","",IF(_calc!$E$108&lt;=500,IF(LEN(INDEX('Our policies'!$H$4:$H$503,_calc!$E$108))=0,"",INDEX('Our policies'!$H$4:$H$503,_calc!$E$108)),""))</f>
        <v/>
      </c>
      <c r="K106" s="46">
        <f>IF(_calc!$E$108="","",IF(_calc!$E$108&lt;=500,IF(LEN(INDEX('Our policies'!$P$4:$P$503,_calc!$E$108))=0,"",INDEX('Our policies'!$P$4:$P$503,_calc!$E$108)),IF(LEN(INDEX('Vendor COIs'!$N$4:$N$503,(_calc!$E$108-500)))=0,"",INDEX('Vendor COIs'!$N$4:$N$503,(_calc!$E$108-500)))))</f>
        <v/>
      </c>
    </row>
    <row r="107">
      <c r="A107" s="46">
        <f>IF(_calc!$E$109="","",IF(_calc!$E$109&lt;=500,IF(LEN(INDEX('Our policies'!$A$4:$A$503,_calc!$E$109))=0,"",INDEX('Our policies'!$A$4:$A$503,_calc!$E$109)),"COI – "&amp;IF(LEN(INDEX('Vendor COIs'!$A$4:$A$503,(_calc!$E$109-500)))=0,"",INDEX('Vendor COIs'!$A$4:$A$503,(_calc!$E$109-500)))&amp;" – "&amp;IF(LEN(INDEX('Vendor COIs'!$B$4:$B$503,(_calc!$E$109-500)))=0,"",INDEX('Vendor COIs'!$B$4:$B$503,(_calc!$E$109-500)))))</f>
        <v/>
      </c>
      <c r="B107" s="46">
        <f>IF(_calc!$E$109="","",IF(_calc!$E$109&lt;=500,IF(ISNUMBER(INDEX('Our policies'!$J$4:$J$503,_calc!$E$109)),TEXT(INDEX('Our policies'!$J$4:$J$503,_calc!$E$109),"yyyy-mm-dd"),""),IF(ISNUMBER(INDEX('Vendor COIs'!$H$4:$H$503,(_calc!$E$109-500))),TEXT(INDEX('Vendor COIs'!$H$4:$H$503,(_calc!$E$109-500)),"yyyy-mm-dd"),"")))</f>
        <v/>
      </c>
      <c r="C107" s="46">
        <f>IF(_calc!$E$109="","",IF(_calc!$E$109&lt;=500,"Insurance","Certificate of insurance"))</f>
        <v/>
      </c>
      <c r="D107" s="46">
        <f>IF(_calc!$E$109="","",IF(_calc!$E$109&lt;=500,IF(ISNUMBER(INDEX('Our policies'!$I$4:$I$503,_calc!$E$109)),TEXT(INDEX('Our policies'!$I$4:$I$503,_calc!$E$109),"yyyy-mm-dd"),""),""))</f>
        <v/>
      </c>
      <c r="E107" s="46">
        <f>IF(_calc!$E$109="","",IF(_calc!$E$109&lt;=500,IF(LEN(INDEX('Our policies'!$Q$4:$Q$503,_calc!$E$109))=0,"",INDEX('Our policies'!$Q$4:$Q$503,_calc!$E$109)),"Medium"))</f>
        <v/>
      </c>
      <c r="F107" s="46">
        <f>IF(_calc!$E$109="","",IF(_calc!$E$109&lt;=500,TRIM(IF(LEN(IF(LEN(INDEX('Our policies'!$B$4:$B$503,_calc!$E$109))=0,"",INDEX('Our policies'!$B$4:$B$503,_calc!$E$109)))=0,"","Cover: "&amp;IF(LEN(INDEX('Our policies'!$B$4:$B$503,_calc!$E$109))=0,"",INDEX('Our policies'!$B$4:$B$503,_calc!$E$109))&amp;". ")&amp;IF(LEN(IF(LEN(INDEX('Our policies'!$C$4:$C$503,_calc!$E$109))=0,"",INDEX('Our policies'!$C$4:$C$503,_calc!$E$109)))=0,"","Insurer: "&amp;IF(LEN(INDEX('Our policies'!$C$4:$C$503,_calc!$E$109))=0,"",INDEX('Our policies'!$C$4:$C$503,_calc!$E$109))&amp;". ")&amp;IF(LEN(IF(LEN(INDEX('Our policies'!$D$4:$D$503,_calc!$E$109))=0,"",INDEX('Our policies'!$D$4:$D$503,_calc!$E$109)))=0,"","Broker: "&amp;IF(LEN(INDEX('Our policies'!$D$4:$D$503,_calc!$E$109))=0,"",INDEX('Our policies'!$D$4:$D$503,_calc!$E$109))&amp;". ")&amp;IF(LEN(IF(LEN(INDEX('Our policies'!$E$4:$E$503,_calc!$E$109))=0,"",INDEX('Our policies'!$E$4:$E$503,_calc!$E$109)))=0,"","Policy no.: "&amp;IF(LEN(INDEX('Our policies'!$E$4:$E$503,_calc!$E$109))=0,"",INDEX('Our policies'!$E$4:$E$503,_calc!$E$109))&amp;". ")&amp;IF(LEN(IF(LEN(INDEX('Our policies'!$S$4:$S$503,_calc!$E$109))=0,"",INDEX('Our policies'!$S$4:$S$503,_calc!$E$109)))=0,"",IF(LEN(INDEX('Our policies'!$S$4:$S$503,_calc!$E$109))=0,"",INDEX('Our policies'!$S$4:$S$503,_calc!$E$109)))),TRIM(IF(LEN(IF(LEN(INDEX('Vendor COIs'!$C$4:$C$503,(_calc!$E$109-500)))=0,"",INDEX('Vendor COIs'!$C$4:$C$503,(_calc!$E$109-500))))=0,"","Insurer: "&amp;IF(LEN(INDEX('Vendor COIs'!$C$4:$C$503,(_calc!$E$109-500)))=0,"",INDEX('Vendor COIs'!$C$4:$C$503,(_calc!$E$109-500)))&amp;". ")&amp;IF(LEN(IF(LEN(INDEX('Vendor COIs'!$D$4:$D$503,(_calc!$E$109-500)))=0,"",INDEX('Vendor COIs'!$D$4:$D$503,(_calc!$E$109-500))))=0,"","Policy no.: "&amp;IF(LEN(INDEX('Vendor COIs'!$D$4:$D$503,(_calc!$E$109-500)))=0,"",INDEX('Vendor COIs'!$D$4:$D$503,(_calc!$E$109-500)))&amp;". ")&amp;IF(LEN(IF(LEN(INDEX('Vendor COIs'!$F$4:$F$503,(_calc!$E$109-500)))=0,"",INDEX('Vendor COIs'!$F$4:$F$503,(_calc!$E$109-500))))=0,"","Meets minimum: "&amp;IF(LEN(INDEX('Vendor COIs'!$F$4:$F$503,(_calc!$E$109-500)))=0,"",INDEX('Vendor COIs'!$F$4:$F$503,(_calc!$E$109-500)))&amp;". ")&amp;IF(LEN(IF(LEN(INDEX('Vendor COIs'!$G$4:$G$503,(_calc!$E$109-500)))=0,"",INDEX('Vendor COIs'!$G$4:$G$503,(_calc!$E$109-500))))=0,"","Additional insured: "&amp;IF(LEN(INDEX('Vendor COIs'!$G$4:$G$503,(_calc!$E$109-500)))=0,"",INDEX('Vendor COIs'!$G$4:$G$503,(_calc!$E$109-500)))&amp;". ")&amp;IF(LEN(IF(LEN(INDEX('Vendor COIs'!$M$4:$M$503,(_calc!$E$109-500)))=0,"",INDEX('Vendor COIs'!$M$4:$M$503,(_calc!$E$109-500))))=0,"","Vendor contact: "&amp;IF(LEN(INDEX('Vendor COIs'!$M$4:$M$503,(_calc!$E$109-500)))=0,"",INDEX('Vendor COIs'!$M$4:$M$503,(_calc!$E$109-500)))&amp;". ")&amp;IF(LEN(IF(LEN(INDEX('Vendor COIs'!$P$4:$P$503,(_calc!$E$109-500)))=0,"",INDEX('Vendor COIs'!$P$4:$P$503,(_calc!$E$109-500))))=0,"",IF(LEN(INDEX('Vendor COIs'!$P$4:$P$503,(_calc!$E$109-500)))=0,"",INDEX('Vendor COIs'!$P$4:$P$503,(_calc!$E$109-500)))))))</f>
        <v/>
      </c>
      <c r="G107" s="46">
        <f>IF(_calc!$E$109="","",IF(_calc!$E$109&lt;=500,IF(LEN(INDEX('Our policies'!$R$4:$R$503,_calc!$E$109))=0,"",INDEX('Our policies'!$R$4:$R$503,_calc!$E$109)),IF(LEN(INDEX('Vendor COIs'!$O$4:$O$503,(_calc!$E$109-500)))=0,"",INDEX('Vendor COIs'!$O$4:$O$503,(_calc!$E$109-500)))))</f>
        <v/>
      </c>
      <c r="H107" s="46">
        <f>IF(_calc!$E$109="","",IF(_calc!$E$109&lt;=500,IF(LEN(INDEX('Our policies'!$G$4:$G$503,_calc!$E$109))=0,"",INDEX('Our policies'!$G$4:$G$503,_calc!$E$109)),""))</f>
        <v/>
      </c>
      <c r="I107" s="46">
        <f>IF(_calc!$E$109="","",IF(_calc!$E$109&lt;=500,IF(LEN(INDEX('Our policies'!$H$4:$H$503,_calc!$E$109))=0,"",INDEX('Our policies'!$H$4:$H$503,_calc!$E$109)),""))</f>
        <v/>
      </c>
      <c r="K107" s="46">
        <f>IF(_calc!$E$109="","",IF(_calc!$E$109&lt;=500,IF(LEN(INDEX('Our policies'!$P$4:$P$503,_calc!$E$109))=0,"",INDEX('Our policies'!$P$4:$P$503,_calc!$E$109)),IF(LEN(INDEX('Vendor COIs'!$N$4:$N$503,(_calc!$E$109-500)))=0,"",INDEX('Vendor COIs'!$N$4:$N$503,(_calc!$E$109-500)))))</f>
        <v/>
      </c>
    </row>
    <row r="108">
      <c r="A108" s="46">
        <f>IF(_calc!$E$110="","",IF(_calc!$E$110&lt;=500,IF(LEN(INDEX('Our policies'!$A$4:$A$503,_calc!$E$110))=0,"",INDEX('Our policies'!$A$4:$A$503,_calc!$E$110)),"COI – "&amp;IF(LEN(INDEX('Vendor COIs'!$A$4:$A$503,(_calc!$E$110-500)))=0,"",INDEX('Vendor COIs'!$A$4:$A$503,(_calc!$E$110-500)))&amp;" – "&amp;IF(LEN(INDEX('Vendor COIs'!$B$4:$B$503,(_calc!$E$110-500)))=0,"",INDEX('Vendor COIs'!$B$4:$B$503,(_calc!$E$110-500)))))</f>
        <v/>
      </c>
      <c r="B108" s="46">
        <f>IF(_calc!$E$110="","",IF(_calc!$E$110&lt;=500,IF(ISNUMBER(INDEX('Our policies'!$J$4:$J$503,_calc!$E$110)),TEXT(INDEX('Our policies'!$J$4:$J$503,_calc!$E$110),"yyyy-mm-dd"),""),IF(ISNUMBER(INDEX('Vendor COIs'!$H$4:$H$503,(_calc!$E$110-500))),TEXT(INDEX('Vendor COIs'!$H$4:$H$503,(_calc!$E$110-500)),"yyyy-mm-dd"),"")))</f>
        <v/>
      </c>
      <c r="C108" s="46">
        <f>IF(_calc!$E$110="","",IF(_calc!$E$110&lt;=500,"Insurance","Certificate of insurance"))</f>
        <v/>
      </c>
      <c r="D108" s="46">
        <f>IF(_calc!$E$110="","",IF(_calc!$E$110&lt;=500,IF(ISNUMBER(INDEX('Our policies'!$I$4:$I$503,_calc!$E$110)),TEXT(INDEX('Our policies'!$I$4:$I$503,_calc!$E$110),"yyyy-mm-dd"),""),""))</f>
        <v/>
      </c>
      <c r="E108" s="46">
        <f>IF(_calc!$E$110="","",IF(_calc!$E$110&lt;=500,IF(LEN(INDEX('Our policies'!$Q$4:$Q$503,_calc!$E$110))=0,"",INDEX('Our policies'!$Q$4:$Q$503,_calc!$E$110)),"Medium"))</f>
        <v/>
      </c>
      <c r="F108" s="46">
        <f>IF(_calc!$E$110="","",IF(_calc!$E$110&lt;=500,TRIM(IF(LEN(IF(LEN(INDEX('Our policies'!$B$4:$B$503,_calc!$E$110))=0,"",INDEX('Our policies'!$B$4:$B$503,_calc!$E$110)))=0,"","Cover: "&amp;IF(LEN(INDEX('Our policies'!$B$4:$B$503,_calc!$E$110))=0,"",INDEX('Our policies'!$B$4:$B$503,_calc!$E$110))&amp;". ")&amp;IF(LEN(IF(LEN(INDEX('Our policies'!$C$4:$C$503,_calc!$E$110))=0,"",INDEX('Our policies'!$C$4:$C$503,_calc!$E$110)))=0,"","Insurer: "&amp;IF(LEN(INDEX('Our policies'!$C$4:$C$503,_calc!$E$110))=0,"",INDEX('Our policies'!$C$4:$C$503,_calc!$E$110))&amp;". ")&amp;IF(LEN(IF(LEN(INDEX('Our policies'!$D$4:$D$503,_calc!$E$110))=0,"",INDEX('Our policies'!$D$4:$D$503,_calc!$E$110)))=0,"","Broker: "&amp;IF(LEN(INDEX('Our policies'!$D$4:$D$503,_calc!$E$110))=0,"",INDEX('Our policies'!$D$4:$D$503,_calc!$E$110))&amp;". ")&amp;IF(LEN(IF(LEN(INDEX('Our policies'!$E$4:$E$503,_calc!$E$110))=0,"",INDEX('Our policies'!$E$4:$E$503,_calc!$E$110)))=0,"","Policy no.: "&amp;IF(LEN(INDEX('Our policies'!$E$4:$E$503,_calc!$E$110))=0,"",INDEX('Our policies'!$E$4:$E$503,_calc!$E$110))&amp;". ")&amp;IF(LEN(IF(LEN(INDEX('Our policies'!$S$4:$S$503,_calc!$E$110))=0,"",INDEX('Our policies'!$S$4:$S$503,_calc!$E$110)))=0,"",IF(LEN(INDEX('Our policies'!$S$4:$S$503,_calc!$E$110))=0,"",INDEX('Our policies'!$S$4:$S$503,_calc!$E$110)))),TRIM(IF(LEN(IF(LEN(INDEX('Vendor COIs'!$C$4:$C$503,(_calc!$E$110-500)))=0,"",INDEX('Vendor COIs'!$C$4:$C$503,(_calc!$E$110-500))))=0,"","Insurer: "&amp;IF(LEN(INDEX('Vendor COIs'!$C$4:$C$503,(_calc!$E$110-500)))=0,"",INDEX('Vendor COIs'!$C$4:$C$503,(_calc!$E$110-500)))&amp;". ")&amp;IF(LEN(IF(LEN(INDEX('Vendor COIs'!$D$4:$D$503,(_calc!$E$110-500)))=0,"",INDEX('Vendor COIs'!$D$4:$D$503,(_calc!$E$110-500))))=0,"","Policy no.: "&amp;IF(LEN(INDEX('Vendor COIs'!$D$4:$D$503,(_calc!$E$110-500)))=0,"",INDEX('Vendor COIs'!$D$4:$D$503,(_calc!$E$110-500)))&amp;". ")&amp;IF(LEN(IF(LEN(INDEX('Vendor COIs'!$F$4:$F$503,(_calc!$E$110-500)))=0,"",INDEX('Vendor COIs'!$F$4:$F$503,(_calc!$E$110-500))))=0,"","Meets minimum: "&amp;IF(LEN(INDEX('Vendor COIs'!$F$4:$F$503,(_calc!$E$110-500)))=0,"",INDEX('Vendor COIs'!$F$4:$F$503,(_calc!$E$110-500)))&amp;". ")&amp;IF(LEN(IF(LEN(INDEX('Vendor COIs'!$G$4:$G$503,(_calc!$E$110-500)))=0,"",INDEX('Vendor COIs'!$G$4:$G$503,(_calc!$E$110-500))))=0,"","Additional insured: "&amp;IF(LEN(INDEX('Vendor COIs'!$G$4:$G$503,(_calc!$E$110-500)))=0,"",INDEX('Vendor COIs'!$G$4:$G$503,(_calc!$E$110-500)))&amp;". ")&amp;IF(LEN(IF(LEN(INDEX('Vendor COIs'!$M$4:$M$503,(_calc!$E$110-500)))=0,"",INDEX('Vendor COIs'!$M$4:$M$503,(_calc!$E$110-500))))=0,"","Vendor contact: "&amp;IF(LEN(INDEX('Vendor COIs'!$M$4:$M$503,(_calc!$E$110-500)))=0,"",INDEX('Vendor COIs'!$M$4:$M$503,(_calc!$E$110-500)))&amp;". ")&amp;IF(LEN(IF(LEN(INDEX('Vendor COIs'!$P$4:$P$503,(_calc!$E$110-500)))=0,"",INDEX('Vendor COIs'!$P$4:$P$503,(_calc!$E$110-500))))=0,"",IF(LEN(INDEX('Vendor COIs'!$P$4:$P$503,(_calc!$E$110-500)))=0,"",INDEX('Vendor COIs'!$P$4:$P$503,(_calc!$E$110-500)))))))</f>
        <v/>
      </c>
      <c r="G108" s="46">
        <f>IF(_calc!$E$110="","",IF(_calc!$E$110&lt;=500,IF(LEN(INDEX('Our policies'!$R$4:$R$503,_calc!$E$110))=0,"",INDEX('Our policies'!$R$4:$R$503,_calc!$E$110)),IF(LEN(INDEX('Vendor COIs'!$O$4:$O$503,(_calc!$E$110-500)))=0,"",INDEX('Vendor COIs'!$O$4:$O$503,(_calc!$E$110-500)))))</f>
        <v/>
      </c>
      <c r="H108" s="46">
        <f>IF(_calc!$E$110="","",IF(_calc!$E$110&lt;=500,IF(LEN(INDEX('Our policies'!$G$4:$G$503,_calc!$E$110))=0,"",INDEX('Our policies'!$G$4:$G$503,_calc!$E$110)),""))</f>
        <v/>
      </c>
      <c r="I108" s="46">
        <f>IF(_calc!$E$110="","",IF(_calc!$E$110&lt;=500,IF(LEN(INDEX('Our policies'!$H$4:$H$503,_calc!$E$110))=0,"",INDEX('Our policies'!$H$4:$H$503,_calc!$E$110)),""))</f>
        <v/>
      </c>
      <c r="K108" s="46">
        <f>IF(_calc!$E$110="","",IF(_calc!$E$110&lt;=500,IF(LEN(INDEX('Our policies'!$P$4:$P$503,_calc!$E$110))=0,"",INDEX('Our policies'!$P$4:$P$503,_calc!$E$110)),IF(LEN(INDEX('Vendor COIs'!$N$4:$N$503,(_calc!$E$110-500)))=0,"",INDEX('Vendor COIs'!$N$4:$N$503,(_calc!$E$110-500)))))</f>
        <v/>
      </c>
    </row>
    <row r="109">
      <c r="A109" s="46">
        <f>IF(_calc!$E$111="","",IF(_calc!$E$111&lt;=500,IF(LEN(INDEX('Our policies'!$A$4:$A$503,_calc!$E$111))=0,"",INDEX('Our policies'!$A$4:$A$503,_calc!$E$111)),"COI – "&amp;IF(LEN(INDEX('Vendor COIs'!$A$4:$A$503,(_calc!$E$111-500)))=0,"",INDEX('Vendor COIs'!$A$4:$A$503,(_calc!$E$111-500)))&amp;" – "&amp;IF(LEN(INDEX('Vendor COIs'!$B$4:$B$503,(_calc!$E$111-500)))=0,"",INDEX('Vendor COIs'!$B$4:$B$503,(_calc!$E$111-500)))))</f>
        <v/>
      </c>
      <c r="B109" s="46">
        <f>IF(_calc!$E$111="","",IF(_calc!$E$111&lt;=500,IF(ISNUMBER(INDEX('Our policies'!$J$4:$J$503,_calc!$E$111)),TEXT(INDEX('Our policies'!$J$4:$J$503,_calc!$E$111),"yyyy-mm-dd"),""),IF(ISNUMBER(INDEX('Vendor COIs'!$H$4:$H$503,(_calc!$E$111-500))),TEXT(INDEX('Vendor COIs'!$H$4:$H$503,(_calc!$E$111-500)),"yyyy-mm-dd"),"")))</f>
        <v/>
      </c>
      <c r="C109" s="46">
        <f>IF(_calc!$E$111="","",IF(_calc!$E$111&lt;=500,"Insurance","Certificate of insurance"))</f>
        <v/>
      </c>
      <c r="D109" s="46">
        <f>IF(_calc!$E$111="","",IF(_calc!$E$111&lt;=500,IF(ISNUMBER(INDEX('Our policies'!$I$4:$I$503,_calc!$E$111)),TEXT(INDEX('Our policies'!$I$4:$I$503,_calc!$E$111),"yyyy-mm-dd"),""),""))</f>
        <v/>
      </c>
      <c r="E109" s="46">
        <f>IF(_calc!$E$111="","",IF(_calc!$E$111&lt;=500,IF(LEN(INDEX('Our policies'!$Q$4:$Q$503,_calc!$E$111))=0,"",INDEX('Our policies'!$Q$4:$Q$503,_calc!$E$111)),"Medium"))</f>
        <v/>
      </c>
      <c r="F109" s="46">
        <f>IF(_calc!$E$111="","",IF(_calc!$E$111&lt;=500,TRIM(IF(LEN(IF(LEN(INDEX('Our policies'!$B$4:$B$503,_calc!$E$111))=0,"",INDEX('Our policies'!$B$4:$B$503,_calc!$E$111)))=0,"","Cover: "&amp;IF(LEN(INDEX('Our policies'!$B$4:$B$503,_calc!$E$111))=0,"",INDEX('Our policies'!$B$4:$B$503,_calc!$E$111))&amp;". ")&amp;IF(LEN(IF(LEN(INDEX('Our policies'!$C$4:$C$503,_calc!$E$111))=0,"",INDEX('Our policies'!$C$4:$C$503,_calc!$E$111)))=0,"","Insurer: "&amp;IF(LEN(INDEX('Our policies'!$C$4:$C$503,_calc!$E$111))=0,"",INDEX('Our policies'!$C$4:$C$503,_calc!$E$111))&amp;". ")&amp;IF(LEN(IF(LEN(INDEX('Our policies'!$D$4:$D$503,_calc!$E$111))=0,"",INDEX('Our policies'!$D$4:$D$503,_calc!$E$111)))=0,"","Broker: "&amp;IF(LEN(INDEX('Our policies'!$D$4:$D$503,_calc!$E$111))=0,"",INDEX('Our policies'!$D$4:$D$503,_calc!$E$111))&amp;". ")&amp;IF(LEN(IF(LEN(INDEX('Our policies'!$E$4:$E$503,_calc!$E$111))=0,"",INDEX('Our policies'!$E$4:$E$503,_calc!$E$111)))=0,"","Policy no.: "&amp;IF(LEN(INDEX('Our policies'!$E$4:$E$503,_calc!$E$111))=0,"",INDEX('Our policies'!$E$4:$E$503,_calc!$E$111))&amp;". ")&amp;IF(LEN(IF(LEN(INDEX('Our policies'!$S$4:$S$503,_calc!$E$111))=0,"",INDEX('Our policies'!$S$4:$S$503,_calc!$E$111)))=0,"",IF(LEN(INDEX('Our policies'!$S$4:$S$503,_calc!$E$111))=0,"",INDEX('Our policies'!$S$4:$S$503,_calc!$E$111)))),TRIM(IF(LEN(IF(LEN(INDEX('Vendor COIs'!$C$4:$C$503,(_calc!$E$111-500)))=0,"",INDEX('Vendor COIs'!$C$4:$C$503,(_calc!$E$111-500))))=0,"","Insurer: "&amp;IF(LEN(INDEX('Vendor COIs'!$C$4:$C$503,(_calc!$E$111-500)))=0,"",INDEX('Vendor COIs'!$C$4:$C$503,(_calc!$E$111-500)))&amp;". ")&amp;IF(LEN(IF(LEN(INDEX('Vendor COIs'!$D$4:$D$503,(_calc!$E$111-500)))=0,"",INDEX('Vendor COIs'!$D$4:$D$503,(_calc!$E$111-500))))=0,"","Policy no.: "&amp;IF(LEN(INDEX('Vendor COIs'!$D$4:$D$503,(_calc!$E$111-500)))=0,"",INDEX('Vendor COIs'!$D$4:$D$503,(_calc!$E$111-500)))&amp;". ")&amp;IF(LEN(IF(LEN(INDEX('Vendor COIs'!$F$4:$F$503,(_calc!$E$111-500)))=0,"",INDEX('Vendor COIs'!$F$4:$F$503,(_calc!$E$111-500))))=0,"","Meets minimum: "&amp;IF(LEN(INDEX('Vendor COIs'!$F$4:$F$503,(_calc!$E$111-500)))=0,"",INDEX('Vendor COIs'!$F$4:$F$503,(_calc!$E$111-500)))&amp;". ")&amp;IF(LEN(IF(LEN(INDEX('Vendor COIs'!$G$4:$G$503,(_calc!$E$111-500)))=0,"",INDEX('Vendor COIs'!$G$4:$G$503,(_calc!$E$111-500))))=0,"","Additional insured: "&amp;IF(LEN(INDEX('Vendor COIs'!$G$4:$G$503,(_calc!$E$111-500)))=0,"",INDEX('Vendor COIs'!$G$4:$G$503,(_calc!$E$111-500)))&amp;". ")&amp;IF(LEN(IF(LEN(INDEX('Vendor COIs'!$M$4:$M$503,(_calc!$E$111-500)))=0,"",INDEX('Vendor COIs'!$M$4:$M$503,(_calc!$E$111-500))))=0,"","Vendor contact: "&amp;IF(LEN(INDEX('Vendor COIs'!$M$4:$M$503,(_calc!$E$111-500)))=0,"",INDEX('Vendor COIs'!$M$4:$M$503,(_calc!$E$111-500)))&amp;". ")&amp;IF(LEN(IF(LEN(INDEX('Vendor COIs'!$P$4:$P$503,(_calc!$E$111-500)))=0,"",INDEX('Vendor COIs'!$P$4:$P$503,(_calc!$E$111-500))))=0,"",IF(LEN(INDEX('Vendor COIs'!$P$4:$P$503,(_calc!$E$111-500)))=0,"",INDEX('Vendor COIs'!$P$4:$P$503,(_calc!$E$111-500)))))))</f>
        <v/>
      </c>
      <c r="G109" s="46">
        <f>IF(_calc!$E$111="","",IF(_calc!$E$111&lt;=500,IF(LEN(INDEX('Our policies'!$R$4:$R$503,_calc!$E$111))=0,"",INDEX('Our policies'!$R$4:$R$503,_calc!$E$111)),IF(LEN(INDEX('Vendor COIs'!$O$4:$O$503,(_calc!$E$111-500)))=0,"",INDEX('Vendor COIs'!$O$4:$O$503,(_calc!$E$111-500)))))</f>
        <v/>
      </c>
      <c r="H109" s="46">
        <f>IF(_calc!$E$111="","",IF(_calc!$E$111&lt;=500,IF(LEN(INDEX('Our policies'!$G$4:$G$503,_calc!$E$111))=0,"",INDEX('Our policies'!$G$4:$G$503,_calc!$E$111)),""))</f>
        <v/>
      </c>
      <c r="I109" s="46">
        <f>IF(_calc!$E$111="","",IF(_calc!$E$111&lt;=500,IF(LEN(INDEX('Our policies'!$H$4:$H$503,_calc!$E$111))=0,"",INDEX('Our policies'!$H$4:$H$503,_calc!$E$111)),""))</f>
        <v/>
      </c>
      <c r="K109" s="46">
        <f>IF(_calc!$E$111="","",IF(_calc!$E$111&lt;=500,IF(LEN(INDEX('Our policies'!$P$4:$P$503,_calc!$E$111))=0,"",INDEX('Our policies'!$P$4:$P$503,_calc!$E$111)),IF(LEN(INDEX('Vendor COIs'!$N$4:$N$503,(_calc!$E$111-500)))=0,"",INDEX('Vendor COIs'!$N$4:$N$503,(_calc!$E$111-500)))))</f>
        <v/>
      </c>
    </row>
    <row r="110">
      <c r="A110" s="46">
        <f>IF(_calc!$E$112="","",IF(_calc!$E$112&lt;=500,IF(LEN(INDEX('Our policies'!$A$4:$A$503,_calc!$E$112))=0,"",INDEX('Our policies'!$A$4:$A$503,_calc!$E$112)),"COI – "&amp;IF(LEN(INDEX('Vendor COIs'!$A$4:$A$503,(_calc!$E$112-500)))=0,"",INDEX('Vendor COIs'!$A$4:$A$503,(_calc!$E$112-500)))&amp;" – "&amp;IF(LEN(INDEX('Vendor COIs'!$B$4:$B$503,(_calc!$E$112-500)))=0,"",INDEX('Vendor COIs'!$B$4:$B$503,(_calc!$E$112-500)))))</f>
        <v/>
      </c>
      <c r="B110" s="46">
        <f>IF(_calc!$E$112="","",IF(_calc!$E$112&lt;=500,IF(ISNUMBER(INDEX('Our policies'!$J$4:$J$503,_calc!$E$112)),TEXT(INDEX('Our policies'!$J$4:$J$503,_calc!$E$112),"yyyy-mm-dd"),""),IF(ISNUMBER(INDEX('Vendor COIs'!$H$4:$H$503,(_calc!$E$112-500))),TEXT(INDEX('Vendor COIs'!$H$4:$H$503,(_calc!$E$112-500)),"yyyy-mm-dd"),"")))</f>
        <v/>
      </c>
      <c r="C110" s="46">
        <f>IF(_calc!$E$112="","",IF(_calc!$E$112&lt;=500,"Insurance","Certificate of insurance"))</f>
        <v/>
      </c>
      <c r="D110" s="46">
        <f>IF(_calc!$E$112="","",IF(_calc!$E$112&lt;=500,IF(ISNUMBER(INDEX('Our policies'!$I$4:$I$503,_calc!$E$112)),TEXT(INDEX('Our policies'!$I$4:$I$503,_calc!$E$112),"yyyy-mm-dd"),""),""))</f>
        <v/>
      </c>
      <c r="E110" s="46">
        <f>IF(_calc!$E$112="","",IF(_calc!$E$112&lt;=500,IF(LEN(INDEX('Our policies'!$Q$4:$Q$503,_calc!$E$112))=0,"",INDEX('Our policies'!$Q$4:$Q$503,_calc!$E$112)),"Medium"))</f>
        <v/>
      </c>
      <c r="F110" s="46">
        <f>IF(_calc!$E$112="","",IF(_calc!$E$112&lt;=500,TRIM(IF(LEN(IF(LEN(INDEX('Our policies'!$B$4:$B$503,_calc!$E$112))=0,"",INDEX('Our policies'!$B$4:$B$503,_calc!$E$112)))=0,"","Cover: "&amp;IF(LEN(INDEX('Our policies'!$B$4:$B$503,_calc!$E$112))=0,"",INDEX('Our policies'!$B$4:$B$503,_calc!$E$112))&amp;". ")&amp;IF(LEN(IF(LEN(INDEX('Our policies'!$C$4:$C$503,_calc!$E$112))=0,"",INDEX('Our policies'!$C$4:$C$503,_calc!$E$112)))=0,"","Insurer: "&amp;IF(LEN(INDEX('Our policies'!$C$4:$C$503,_calc!$E$112))=0,"",INDEX('Our policies'!$C$4:$C$503,_calc!$E$112))&amp;". ")&amp;IF(LEN(IF(LEN(INDEX('Our policies'!$D$4:$D$503,_calc!$E$112))=0,"",INDEX('Our policies'!$D$4:$D$503,_calc!$E$112)))=0,"","Broker: "&amp;IF(LEN(INDEX('Our policies'!$D$4:$D$503,_calc!$E$112))=0,"",INDEX('Our policies'!$D$4:$D$503,_calc!$E$112))&amp;". ")&amp;IF(LEN(IF(LEN(INDEX('Our policies'!$E$4:$E$503,_calc!$E$112))=0,"",INDEX('Our policies'!$E$4:$E$503,_calc!$E$112)))=0,"","Policy no.: "&amp;IF(LEN(INDEX('Our policies'!$E$4:$E$503,_calc!$E$112))=0,"",INDEX('Our policies'!$E$4:$E$503,_calc!$E$112))&amp;". ")&amp;IF(LEN(IF(LEN(INDEX('Our policies'!$S$4:$S$503,_calc!$E$112))=0,"",INDEX('Our policies'!$S$4:$S$503,_calc!$E$112)))=0,"",IF(LEN(INDEX('Our policies'!$S$4:$S$503,_calc!$E$112))=0,"",INDEX('Our policies'!$S$4:$S$503,_calc!$E$112)))),TRIM(IF(LEN(IF(LEN(INDEX('Vendor COIs'!$C$4:$C$503,(_calc!$E$112-500)))=0,"",INDEX('Vendor COIs'!$C$4:$C$503,(_calc!$E$112-500))))=0,"","Insurer: "&amp;IF(LEN(INDEX('Vendor COIs'!$C$4:$C$503,(_calc!$E$112-500)))=0,"",INDEX('Vendor COIs'!$C$4:$C$503,(_calc!$E$112-500)))&amp;". ")&amp;IF(LEN(IF(LEN(INDEX('Vendor COIs'!$D$4:$D$503,(_calc!$E$112-500)))=0,"",INDEX('Vendor COIs'!$D$4:$D$503,(_calc!$E$112-500))))=0,"","Policy no.: "&amp;IF(LEN(INDEX('Vendor COIs'!$D$4:$D$503,(_calc!$E$112-500)))=0,"",INDEX('Vendor COIs'!$D$4:$D$503,(_calc!$E$112-500)))&amp;". ")&amp;IF(LEN(IF(LEN(INDEX('Vendor COIs'!$F$4:$F$503,(_calc!$E$112-500)))=0,"",INDEX('Vendor COIs'!$F$4:$F$503,(_calc!$E$112-500))))=0,"","Meets minimum: "&amp;IF(LEN(INDEX('Vendor COIs'!$F$4:$F$503,(_calc!$E$112-500)))=0,"",INDEX('Vendor COIs'!$F$4:$F$503,(_calc!$E$112-500)))&amp;". ")&amp;IF(LEN(IF(LEN(INDEX('Vendor COIs'!$G$4:$G$503,(_calc!$E$112-500)))=0,"",INDEX('Vendor COIs'!$G$4:$G$503,(_calc!$E$112-500))))=0,"","Additional insured: "&amp;IF(LEN(INDEX('Vendor COIs'!$G$4:$G$503,(_calc!$E$112-500)))=0,"",INDEX('Vendor COIs'!$G$4:$G$503,(_calc!$E$112-500)))&amp;". ")&amp;IF(LEN(IF(LEN(INDEX('Vendor COIs'!$M$4:$M$503,(_calc!$E$112-500)))=0,"",INDEX('Vendor COIs'!$M$4:$M$503,(_calc!$E$112-500))))=0,"","Vendor contact: "&amp;IF(LEN(INDEX('Vendor COIs'!$M$4:$M$503,(_calc!$E$112-500)))=0,"",INDEX('Vendor COIs'!$M$4:$M$503,(_calc!$E$112-500)))&amp;". ")&amp;IF(LEN(IF(LEN(INDEX('Vendor COIs'!$P$4:$P$503,(_calc!$E$112-500)))=0,"",INDEX('Vendor COIs'!$P$4:$P$503,(_calc!$E$112-500))))=0,"",IF(LEN(INDEX('Vendor COIs'!$P$4:$P$503,(_calc!$E$112-500)))=0,"",INDEX('Vendor COIs'!$P$4:$P$503,(_calc!$E$112-500)))))))</f>
        <v/>
      </c>
      <c r="G110" s="46">
        <f>IF(_calc!$E$112="","",IF(_calc!$E$112&lt;=500,IF(LEN(INDEX('Our policies'!$R$4:$R$503,_calc!$E$112))=0,"",INDEX('Our policies'!$R$4:$R$503,_calc!$E$112)),IF(LEN(INDEX('Vendor COIs'!$O$4:$O$503,(_calc!$E$112-500)))=0,"",INDEX('Vendor COIs'!$O$4:$O$503,(_calc!$E$112-500)))))</f>
        <v/>
      </c>
      <c r="H110" s="46">
        <f>IF(_calc!$E$112="","",IF(_calc!$E$112&lt;=500,IF(LEN(INDEX('Our policies'!$G$4:$G$503,_calc!$E$112))=0,"",INDEX('Our policies'!$G$4:$G$503,_calc!$E$112)),""))</f>
        <v/>
      </c>
      <c r="I110" s="46">
        <f>IF(_calc!$E$112="","",IF(_calc!$E$112&lt;=500,IF(LEN(INDEX('Our policies'!$H$4:$H$503,_calc!$E$112))=0,"",INDEX('Our policies'!$H$4:$H$503,_calc!$E$112)),""))</f>
        <v/>
      </c>
      <c r="K110" s="46">
        <f>IF(_calc!$E$112="","",IF(_calc!$E$112&lt;=500,IF(LEN(INDEX('Our policies'!$P$4:$P$503,_calc!$E$112))=0,"",INDEX('Our policies'!$P$4:$P$503,_calc!$E$112)),IF(LEN(INDEX('Vendor COIs'!$N$4:$N$503,(_calc!$E$112-500)))=0,"",INDEX('Vendor COIs'!$N$4:$N$503,(_calc!$E$112-500)))))</f>
        <v/>
      </c>
    </row>
    <row r="111">
      <c r="A111" s="46">
        <f>IF(_calc!$E$113="","",IF(_calc!$E$113&lt;=500,IF(LEN(INDEX('Our policies'!$A$4:$A$503,_calc!$E$113))=0,"",INDEX('Our policies'!$A$4:$A$503,_calc!$E$113)),"COI – "&amp;IF(LEN(INDEX('Vendor COIs'!$A$4:$A$503,(_calc!$E$113-500)))=0,"",INDEX('Vendor COIs'!$A$4:$A$503,(_calc!$E$113-500)))&amp;" – "&amp;IF(LEN(INDEX('Vendor COIs'!$B$4:$B$503,(_calc!$E$113-500)))=0,"",INDEX('Vendor COIs'!$B$4:$B$503,(_calc!$E$113-500)))))</f>
        <v/>
      </c>
      <c r="B111" s="46">
        <f>IF(_calc!$E$113="","",IF(_calc!$E$113&lt;=500,IF(ISNUMBER(INDEX('Our policies'!$J$4:$J$503,_calc!$E$113)),TEXT(INDEX('Our policies'!$J$4:$J$503,_calc!$E$113),"yyyy-mm-dd"),""),IF(ISNUMBER(INDEX('Vendor COIs'!$H$4:$H$503,(_calc!$E$113-500))),TEXT(INDEX('Vendor COIs'!$H$4:$H$503,(_calc!$E$113-500)),"yyyy-mm-dd"),"")))</f>
        <v/>
      </c>
      <c r="C111" s="46">
        <f>IF(_calc!$E$113="","",IF(_calc!$E$113&lt;=500,"Insurance","Certificate of insurance"))</f>
        <v/>
      </c>
      <c r="D111" s="46">
        <f>IF(_calc!$E$113="","",IF(_calc!$E$113&lt;=500,IF(ISNUMBER(INDEX('Our policies'!$I$4:$I$503,_calc!$E$113)),TEXT(INDEX('Our policies'!$I$4:$I$503,_calc!$E$113),"yyyy-mm-dd"),""),""))</f>
        <v/>
      </c>
      <c r="E111" s="46">
        <f>IF(_calc!$E$113="","",IF(_calc!$E$113&lt;=500,IF(LEN(INDEX('Our policies'!$Q$4:$Q$503,_calc!$E$113))=0,"",INDEX('Our policies'!$Q$4:$Q$503,_calc!$E$113)),"Medium"))</f>
        <v/>
      </c>
      <c r="F111" s="46">
        <f>IF(_calc!$E$113="","",IF(_calc!$E$113&lt;=500,TRIM(IF(LEN(IF(LEN(INDEX('Our policies'!$B$4:$B$503,_calc!$E$113))=0,"",INDEX('Our policies'!$B$4:$B$503,_calc!$E$113)))=0,"","Cover: "&amp;IF(LEN(INDEX('Our policies'!$B$4:$B$503,_calc!$E$113))=0,"",INDEX('Our policies'!$B$4:$B$503,_calc!$E$113))&amp;". ")&amp;IF(LEN(IF(LEN(INDEX('Our policies'!$C$4:$C$503,_calc!$E$113))=0,"",INDEX('Our policies'!$C$4:$C$503,_calc!$E$113)))=0,"","Insurer: "&amp;IF(LEN(INDEX('Our policies'!$C$4:$C$503,_calc!$E$113))=0,"",INDEX('Our policies'!$C$4:$C$503,_calc!$E$113))&amp;". ")&amp;IF(LEN(IF(LEN(INDEX('Our policies'!$D$4:$D$503,_calc!$E$113))=0,"",INDEX('Our policies'!$D$4:$D$503,_calc!$E$113)))=0,"","Broker: "&amp;IF(LEN(INDEX('Our policies'!$D$4:$D$503,_calc!$E$113))=0,"",INDEX('Our policies'!$D$4:$D$503,_calc!$E$113))&amp;". ")&amp;IF(LEN(IF(LEN(INDEX('Our policies'!$E$4:$E$503,_calc!$E$113))=0,"",INDEX('Our policies'!$E$4:$E$503,_calc!$E$113)))=0,"","Policy no.: "&amp;IF(LEN(INDEX('Our policies'!$E$4:$E$503,_calc!$E$113))=0,"",INDEX('Our policies'!$E$4:$E$503,_calc!$E$113))&amp;". ")&amp;IF(LEN(IF(LEN(INDEX('Our policies'!$S$4:$S$503,_calc!$E$113))=0,"",INDEX('Our policies'!$S$4:$S$503,_calc!$E$113)))=0,"",IF(LEN(INDEX('Our policies'!$S$4:$S$503,_calc!$E$113))=0,"",INDEX('Our policies'!$S$4:$S$503,_calc!$E$113)))),TRIM(IF(LEN(IF(LEN(INDEX('Vendor COIs'!$C$4:$C$503,(_calc!$E$113-500)))=0,"",INDEX('Vendor COIs'!$C$4:$C$503,(_calc!$E$113-500))))=0,"","Insurer: "&amp;IF(LEN(INDEX('Vendor COIs'!$C$4:$C$503,(_calc!$E$113-500)))=0,"",INDEX('Vendor COIs'!$C$4:$C$503,(_calc!$E$113-500)))&amp;". ")&amp;IF(LEN(IF(LEN(INDEX('Vendor COIs'!$D$4:$D$503,(_calc!$E$113-500)))=0,"",INDEX('Vendor COIs'!$D$4:$D$503,(_calc!$E$113-500))))=0,"","Policy no.: "&amp;IF(LEN(INDEX('Vendor COIs'!$D$4:$D$503,(_calc!$E$113-500)))=0,"",INDEX('Vendor COIs'!$D$4:$D$503,(_calc!$E$113-500)))&amp;". ")&amp;IF(LEN(IF(LEN(INDEX('Vendor COIs'!$F$4:$F$503,(_calc!$E$113-500)))=0,"",INDEX('Vendor COIs'!$F$4:$F$503,(_calc!$E$113-500))))=0,"","Meets minimum: "&amp;IF(LEN(INDEX('Vendor COIs'!$F$4:$F$503,(_calc!$E$113-500)))=0,"",INDEX('Vendor COIs'!$F$4:$F$503,(_calc!$E$113-500)))&amp;". ")&amp;IF(LEN(IF(LEN(INDEX('Vendor COIs'!$G$4:$G$503,(_calc!$E$113-500)))=0,"",INDEX('Vendor COIs'!$G$4:$G$503,(_calc!$E$113-500))))=0,"","Additional insured: "&amp;IF(LEN(INDEX('Vendor COIs'!$G$4:$G$503,(_calc!$E$113-500)))=0,"",INDEX('Vendor COIs'!$G$4:$G$503,(_calc!$E$113-500)))&amp;". ")&amp;IF(LEN(IF(LEN(INDEX('Vendor COIs'!$M$4:$M$503,(_calc!$E$113-500)))=0,"",INDEX('Vendor COIs'!$M$4:$M$503,(_calc!$E$113-500))))=0,"","Vendor contact: "&amp;IF(LEN(INDEX('Vendor COIs'!$M$4:$M$503,(_calc!$E$113-500)))=0,"",INDEX('Vendor COIs'!$M$4:$M$503,(_calc!$E$113-500)))&amp;". ")&amp;IF(LEN(IF(LEN(INDEX('Vendor COIs'!$P$4:$P$503,(_calc!$E$113-500)))=0,"",INDEX('Vendor COIs'!$P$4:$P$503,(_calc!$E$113-500))))=0,"",IF(LEN(INDEX('Vendor COIs'!$P$4:$P$503,(_calc!$E$113-500)))=0,"",INDEX('Vendor COIs'!$P$4:$P$503,(_calc!$E$113-500)))))))</f>
        <v/>
      </c>
      <c r="G111" s="46">
        <f>IF(_calc!$E$113="","",IF(_calc!$E$113&lt;=500,IF(LEN(INDEX('Our policies'!$R$4:$R$503,_calc!$E$113))=0,"",INDEX('Our policies'!$R$4:$R$503,_calc!$E$113)),IF(LEN(INDEX('Vendor COIs'!$O$4:$O$503,(_calc!$E$113-500)))=0,"",INDEX('Vendor COIs'!$O$4:$O$503,(_calc!$E$113-500)))))</f>
        <v/>
      </c>
      <c r="H111" s="46">
        <f>IF(_calc!$E$113="","",IF(_calc!$E$113&lt;=500,IF(LEN(INDEX('Our policies'!$G$4:$G$503,_calc!$E$113))=0,"",INDEX('Our policies'!$G$4:$G$503,_calc!$E$113)),""))</f>
        <v/>
      </c>
      <c r="I111" s="46">
        <f>IF(_calc!$E$113="","",IF(_calc!$E$113&lt;=500,IF(LEN(INDEX('Our policies'!$H$4:$H$503,_calc!$E$113))=0,"",INDEX('Our policies'!$H$4:$H$503,_calc!$E$113)),""))</f>
        <v/>
      </c>
      <c r="K111" s="46">
        <f>IF(_calc!$E$113="","",IF(_calc!$E$113&lt;=500,IF(LEN(INDEX('Our policies'!$P$4:$P$503,_calc!$E$113))=0,"",INDEX('Our policies'!$P$4:$P$503,_calc!$E$113)),IF(LEN(INDEX('Vendor COIs'!$N$4:$N$503,(_calc!$E$113-500)))=0,"",INDEX('Vendor COIs'!$N$4:$N$503,(_calc!$E$113-500)))))</f>
        <v/>
      </c>
    </row>
    <row r="112">
      <c r="A112" s="46">
        <f>IF(_calc!$E$114="","",IF(_calc!$E$114&lt;=500,IF(LEN(INDEX('Our policies'!$A$4:$A$503,_calc!$E$114))=0,"",INDEX('Our policies'!$A$4:$A$503,_calc!$E$114)),"COI – "&amp;IF(LEN(INDEX('Vendor COIs'!$A$4:$A$503,(_calc!$E$114-500)))=0,"",INDEX('Vendor COIs'!$A$4:$A$503,(_calc!$E$114-500)))&amp;" – "&amp;IF(LEN(INDEX('Vendor COIs'!$B$4:$B$503,(_calc!$E$114-500)))=0,"",INDEX('Vendor COIs'!$B$4:$B$503,(_calc!$E$114-500)))))</f>
        <v/>
      </c>
      <c r="B112" s="46">
        <f>IF(_calc!$E$114="","",IF(_calc!$E$114&lt;=500,IF(ISNUMBER(INDEX('Our policies'!$J$4:$J$503,_calc!$E$114)),TEXT(INDEX('Our policies'!$J$4:$J$503,_calc!$E$114),"yyyy-mm-dd"),""),IF(ISNUMBER(INDEX('Vendor COIs'!$H$4:$H$503,(_calc!$E$114-500))),TEXT(INDEX('Vendor COIs'!$H$4:$H$503,(_calc!$E$114-500)),"yyyy-mm-dd"),"")))</f>
        <v/>
      </c>
      <c r="C112" s="46">
        <f>IF(_calc!$E$114="","",IF(_calc!$E$114&lt;=500,"Insurance","Certificate of insurance"))</f>
        <v/>
      </c>
      <c r="D112" s="46">
        <f>IF(_calc!$E$114="","",IF(_calc!$E$114&lt;=500,IF(ISNUMBER(INDEX('Our policies'!$I$4:$I$503,_calc!$E$114)),TEXT(INDEX('Our policies'!$I$4:$I$503,_calc!$E$114),"yyyy-mm-dd"),""),""))</f>
        <v/>
      </c>
      <c r="E112" s="46">
        <f>IF(_calc!$E$114="","",IF(_calc!$E$114&lt;=500,IF(LEN(INDEX('Our policies'!$Q$4:$Q$503,_calc!$E$114))=0,"",INDEX('Our policies'!$Q$4:$Q$503,_calc!$E$114)),"Medium"))</f>
        <v/>
      </c>
      <c r="F112" s="46">
        <f>IF(_calc!$E$114="","",IF(_calc!$E$114&lt;=500,TRIM(IF(LEN(IF(LEN(INDEX('Our policies'!$B$4:$B$503,_calc!$E$114))=0,"",INDEX('Our policies'!$B$4:$B$503,_calc!$E$114)))=0,"","Cover: "&amp;IF(LEN(INDEX('Our policies'!$B$4:$B$503,_calc!$E$114))=0,"",INDEX('Our policies'!$B$4:$B$503,_calc!$E$114))&amp;". ")&amp;IF(LEN(IF(LEN(INDEX('Our policies'!$C$4:$C$503,_calc!$E$114))=0,"",INDEX('Our policies'!$C$4:$C$503,_calc!$E$114)))=0,"","Insurer: "&amp;IF(LEN(INDEX('Our policies'!$C$4:$C$503,_calc!$E$114))=0,"",INDEX('Our policies'!$C$4:$C$503,_calc!$E$114))&amp;". ")&amp;IF(LEN(IF(LEN(INDEX('Our policies'!$D$4:$D$503,_calc!$E$114))=0,"",INDEX('Our policies'!$D$4:$D$503,_calc!$E$114)))=0,"","Broker: "&amp;IF(LEN(INDEX('Our policies'!$D$4:$D$503,_calc!$E$114))=0,"",INDEX('Our policies'!$D$4:$D$503,_calc!$E$114))&amp;". ")&amp;IF(LEN(IF(LEN(INDEX('Our policies'!$E$4:$E$503,_calc!$E$114))=0,"",INDEX('Our policies'!$E$4:$E$503,_calc!$E$114)))=0,"","Policy no.: "&amp;IF(LEN(INDEX('Our policies'!$E$4:$E$503,_calc!$E$114))=0,"",INDEX('Our policies'!$E$4:$E$503,_calc!$E$114))&amp;". ")&amp;IF(LEN(IF(LEN(INDEX('Our policies'!$S$4:$S$503,_calc!$E$114))=0,"",INDEX('Our policies'!$S$4:$S$503,_calc!$E$114)))=0,"",IF(LEN(INDEX('Our policies'!$S$4:$S$503,_calc!$E$114))=0,"",INDEX('Our policies'!$S$4:$S$503,_calc!$E$114)))),TRIM(IF(LEN(IF(LEN(INDEX('Vendor COIs'!$C$4:$C$503,(_calc!$E$114-500)))=0,"",INDEX('Vendor COIs'!$C$4:$C$503,(_calc!$E$114-500))))=0,"","Insurer: "&amp;IF(LEN(INDEX('Vendor COIs'!$C$4:$C$503,(_calc!$E$114-500)))=0,"",INDEX('Vendor COIs'!$C$4:$C$503,(_calc!$E$114-500)))&amp;". ")&amp;IF(LEN(IF(LEN(INDEX('Vendor COIs'!$D$4:$D$503,(_calc!$E$114-500)))=0,"",INDEX('Vendor COIs'!$D$4:$D$503,(_calc!$E$114-500))))=0,"","Policy no.: "&amp;IF(LEN(INDEX('Vendor COIs'!$D$4:$D$503,(_calc!$E$114-500)))=0,"",INDEX('Vendor COIs'!$D$4:$D$503,(_calc!$E$114-500)))&amp;". ")&amp;IF(LEN(IF(LEN(INDEX('Vendor COIs'!$F$4:$F$503,(_calc!$E$114-500)))=0,"",INDEX('Vendor COIs'!$F$4:$F$503,(_calc!$E$114-500))))=0,"","Meets minimum: "&amp;IF(LEN(INDEX('Vendor COIs'!$F$4:$F$503,(_calc!$E$114-500)))=0,"",INDEX('Vendor COIs'!$F$4:$F$503,(_calc!$E$114-500)))&amp;". ")&amp;IF(LEN(IF(LEN(INDEX('Vendor COIs'!$G$4:$G$503,(_calc!$E$114-500)))=0,"",INDEX('Vendor COIs'!$G$4:$G$503,(_calc!$E$114-500))))=0,"","Additional insured: "&amp;IF(LEN(INDEX('Vendor COIs'!$G$4:$G$503,(_calc!$E$114-500)))=0,"",INDEX('Vendor COIs'!$G$4:$G$503,(_calc!$E$114-500)))&amp;". ")&amp;IF(LEN(IF(LEN(INDEX('Vendor COIs'!$M$4:$M$503,(_calc!$E$114-500)))=0,"",INDEX('Vendor COIs'!$M$4:$M$503,(_calc!$E$114-500))))=0,"","Vendor contact: "&amp;IF(LEN(INDEX('Vendor COIs'!$M$4:$M$503,(_calc!$E$114-500)))=0,"",INDEX('Vendor COIs'!$M$4:$M$503,(_calc!$E$114-500)))&amp;". ")&amp;IF(LEN(IF(LEN(INDEX('Vendor COIs'!$P$4:$P$503,(_calc!$E$114-500)))=0,"",INDEX('Vendor COIs'!$P$4:$P$503,(_calc!$E$114-500))))=0,"",IF(LEN(INDEX('Vendor COIs'!$P$4:$P$503,(_calc!$E$114-500)))=0,"",INDEX('Vendor COIs'!$P$4:$P$503,(_calc!$E$114-500)))))))</f>
        <v/>
      </c>
      <c r="G112" s="46">
        <f>IF(_calc!$E$114="","",IF(_calc!$E$114&lt;=500,IF(LEN(INDEX('Our policies'!$R$4:$R$503,_calc!$E$114))=0,"",INDEX('Our policies'!$R$4:$R$503,_calc!$E$114)),IF(LEN(INDEX('Vendor COIs'!$O$4:$O$503,(_calc!$E$114-500)))=0,"",INDEX('Vendor COIs'!$O$4:$O$503,(_calc!$E$114-500)))))</f>
        <v/>
      </c>
      <c r="H112" s="46">
        <f>IF(_calc!$E$114="","",IF(_calc!$E$114&lt;=500,IF(LEN(INDEX('Our policies'!$G$4:$G$503,_calc!$E$114))=0,"",INDEX('Our policies'!$G$4:$G$503,_calc!$E$114)),""))</f>
        <v/>
      </c>
      <c r="I112" s="46">
        <f>IF(_calc!$E$114="","",IF(_calc!$E$114&lt;=500,IF(LEN(INDEX('Our policies'!$H$4:$H$503,_calc!$E$114))=0,"",INDEX('Our policies'!$H$4:$H$503,_calc!$E$114)),""))</f>
        <v/>
      </c>
      <c r="K112" s="46">
        <f>IF(_calc!$E$114="","",IF(_calc!$E$114&lt;=500,IF(LEN(INDEX('Our policies'!$P$4:$P$503,_calc!$E$114))=0,"",INDEX('Our policies'!$P$4:$P$503,_calc!$E$114)),IF(LEN(INDEX('Vendor COIs'!$N$4:$N$503,(_calc!$E$114-500)))=0,"",INDEX('Vendor COIs'!$N$4:$N$503,(_calc!$E$114-500)))))</f>
        <v/>
      </c>
    </row>
    <row r="113">
      <c r="A113" s="46">
        <f>IF(_calc!$E$115="","",IF(_calc!$E$115&lt;=500,IF(LEN(INDEX('Our policies'!$A$4:$A$503,_calc!$E$115))=0,"",INDEX('Our policies'!$A$4:$A$503,_calc!$E$115)),"COI – "&amp;IF(LEN(INDEX('Vendor COIs'!$A$4:$A$503,(_calc!$E$115-500)))=0,"",INDEX('Vendor COIs'!$A$4:$A$503,(_calc!$E$115-500)))&amp;" – "&amp;IF(LEN(INDEX('Vendor COIs'!$B$4:$B$503,(_calc!$E$115-500)))=0,"",INDEX('Vendor COIs'!$B$4:$B$503,(_calc!$E$115-500)))))</f>
        <v/>
      </c>
      <c r="B113" s="46">
        <f>IF(_calc!$E$115="","",IF(_calc!$E$115&lt;=500,IF(ISNUMBER(INDEX('Our policies'!$J$4:$J$503,_calc!$E$115)),TEXT(INDEX('Our policies'!$J$4:$J$503,_calc!$E$115),"yyyy-mm-dd"),""),IF(ISNUMBER(INDEX('Vendor COIs'!$H$4:$H$503,(_calc!$E$115-500))),TEXT(INDEX('Vendor COIs'!$H$4:$H$503,(_calc!$E$115-500)),"yyyy-mm-dd"),"")))</f>
        <v/>
      </c>
      <c r="C113" s="46">
        <f>IF(_calc!$E$115="","",IF(_calc!$E$115&lt;=500,"Insurance","Certificate of insurance"))</f>
        <v/>
      </c>
      <c r="D113" s="46">
        <f>IF(_calc!$E$115="","",IF(_calc!$E$115&lt;=500,IF(ISNUMBER(INDEX('Our policies'!$I$4:$I$503,_calc!$E$115)),TEXT(INDEX('Our policies'!$I$4:$I$503,_calc!$E$115),"yyyy-mm-dd"),""),""))</f>
        <v/>
      </c>
      <c r="E113" s="46">
        <f>IF(_calc!$E$115="","",IF(_calc!$E$115&lt;=500,IF(LEN(INDEX('Our policies'!$Q$4:$Q$503,_calc!$E$115))=0,"",INDEX('Our policies'!$Q$4:$Q$503,_calc!$E$115)),"Medium"))</f>
        <v/>
      </c>
      <c r="F113" s="46">
        <f>IF(_calc!$E$115="","",IF(_calc!$E$115&lt;=500,TRIM(IF(LEN(IF(LEN(INDEX('Our policies'!$B$4:$B$503,_calc!$E$115))=0,"",INDEX('Our policies'!$B$4:$B$503,_calc!$E$115)))=0,"","Cover: "&amp;IF(LEN(INDEX('Our policies'!$B$4:$B$503,_calc!$E$115))=0,"",INDEX('Our policies'!$B$4:$B$503,_calc!$E$115))&amp;". ")&amp;IF(LEN(IF(LEN(INDEX('Our policies'!$C$4:$C$503,_calc!$E$115))=0,"",INDEX('Our policies'!$C$4:$C$503,_calc!$E$115)))=0,"","Insurer: "&amp;IF(LEN(INDEX('Our policies'!$C$4:$C$503,_calc!$E$115))=0,"",INDEX('Our policies'!$C$4:$C$503,_calc!$E$115))&amp;". ")&amp;IF(LEN(IF(LEN(INDEX('Our policies'!$D$4:$D$503,_calc!$E$115))=0,"",INDEX('Our policies'!$D$4:$D$503,_calc!$E$115)))=0,"","Broker: "&amp;IF(LEN(INDEX('Our policies'!$D$4:$D$503,_calc!$E$115))=0,"",INDEX('Our policies'!$D$4:$D$503,_calc!$E$115))&amp;". ")&amp;IF(LEN(IF(LEN(INDEX('Our policies'!$E$4:$E$503,_calc!$E$115))=0,"",INDEX('Our policies'!$E$4:$E$503,_calc!$E$115)))=0,"","Policy no.: "&amp;IF(LEN(INDEX('Our policies'!$E$4:$E$503,_calc!$E$115))=0,"",INDEX('Our policies'!$E$4:$E$503,_calc!$E$115))&amp;". ")&amp;IF(LEN(IF(LEN(INDEX('Our policies'!$S$4:$S$503,_calc!$E$115))=0,"",INDEX('Our policies'!$S$4:$S$503,_calc!$E$115)))=0,"",IF(LEN(INDEX('Our policies'!$S$4:$S$503,_calc!$E$115))=0,"",INDEX('Our policies'!$S$4:$S$503,_calc!$E$115)))),TRIM(IF(LEN(IF(LEN(INDEX('Vendor COIs'!$C$4:$C$503,(_calc!$E$115-500)))=0,"",INDEX('Vendor COIs'!$C$4:$C$503,(_calc!$E$115-500))))=0,"","Insurer: "&amp;IF(LEN(INDEX('Vendor COIs'!$C$4:$C$503,(_calc!$E$115-500)))=0,"",INDEX('Vendor COIs'!$C$4:$C$503,(_calc!$E$115-500)))&amp;". ")&amp;IF(LEN(IF(LEN(INDEX('Vendor COIs'!$D$4:$D$503,(_calc!$E$115-500)))=0,"",INDEX('Vendor COIs'!$D$4:$D$503,(_calc!$E$115-500))))=0,"","Policy no.: "&amp;IF(LEN(INDEX('Vendor COIs'!$D$4:$D$503,(_calc!$E$115-500)))=0,"",INDEX('Vendor COIs'!$D$4:$D$503,(_calc!$E$115-500)))&amp;". ")&amp;IF(LEN(IF(LEN(INDEX('Vendor COIs'!$F$4:$F$503,(_calc!$E$115-500)))=0,"",INDEX('Vendor COIs'!$F$4:$F$503,(_calc!$E$115-500))))=0,"","Meets minimum: "&amp;IF(LEN(INDEX('Vendor COIs'!$F$4:$F$503,(_calc!$E$115-500)))=0,"",INDEX('Vendor COIs'!$F$4:$F$503,(_calc!$E$115-500)))&amp;". ")&amp;IF(LEN(IF(LEN(INDEX('Vendor COIs'!$G$4:$G$503,(_calc!$E$115-500)))=0,"",INDEX('Vendor COIs'!$G$4:$G$503,(_calc!$E$115-500))))=0,"","Additional insured: "&amp;IF(LEN(INDEX('Vendor COIs'!$G$4:$G$503,(_calc!$E$115-500)))=0,"",INDEX('Vendor COIs'!$G$4:$G$503,(_calc!$E$115-500)))&amp;". ")&amp;IF(LEN(IF(LEN(INDEX('Vendor COIs'!$M$4:$M$503,(_calc!$E$115-500)))=0,"",INDEX('Vendor COIs'!$M$4:$M$503,(_calc!$E$115-500))))=0,"","Vendor contact: "&amp;IF(LEN(INDEX('Vendor COIs'!$M$4:$M$503,(_calc!$E$115-500)))=0,"",INDEX('Vendor COIs'!$M$4:$M$503,(_calc!$E$115-500)))&amp;". ")&amp;IF(LEN(IF(LEN(INDEX('Vendor COIs'!$P$4:$P$503,(_calc!$E$115-500)))=0,"",INDEX('Vendor COIs'!$P$4:$P$503,(_calc!$E$115-500))))=0,"",IF(LEN(INDEX('Vendor COIs'!$P$4:$P$503,(_calc!$E$115-500)))=0,"",INDEX('Vendor COIs'!$P$4:$P$503,(_calc!$E$115-500)))))))</f>
        <v/>
      </c>
      <c r="G113" s="46">
        <f>IF(_calc!$E$115="","",IF(_calc!$E$115&lt;=500,IF(LEN(INDEX('Our policies'!$R$4:$R$503,_calc!$E$115))=0,"",INDEX('Our policies'!$R$4:$R$503,_calc!$E$115)),IF(LEN(INDEX('Vendor COIs'!$O$4:$O$503,(_calc!$E$115-500)))=0,"",INDEX('Vendor COIs'!$O$4:$O$503,(_calc!$E$115-500)))))</f>
        <v/>
      </c>
      <c r="H113" s="46">
        <f>IF(_calc!$E$115="","",IF(_calc!$E$115&lt;=500,IF(LEN(INDEX('Our policies'!$G$4:$G$503,_calc!$E$115))=0,"",INDEX('Our policies'!$G$4:$G$503,_calc!$E$115)),""))</f>
        <v/>
      </c>
      <c r="I113" s="46">
        <f>IF(_calc!$E$115="","",IF(_calc!$E$115&lt;=500,IF(LEN(INDEX('Our policies'!$H$4:$H$503,_calc!$E$115))=0,"",INDEX('Our policies'!$H$4:$H$503,_calc!$E$115)),""))</f>
        <v/>
      </c>
      <c r="K113" s="46">
        <f>IF(_calc!$E$115="","",IF(_calc!$E$115&lt;=500,IF(LEN(INDEX('Our policies'!$P$4:$P$503,_calc!$E$115))=0,"",INDEX('Our policies'!$P$4:$P$503,_calc!$E$115)),IF(LEN(INDEX('Vendor COIs'!$N$4:$N$503,(_calc!$E$115-500)))=0,"",INDEX('Vendor COIs'!$N$4:$N$503,(_calc!$E$115-500)))))</f>
        <v/>
      </c>
    </row>
    <row r="114">
      <c r="A114" s="46">
        <f>IF(_calc!$E$116="","",IF(_calc!$E$116&lt;=500,IF(LEN(INDEX('Our policies'!$A$4:$A$503,_calc!$E$116))=0,"",INDEX('Our policies'!$A$4:$A$503,_calc!$E$116)),"COI – "&amp;IF(LEN(INDEX('Vendor COIs'!$A$4:$A$503,(_calc!$E$116-500)))=0,"",INDEX('Vendor COIs'!$A$4:$A$503,(_calc!$E$116-500)))&amp;" – "&amp;IF(LEN(INDEX('Vendor COIs'!$B$4:$B$503,(_calc!$E$116-500)))=0,"",INDEX('Vendor COIs'!$B$4:$B$503,(_calc!$E$116-500)))))</f>
        <v/>
      </c>
      <c r="B114" s="46">
        <f>IF(_calc!$E$116="","",IF(_calc!$E$116&lt;=500,IF(ISNUMBER(INDEX('Our policies'!$J$4:$J$503,_calc!$E$116)),TEXT(INDEX('Our policies'!$J$4:$J$503,_calc!$E$116),"yyyy-mm-dd"),""),IF(ISNUMBER(INDEX('Vendor COIs'!$H$4:$H$503,(_calc!$E$116-500))),TEXT(INDEX('Vendor COIs'!$H$4:$H$503,(_calc!$E$116-500)),"yyyy-mm-dd"),"")))</f>
        <v/>
      </c>
      <c r="C114" s="46">
        <f>IF(_calc!$E$116="","",IF(_calc!$E$116&lt;=500,"Insurance","Certificate of insurance"))</f>
        <v/>
      </c>
      <c r="D114" s="46">
        <f>IF(_calc!$E$116="","",IF(_calc!$E$116&lt;=500,IF(ISNUMBER(INDEX('Our policies'!$I$4:$I$503,_calc!$E$116)),TEXT(INDEX('Our policies'!$I$4:$I$503,_calc!$E$116),"yyyy-mm-dd"),""),""))</f>
        <v/>
      </c>
      <c r="E114" s="46">
        <f>IF(_calc!$E$116="","",IF(_calc!$E$116&lt;=500,IF(LEN(INDEX('Our policies'!$Q$4:$Q$503,_calc!$E$116))=0,"",INDEX('Our policies'!$Q$4:$Q$503,_calc!$E$116)),"Medium"))</f>
        <v/>
      </c>
      <c r="F114" s="46">
        <f>IF(_calc!$E$116="","",IF(_calc!$E$116&lt;=500,TRIM(IF(LEN(IF(LEN(INDEX('Our policies'!$B$4:$B$503,_calc!$E$116))=0,"",INDEX('Our policies'!$B$4:$B$503,_calc!$E$116)))=0,"","Cover: "&amp;IF(LEN(INDEX('Our policies'!$B$4:$B$503,_calc!$E$116))=0,"",INDEX('Our policies'!$B$4:$B$503,_calc!$E$116))&amp;". ")&amp;IF(LEN(IF(LEN(INDEX('Our policies'!$C$4:$C$503,_calc!$E$116))=0,"",INDEX('Our policies'!$C$4:$C$503,_calc!$E$116)))=0,"","Insurer: "&amp;IF(LEN(INDEX('Our policies'!$C$4:$C$503,_calc!$E$116))=0,"",INDEX('Our policies'!$C$4:$C$503,_calc!$E$116))&amp;". ")&amp;IF(LEN(IF(LEN(INDEX('Our policies'!$D$4:$D$503,_calc!$E$116))=0,"",INDEX('Our policies'!$D$4:$D$503,_calc!$E$116)))=0,"","Broker: "&amp;IF(LEN(INDEX('Our policies'!$D$4:$D$503,_calc!$E$116))=0,"",INDEX('Our policies'!$D$4:$D$503,_calc!$E$116))&amp;". ")&amp;IF(LEN(IF(LEN(INDEX('Our policies'!$E$4:$E$503,_calc!$E$116))=0,"",INDEX('Our policies'!$E$4:$E$503,_calc!$E$116)))=0,"","Policy no.: "&amp;IF(LEN(INDEX('Our policies'!$E$4:$E$503,_calc!$E$116))=0,"",INDEX('Our policies'!$E$4:$E$503,_calc!$E$116))&amp;". ")&amp;IF(LEN(IF(LEN(INDEX('Our policies'!$S$4:$S$503,_calc!$E$116))=0,"",INDEX('Our policies'!$S$4:$S$503,_calc!$E$116)))=0,"",IF(LEN(INDEX('Our policies'!$S$4:$S$503,_calc!$E$116))=0,"",INDEX('Our policies'!$S$4:$S$503,_calc!$E$116)))),TRIM(IF(LEN(IF(LEN(INDEX('Vendor COIs'!$C$4:$C$503,(_calc!$E$116-500)))=0,"",INDEX('Vendor COIs'!$C$4:$C$503,(_calc!$E$116-500))))=0,"","Insurer: "&amp;IF(LEN(INDEX('Vendor COIs'!$C$4:$C$503,(_calc!$E$116-500)))=0,"",INDEX('Vendor COIs'!$C$4:$C$503,(_calc!$E$116-500)))&amp;". ")&amp;IF(LEN(IF(LEN(INDEX('Vendor COIs'!$D$4:$D$503,(_calc!$E$116-500)))=0,"",INDEX('Vendor COIs'!$D$4:$D$503,(_calc!$E$116-500))))=0,"","Policy no.: "&amp;IF(LEN(INDEX('Vendor COIs'!$D$4:$D$503,(_calc!$E$116-500)))=0,"",INDEX('Vendor COIs'!$D$4:$D$503,(_calc!$E$116-500)))&amp;". ")&amp;IF(LEN(IF(LEN(INDEX('Vendor COIs'!$F$4:$F$503,(_calc!$E$116-500)))=0,"",INDEX('Vendor COIs'!$F$4:$F$503,(_calc!$E$116-500))))=0,"","Meets minimum: "&amp;IF(LEN(INDEX('Vendor COIs'!$F$4:$F$503,(_calc!$E$116-500)))=0,"",INDEX('Vendor COIs'!$F$4:$F$503,(_calc!$E$116-500)))&amp;". ")&amp;IF(LEN(IF(LEN(INDEX('Vendor COIs'!$G$4:$G$503,(_calc!$E$116-500)))=0,"",INDEX('Vendor COIs'!$G$4:$G$503,(_calc!$E$116-500))))=0,"","Additional insured: "&amp;IF(LEN(INDEX('Vendor COIs'!$G$4:$G$503,(_calc!$E$116-500)))=0,"",INDEX('Vendor COIs'!$G$4:$G$503,(_calc!$E$116-500)))&amp;". ")&amp;IF(LEN(IF(LEN(INDEX('Vendor COIs'!$M$4:$M$503,(_calc!$E$116-500)))=0,"",INDEX('Vendor COIs'!$M$4:$M$503,(_calc!$E$116-500))))=0,"","Vendor contact: "&amp;IF(LEN(INDEX('Vendor COIs'!$M$4:$M$503,(_calc!$E$116-500)))=0,"",INDEX('Vendor COIs'!$M$4:$M$503,(_calc!$E$116-500)))&amp;". ")&amp;IF(LEN(IF(LEN(INDEX('Vendor COIs'!$P$4:$P$503,(_calc!$E$116-500)))=0,"",INDEX('Vendor COIs'!$P$4:$P$503,(_calc!$E$116-500))))=0,"",IF(LEN(INDEX('Vendor COIs'!$P$4:$P$503,(_calc!$E$116-500)))=0,"",INDEX('Vendor COIs'!$P$4:$P$503,(_calc!$E$116-500)))))))</f>
        <v/>
      </c>
      <c r="G114" s="46">
        <f>IF(_calc!$E$116="","",IF(_calc!$E$116&lt;=500,IF(LEN(INDEX('Our policies'!$R$4:$R$503,_calc!$E$116))=0,"",INDEX('Our policies'!$R$4:$R$503,_calc!$E$116)),IF(LEN(INDEX('Vendor COIs'!$O$4:$O$503,(_calc!$E$116-500)))=0,"",INDEX('Vendor COIs'!$O$4:$O$503,(_calc!$E$116-500)))))</f>
        <v/>
      </c>
      <c r="H114" s="46">
        <f>IF(_calc!$E$116="","",IF(_calc!$E$116&lt;=500,IF(LEN(INDEX('Our policies'!$G$4:$G$503,_calc!$E$116))=0,"",INDEX('Our policies'!$G$4:$G$503,_calc!$E$116)),""))</f>
        <v/>
      </c>
      <c r="I114" s="46">
        <f>IF(_calc!$E$116="","",IF(_calc!$E$116&lt;=500,IF(LEN(INDEX('Our policies'!$H$4:$H$503,_calc!$E$116))=0,"",INDEX('Our policies'!$H$4:$H$503,_calc!$E$116)),""))</f>
        <v/>
      </c>
      <c r="K114" s="46">
        <f>IF(_calc!$E$116="","",IF(_calc!$E$116&lt;=500,IF(LEN(INDEX('Our policies'!$P$4:$P$503,_calc!$E$116))=0,"",INDEX('Our policies'!$P$4:$P$503,_calc!$E$116)),IF(LEN(INDEX('Vendor COIs'!$N$4:$N$503,(_calc!$E$116-500)))=0,"",INDEX('Vendor COIs'!$N$4:$N$503,(_calc!$E$116-500)))))</f>
        <v/>
      </c>
    </row>
    <row r="115">
      <c r="A115" s="46">
        <f>IF(_calc!$E$117="","",IF(_calc!$E$117&lt;=500,IF(LEN(INDEX('Our policies'!$A$4:$A$503,_calc!$E$117))=0,"",INDEX('Our policies'!$A$4:$A$503,_calc!$E$117)),"COI – "&amp;IF(LEN(INDEX('Vendor COIs'!$A$4:$A$503,(_calc!$E$117-500)))=0,"",INDEX('Vendor COIs'!$A$4:$A$503,(_calc!$E$117-500)))&amp;" – "&amp;IF(LEN(INDEX('Vendor COIs'!$B$4:$B$503,(_calc!$E$117-500)))=0,"",INDEX('Vendor COIs'!$B$4:$B$503,(_calc!$E$117-500)))))</f>
        <v/>
      </c>
      <c r="B115" s="46">
        <f>IF(_calc!$E$117="","",IF(_calc!$E$117&lt;=500,IF(ISNUMBER(INDEX('Our policies'!$J$4:$J$503,_calc!$E$117)),TEXT(INDEX('Our policies'!$J$4:$J$503,_calc!$E$117),"yyyy-mm-dd"),""),IF(ISNUMBER(INDEX('Vendor COIs'!$H$4:$H$503,(_calc!$E$117-500))),TEXT(INDEX('Vendor COIs'!$H$4:$H$503,(_calc!$E$117-500)),"yyyy-mm-dd"),"")))</f>
        <v/>
      </c>
      <c r="C115" s="46">
        <f>IF(_calc!$E$117="","",IF(_calc!$E$117&lt;=500,"Insurance","Certificate of insurance"))</f>
        <v/>
      </c>
      <c r="D115" s="46">
        <f>IF(_calc!$E$117="","",IF(_calc!$E$117&lt;=500,IF(ISNUMBER(INDEX('Our policies'!$I$4:$I$503,_calc!$E$117)),TEXT(INDEX('Our policies'!$I$4:$I$503,_calc!$E$117),"yyyy-mm-dd"),""),""))</f>
        <v/>
      </c>
      <c r="E115" s="46">
        <f>IF(_calc!$E$117="","",IF(_calc!$E$117&lt;=500,IF(LEN(INDEX('Our policies'!$Q$4:$Q$503,_calc!$E$117))=0,"",INDEX('Our policies'!$Q$4:$Q$503,_calc!$E$117)),"Medium"))</f>
        <v/>
      </c>
      <c r="F115" s="46">
        <f>IF(_calc!$E$117="","",IF(_calc!$E$117&lt;=500,TRIM(IF(LEN(IF(LEN(INDEX('Our policies'!$B$4:$B$503,_calc!$E$117))=0,"",INDEX('Our policies'!$B$4:$B$503,_calc!$E$117)))=0,"","Cover: "&amp;IF(LEN(INDEX('Our policies'!$B$4:$B$503,_calc!$E$117))=0,"",INDEX('Our policies'!$B$4:$B$503,_calc!$E$117))&amp;". ")&amp;IF(LEN(IF(LEN(INDEX('Our policies'!$C$4:$C$503,_calc!$E$117))=0,"",INDEX('Our policies'!$C$4:$C$503,_calc!$E$117)))=0,"","Insurer: "&amp;IF(LEN(INDEX('Our policies'!$C$4:$C$503,_calc!$E$117))=0,"",INDEX('Our policies'!$C$4:$C$503,_calc!$E$117))&amp;". ")&amp;IF(LEN(IF(LEN(INDEX('Our policies'!$D$4:$D$503,_calc!$E$117))=0,"",INDEX('Our policies'!$D$4:$D$503,_calc!$E$117)))=0,"","Broker: "&amp;IF(LEN(INDEX('Our policies'!$D$4:$D$503,_calc!$E$117))=0,"",INDEX('Our policies'!$D$4:$D$503,_calc!$E$117))&amp;". ")&amp;IF(LEN(IF(LEN(INDEX('Our policies'!$E$4:$E$503,_calc!$E$117))=0,"",INDEX('Our policies'!$E$4:$E$503,_calc!$E$117)))=0,"","Policy no.: "&amp;IF(LEN(INDEX('Our policies'!$E$4:$E$503,_calc!$E$117))=0,"",INDEX('Our policies'!$E$4:$E$503,_calc!$E$117))&amp;". ")&amp;IF(LEN(IF(LEN(INDEX('Our policies'!$S$4:$S$503,_calc!$E$117))=0,"",INDEX('Our policies'!$S$4:$S$503,_calc!$E$117)))=0,"",IF(LEN(INDEX('Our policies'!$S$4:$S$503,_calc!$E$117))=0,"",INDEX('Our policies'!$S$4:$S$503,_calc!$E$117)))),TRIM(IF(LEN(IF(LEN(INDEX('Vendor COIs'!$C$4:$C$503,(_calc!$E$117-500)))=0,"",INDEX('Vendor COIs'!$C$4:$C$503,(_calc!$E$117-500))))=0,"","Insurer: "&amp;IF(LEN(INDEX('Vendor COIs'!$C$4:$C$503,(_calc!$E$117-500)))=0,"",INDEX('Vendor COIs'!$C$4:$C$503,(_calc!$E$117-500)))&amp;". ")&amp;IF(LEN(IF(LEN(INDEX('Vendor COIs'!$D$4:$D$503,(_calc!$E$117-500)))=0,"",INDEX('Vendor COIs'!$D$4:$D$503,(_calc!$E$117-500))))=0,"","Policy no.: "&amp;IF(LEN(INDEX('Vendor COIs'!$D$4:$D$503,(_calc!$E$117-500)))=0,"",INDEX('Vendor COIs'!$D$4:$D$503,(_calc!$E$117-500)))&amp;". ")&amp;IF(LEN(IF(LEN(INDEX('Vendor COIs'!$F$4:$F$503,(_calc!$E$117-500)))=0,"",INDEX('Vendor COIs'!$F$4:$F$503,(_calc!$E$117-500))))=0,"","Meets minimum: "&amp;IF(LEN(INDEX('Vendor COIs'!$F$4:$F$503,(_calc!$E$117-500)))=0,"",INDEX('Vendor COIs'!$F$4:$F$503,(_calc!$E$117-500)))&amp;". ")&amp;IF(LEN(IF(LEN(INDEX('Vendor COIs'!$G$4:$G$503,(_calc!$E$117-500)))=0,"",INDEX('Vendor COIs'!$G$4:$G$503,(_calc!$E$117-500))))=0,"","Additional insured: "&amp;IF(LEN(INDEX('Vendor COIs'!$G$4:$G$503,(_calc!$E$117-500)))=0,"",INDEX('Vendor COIs'!$G$4:$G$503,(_calc!$E$117-500)))&amp;". ")&amp;IF(LEN(IF(LEN(INDEX('Vendor COIs'!$M$4:$M$503,(_calc!$E$117-500)))=0,"",INDEX('Vendor COIs'!$M$4:$M$503,(_calc!$E$117-500))))=0,"","Vendor contact: "&amp;IF(LEN(INDEX('Vendor COIs'!$M$4:$M$503,(_calc!$E$117-500)))=0,"",INDEX('Vendor COIs'!$M$4:$M$503,(_calc!$E$117-500)))&amp;". ")&amp;IF(LEN(IF(LEN(INDEX('Vendor COIs'!$P$4:$P$503,(_calc!$E$117-500)))=0,"",INDEX('Vendor COIs'!$P$4:$P$503,(_calc!$E$117-500))))=0,"",IF(LEN(INDEX('Vendor COIs'!$P$4:$P$503,(_calc!$E$117-500)))=0,"",INDEX('Vendor COIs'!$P$4:$P$503,(_calc!$E$117-500)))))))</f>
        <v/>
      </c>
      <c r="G115" s="46">
        <f>IF(_calc!$E$117="","",IF(_calc!$E$117&lt;=500,IF(LEN(INDEX('Our policies'!$R$4:$R$503,_calc!$E$117))=0,"",INDEX('Our policies'!$R$4:$R$503,_calc!$E$117)),IF(LEN(INDEX('Vendor COIs'!$O$4:$O$503,(_calc!$E$117-500)))=0,"",INDEX('Vendor COIs'!$O$4:$O$503,(_calc!$E$117-500)))))</f>
        <v/>
      </c>
      <c r="H115" s="46">
        <f>IF(_calc!$E$117="","",IF(_calc!$E$117&lt;=500,IF(LEN(INDEX('Our policies'!$G$4:$G$503,_calc!$E$117))=0,"",INDEX('Our policies'!$G$4:$G$503,_calc!$E$117)),""))</f>
        <v/>
      </c>
      <c r="I115" s="46">
        <f>IF(_calc!$E$117="","",IF(_calc!$E$117&lt;=500,IF(LEN(INDEX('Our policies'!$H$4:$H$503,_calc!$E$117))=0,"",INDEX('Our policies'!$H$4:$H$503,_calc!$E$117)),""))</f>
        <v/>
      </c>
      <c r="K115" s="46">
        <f>IF(_calc!$E$117="","",IF(_calc!$E$117&lt;=500,IF(LEN(INDEX('Our policies'!$P$4:$P$503,_calc!$E$117))=0,"",INDEX('Our policies'!$P$4:$P$503,_calc!$E$117)),IF(LEN(INDEX('Vendor COIs'!$N$4:$N$503,(_calc!$E$117-500)))=0,"",INDEX('Vendor COIs'!$N$4:$N$503,(_calc!$E$117-500)))))</f>
        <v/>
      </c>
    </row>
    <row r="116">
      <c r="A116" s="46">
        <f>IF(_calc!$E$118="","",IF(_calc!$E$118&lt;=500,IF(LEN(INDEX('Our policies'!$A$4:$A$503,_calc!$E$118))=0,"",INDEX('Our policies'!$A$4:$A$503,_calc!$E$118)),"COI – "&amp;IF(LEN(INDEX('Vendor COIs'!$A$4:$A$503,(_calc!$E$118-500)))=0,"",INDEX('Vendor COIs'!$A$4:$A$503,(_calc!$E$118-500)))&amp;" – "&amp;IF(LEN(INDEX('Vendor COIs'!$B$4:$B$503,(_calc!$E$118-500)))=0,"",INDEX('Vendor COIs'!$B$4:$B$503,(_calc!$E$118-500)))))</f>
        <v/>
      </c>
      <c r="B116" s="46">
        <f>IF(_calc!$E$118="","",IF(_calc!$E$118&lt;=500,IF(ISNUMBER(INDEX('Our policies'!$J$4:$J$503,_calc!$E$118)),TEXT(INDEX('Our policies'!$J$4:$J$503,_calc!$E$118),"yyyy-mm-dd"),""),IF(ISNUMBER(INDEX('Vendor COIs'!$H$4:$H$503,(_calc!$E$118-500))),TEXT(INDEX('Vendor COIs'!$H$4:$H$503,(_calc!$E$118-500)),"yyyy-mm-dd"),"")))</f>
        <v/>
      </c>
      <c r="C116" s="46">
        <f>IF(_calc!$E$118="","",IF(_calc!$E$118&lt;=500,"Insurance","Certificate of insurance"))</f>
        <v/>
      </c>
      <c r="D116" s="46">
        <f>IF(_calc!$E$118="","",IF(_calc!$E$118&lt;=500,IF(ISNUMBER(INDEX('Our policies'!$I$4:$I$503,_calc!$E$118)),TEXT(INDEX('Our policies'!$I$4:$I$503,_calc!$E$118),"yyyy-mm-dd"),""),""))</f>
        <v/>
      </c>
      <c r="E116" s="46">
        <f>IF(_calc!$E$118="","",IF(_calc!$E$118&lt;=500,IF(LEN(INDEX('Our policies'!$Q$4:$Q$503,_calc!$E$118))=0,"",INDEX('Our policies'!$Q$4:$Q$503,_calc!$E$118)),"Medium"))</f>
        <v/>
      </c>
      <c r="F116" s="46">
        <f>IF(_calc!$E$118="","",IF(_calc!$E$118&lt;=500,TRIM(IF(LEN(IF(LEN(INDEX('Our policies'!$B$4:$B$503,_calc!$E$118))=0,"",INDEX('Our policies'!$B$4:$B$503,_calc!$E$118)))=0,"","Cover: "&amp;IF(LEN(INDEX('Our policies'!$B$4:$B$503,_calc!$E$118))=0,"",INDEX('Our policies'!$B$4:$B$503,_calc!$E$118))&amp;". ")&amp;IF(LEN(IF(LEN(INDEX('Our policies'!$C$4:$C$503,_calc!$E$118))=0,"",INDEX('Our policies'!$C$4:$C$503,_calc!$E$118)))=0,"","Insurer: "&amp;IF(LEN(INDEX('Our policies'!$C$4:$C$503,_calc!$E$118))=0,"",INDEX('Our policies'!$C$4:$C$503,_calc!$E$118))&amp;". ")&amp;IF(LEN(IF(LEN(INDEX('Our policies'!$D$4:$D$503,_calc!$E$118))=0,"",INDEX('Our policies'!$D$4:$D$503,_calc!$E$118)))=0,"","Broker: "&amp;IF(LEN(INDEX('Our policies'!$D$4:$D$503,_calc!$E$118))=0,"",INDEX('Our policies'!$D$4:$D$503,_calc!$E$118))&amp;". ")&amp;IF(LEN(IF(LEN(INDEX('Our policies'!$E$4:$E$503,_calc!$E$118))=0,"",INDEX('Our policies'!$E$4:$E$503,_calc!$E$118)))=0,"","Policy no.: "&amp;IF(LEN(INDEX('Our policies'!$E$4:$E$503,_calc!$E$118))=0,"",INDEX('Our policies'!$E$4:$E$503,_calc!$E$118))&amp;". ")&amp;IF(LEN(IF(LEN(INDEX('Our policies'!$S$4:$S$503,_calc!$E$118))=0,"",INDEX('Our policies'!$S$4:$S$503,_calc!$E$118)))=0,"",IF(LEN(INDEX('Our policies'!$S$4:$S$503,_calc!$E$118))=0,"",INDEX('Our policies'!$S$4:$S$503,_calc!$E$118)))),TRIM(IF(LEN(IF(LEN(INDEX('Vendor COIs'!$C$4:$C$503,(_calc!$E$118-500)))=0,"",INDEX('Vendor COIs'!$C$4:$C$503,(_calc!$E$118-500))))=0,"","Insurer: "&amp;IF(LEN(INDEX('Vendor COIs'!$C$4:$C$503,(_calc!$E$118-500)))=0,"",INDEX('Vendor COIs'!$C$4:$C$503,(_calc!$E$118-500)))&amp;". ")&amp;IF(LEN(IF(LEN(INDEX('Vendor COIs'!$D$4:$D$503,(_calc!$E$118-500)))=0,"",INDEX('Vendor COIs'!$D$4:$D$503,(_calc!$E$118-500))))=0,"","Policy no.: "&amp;IF(LEN(INDEX('Vendor COIs'!$D$4:$D$503,(_calc!$E$118-500)))=0,"",INDEX('Vendor COIs'!$D$4:$D$503,(_calc!$E$118-500)))&amp;". ")&amp;IF(LEN(IF(LEN(INDEX('Vendor COIs'!$F$4:$F$503,(_calc!$E$118-500)))=0,"",INDEX('Vendor COIs'!$F$4:$F$503,(_calc!$E$118-500))))=0,"","Meets minimum: "&amp;IF(LEN(INDEX('Vendor COIs'!$F$4:$F$503,(_calc!$E$118-500)))=0,"",INDEX('Vendor COIs'!$F$4:$F$503,(_calc!$E$118-500)))&amp;". ")&amp;IF(LEN(IF(LEN(INDEX('Vendor COIs'!$G$4:$G$503,(_calc!$E$118-500)))=0,"",INDEX('Vendor COIs'!$G$4:$G$503,(_calc!$E$118-500))))=0,"","Additional insured: "&amp;IF(LEN(INDEX('Vendor COIs'!$G$4:$G$503,(_calc!$E$118-500)))=0,"",INDEX('Vendor COIs'!$G$4:$G$503,(_calc!$E$118-500)))&amp;". ")&amp;IF(LEN(IF(LEN(INDEX('Vendor COIs'!$M$4:$M$503,(_calc!$E$118-500)))=0,"",INDEX('Vendor COIs'!$M$4:$M$503,(_calc!$E$118-500))))=0,"","Vendor contact: "&amp;IF(LEN(INDEX('Vendor COIs'!$M$4:$M$503,(_calc!$E$118-500)))=0,"",INDEX('Vendor COIs'!$M$4:$M$503,(_calc!$E$118-500)))&amp;". ")&amp;IF(LEN(IF(LEN(INDEX('Vendor COIs'!$P$4:$P$503,(_calc!$E$118-500)))=0,"",INDEX('Vendor COIs'!$P$4:$P$503,(_calc!$E$118-500))))=0,"",IF(LEN(INDEX('Vendor COIs'!$P$4:$P$503,(_calc!$E$118-500)))=0,"",INDEX('Vendor COIs'!$P$4:$P$503,(_calc!$E$118-500)))))))</f>
        <v/>
      </c>
      <c r="G116" s="46">
        <f>IF(_calc!$E$118="","",IF(_calc!$E$118&lt;=500,IF(LEN(INDEX('Our policies'!$R$4:$R$503,_calc!$E$118))=0,"",INDEX('Our policies'!$R$4:$R$503,_calc!$E$118)),IF(LEN(INDEX('Vendor COIs'!$O$4:$O$503,(_calc!$E$118-500)))=0,"",INDEX('Vendor COIs'!$O$4:$O$503,(_calc!$E$118-500)))))</f>
        <v/>
      </c>
      <c r="H116" s="46">
        <f>IF(_calc!$E$118="","",IF(_calc!$E$118&lt;=500,IF(LEN(INDEX('Our policies'!$G$4:$G$503,_calc!$E$118))=0,"",INDEX('Our policies'!$G$4:$G$503,_calc!$E$118)),""))</f>
        <v/>
      </c>
      <c r="I116" s="46">
        <f>IF(_calc!$E$118="","",IF(_calc!$E$118&lt;=500,IF(LEN(INDEX('Our policies'!$H$4:$H$503,_calc!$E$118))=0,"",INDEX('Our policies'!$H$4:$H$503,_calc!$E$118)),""))</f>
        <v/>
      </c>
      <c r="K116" s="46">
        <f>IF(_calc!$E$118="","",IF(_calc!$E$118&lt;=500,IF(LEN(INDEX('Our policies'!$P$4:$P$503,_calc!$E$118))=0,"",INDEX('Our policies'!$P$4:$P$503,_calc!$E$118)),IF(LEN(INDEX('Vendor COIs'!$N$4:$N$503,(_calc!$E$118-500)))=0,"",INDEX('Vendor COIs'!$N$4:$N$503,(_calc!$E$118-500)))))</f>
        <v/>
      </c>
    </row>
    <row r="117">
      <c r="A117" s="46">
        <f>IF(_calc!$E$119="","",IF(_calc!$E$119&lt;=500,IF(LEN(INDEX('Our policies'!$A$4:$A$503,_calc!$E$119))=0,"",INDEX('Our policies'!$A$4:$A$503,_calc!$E$119)),"COI – "&amp;IF(LEN(INDEX('Vendor COIs'!$A$4:$A$503,(_calc!$E$119-500)))=0,"",INDEX('Vendor COIs'!$A$4:$A$503,(_calc!$E$119-500)))&amp;" – "&amp;IF(LEN(INDEX('Vendor COIs'!$B$4:$B$503,(_calc!$E$119-500)))=0,"",INDEX('Vendor COIs'!$B$4:$B$503,(_calc!$E$119-500)))))</f>
        <v/>
      </c>
      <c r="B117" s="46">
        <f>IF(_calc!$E$119="","",IF(_calc!$E$119&lt;=500,IF(ISNUMBER(INDEX('Our policies'!$J$4:$J$503,_calc!$E$119)),TEXT(INDEX('Our policies'!$J$4:$J$503,_calc!$E$119),"yyyy-mm-dd"),""),IF(ISNUMBER(INDEX('Vendor COIs'!$H$4:$H$503,(_calc!$E$119-500))),TEXT(INDEX('Vendor COIs'!$H$4:$H$503,(_calc!$E$119-500)),"yyyy-mm-dd"),"")))</f>
        <v/>
      </c>
      <c r="C117" s="46">
        <f>IF(_calc!$E$119="","",IF(_calc!$E$119&lt;=500,"Insurance","Certificate of insurance"))</f>
        <v/>
      </c>
      <c r="D117" s="46">
        <f>IF(_calc!$E$119="","",IF(_calc!$E$119&lt;=500,IF(ISNUMBER(INDEX('Our policies'!$I$4:$I$503,_calc!$E$119)),TEXT(INDEX('Our policies'!$I$4:$I$503,_calc!$E$119),"yyyy-mm-dd"),""),""))</f>
        <v/>
      </c>
      <c r="E117" s="46">
        <f>IF(_calc!$E$119="","",IF(_calc!$E$119&lt;=500,IF(LEN(INDEX('Our policies'!$Q$4:$Q$503,_calc!$E$119))=0,"",INDEX('Our policies'!$Q$4:$Q$503,_calc!$E$119)),"Medium"))</f>
        <v/>
      </c>
      <c r="F117" s="46">
        <f>IF(_calc!$E$119="","",IF(_calc!$E$119&lt;=500,TRIM(IF(LEN(IF(LEN(INDEX('Our policies'!$B$4:$B$503,_calc!$E$119))=0,"",INDEX('Our policies'!$B$4:$B$503,_calc!$E$119)))=0,"","Cover: "&amp;IF(LEN(INDEX('Our policies'!$B$4:$B$503,_calc!$E$119))=0,"",INDEX('Our policies'!$B$4:$B$503,_calc!$E$119))&amp;". ")&amp;IF(LEN(IF(LEN(INDEX('Our policies'!$C$4:$C$503,_calc!$E$119))=0,"",INDEX('Our policies'!$C$4:$C$503,_calc!$E$119)))=0,"","Insurer: "&amp;IF(LEN(INDEX('Our policies'!$C$4:$C$503,_calc!$E$119))=0,"",INDEX('Our policies'!$C$4:$C$503,_calc!$E$119))&amp;". ")&amp;IF(LEN(IF(LEN(INDEX('Our policies'!$D$4:$D$503,_calc!$E$119))=0,"",INDEX('Our policies'!$D$4:$D$503,_calc!$E$119)))=0,"","Broker: "&amp;IF(LEN(INDEX('Our policies'!$D$4:$D$503,_calc!$E$119))=0,"",INDEX('Our policies'!$D$4:$D$503,_calc!$E$119))&amp;". ")&amp;IF(LEN(IF(LEN(INDEX('Our policies'!$E$4:$E$503,_calc!$E$119))=0,"",INDEX('Our policies'!$E$4:$E$503,_calc!$E$119)))=0,"","Policy no.: "&amp;IF(LEN(INDEX('Our policies'!$E$4:$E$503,_calc!$E$119))=0,"",INDEX('Our policies'!$E$4:$E$503,_calc!$E$119))&amp;". ")&amp;IF(LEN(IF(LEN(INDEX('Our policies'!$S$4:$S$503,_calc!$E$119))=0,"",INDEX('Our policies'!$S$4:$S$503,_calc!$E$119)))=0,"",IF(LEN(INDEX('Our policies'!$S$4:$S$503,_calc!$E$119))=0,"",INDEX('Our policies'!$S$4:$S$503,_calc!$E$119)))),TRIM(IF(LEN(IF(LEN(INDEX('Vendor COIs'!$C$4:$C$503,(_calc!$E$119-500)))=0,"",INDEX('Vendor COIs'!$C$4:$C$503,(_calc!$E$119-500))))=0,"","Insurer: "&amp;IF(LEN(INDEX('Vendor COIs'!$C$4:$C$503,(_calc!$E$119-500)))=0,"",INDEX('Vendor COIs'!$C$4:$C$503,(_calc!$E$119-500)))&amp;". ")&amp;IF(LEN(IF(LEN(INDEX('Vendor COIs'!$D$4:$D$503,(_calc!$E$119-500)))=0,"",INDEX('Vendor COIs'!$D$4:$D$503,(_calc!$E$119-500))))=0,"","Policy no.: "&amp;IF(LEN(INDEX('Vendor COIs'!$D$4:$D$503,(_calc!$E$119-500)))=0,"",INDEX('Vendor COIs'!$D$4:$D$503,(_calc!$E$119-500)))&amp;". ")&amp;IF(LEN(IF(LEN(INDEX('Vendor COIs'!$F$4:$F$503,(_calc!$E$119-500)))=0,"",INDEX('Vendor COIs'!$F$4:$F$503,(_calc!$E$119-500))))=0,"","Meets minimum: "&amp;IF(LEN(INDEX('Vendor COIs'!$F$4:$F$503,(_calc!$E$119-500)))=0,"",INDEX('Vendor COIs'!$F$4:$F$503,(_calc!$E$119-500)))&amp;". ")&amp;IF(LEN(IF(LEN(INDEX('Vendor COIs'!$G$4:$G$503,(_calc!$E$119-500)))=0,"",INDEX('Vendor COIs'!$G$4:$G$503,(_calc!$E$119-500))))=0,"","Additional insured: "&amp;IF(LEN(INDEX('Vendor COIs'!$G$4:$G$503,(_calc!$E$119-500)))=0,"",INDEX('Vendor COIs'!$G$4:$G$503,(_calc!$E$119-500)))&amp;". ")&amp;IF(LEN(IF(LEN(INDEX('Vendor COIs'!$M$4:$M$503,(_calc!$E$119-500)))=0,"",INDEX('Vendor COIs'!$M$4:$M$503,(_calc!$E$119-500))))=0,"","Vendor contact: "&amp;IF(LEN(INDEX('Vendor COIs'!$M$4:$M$503,(_calc!$E$119-500)))=0,"",INDEX('Vendor COIs'!$M$4:$M$503,(_calc!$E$119-500)))&amp;". ")&amp;IF(LEN(IF(LEN(INDEX('Vendor COIs'!$P$4:$P$503,(_calc!$E$119-500)))=0,"",INDEX('Vendor COIs'!$P$4:$P$503,(_calc!$E$119-500))))=0,"",IF(LEN(INDEX('Vendor COIs'!$P$4:$P$503,(_calc!$E$119-500)))=0,"",INDEX('Vendor COIs'!$P$4:$P$503,(_calc!$E$119-500)))))))</f>
        <v/>
      </c>
      <c r="G117" s="46">
        <f>IF(_calc!$E$119="","",IF(_calc!$E$119&lt;=500,IF(LEN(INDEX('Our policies'!$R$4:$R$503,_calc!$E$119))=0,"",INDEX('Our policies'!$R$4:$R$503,_calc!$E$119)),IF(LEN(INDEX('Vendor COIs'!$O$4:$O$503,(_calc!$E$119-500)))=0,"",INDEX('Vendor COIs'!$O$4:$O$503,(_calc!$E$119-500)))))</f>
        <v/>
      </c>
      <c r="H117" s="46">
        <f>IF(_calc!$E$119="","",IF(_calc!$E$119&lt;=500,IF(LEN(INDEX('Our policies'!$G$4:$G$503,_calc!$E$119))=0,"",INDEX('Our policies'!$G$4:$G$503,_calc!$E$119)),""))</f>
        <v/>
      </c>
      <c r="I117" s="46">
        <f>IF(_calc!$E$119="","",IF(_calc!$E$119&lt;=500,IF(LEN(INDEX('Our policies'!$H$4:$H$503,_calc!$E$119))=0,"",INDEX('Our policies'!$H$4:$H$503,_calc!$E$119)),""))</f>
        <v/>
      </c>
      <c r="K117" s="46">
        <f>IF(_calc!$E$119="","",IF(_calc!$E$119&lt;=500,IF(LEN(INDEX('Our policies'!$P$4:$P$503,_calc!$E$119))=0,"",INDEX('Our policies'!$P$4:$P$503,_calc!$E$119)),IF(LEN(INDEX('Vendor COIs'!$N$4:$N$503,(_calc!$E$119-500)))=0,"",INDEX('Vendor COIs'!$N$4:$N$503,(_calc!$E$119-500)))))</f>
        <v/>
      </c>
    </row>
    <row r="118">
      <c r="A118" s="46">
        <f>IF(_calc!$E$120="","",IF(_calc!$E$120&lt;=500,IF(LEN(INDEX('Our policies'!$A$4:$A$503,_calc!$E$120))=0,"",INDEX('Our policies'!$A$4:$A$503,_calc!$E$120)),"COI – "&amp;IF(LEN(INDEX('Vendor COIs'!$A$4:$A$503,(_calc!$E$120-500)))=0,"",INDEX('Vendor COIs'!$A$4:$A$503,(_calc!$E$120-500)))&amp;" – "&amp;IF(LEN(INDEX('Vendor COIs'!$B$4:$B$503,(_calc!$E$120-500)))=0,"",INDEX('Vendor COIs'!$B$4:$B$503,(_calc!$E$120-500)))))</f>
        <v/>
      </c>
      <c r="B118" s="46">
        <f>IF(_calc!$E$120="","",IF(_calc!$E$120&lt;=500,IF(ISNUMBER(INDEX('Our policies'!$J$4:$J$503,_calc!$E$120)),TEXT(INDEX('Our policies'!$J$4:$J$503,_calc!$E$120),"yyyy-mm-dd"),""),IF(ISNUMBER(INDEX('Vendor COIs'!$H$4:$H$503,(_calc!$E$120-500))),TEXT(INDEX('Vendor COIs'!$H$4:$H$503,(_calc!$E$120-500)),"yyyy-mm-dd"),"")))</f>
        <v/>
      </c>
      <c r="C118" s="46">
        <f>IF(_calc!$E$120="","",IF(_calc!$E$120&lt;=500,"Insurance","Certificate of insurance"))</f>
        <v/>
      </c>
      <c r="D118" s="46">
        <f>IF(_calc!$E$120="","",IF(_calc!$E$120&lt;=500,IF(ISNUMBER(INDEX('Our policies'!$I$4:$I$503,_calc!$E$120)),TEXT(INDEX('Our policies'!$I$4:$I$503,_calc!$E$120),"yyyy-mm-dd"),""),""))</f>
        <v/>
      </c>
      <c r="E118" s="46">
        <f>IF(_calc!$E$120="","",IF(_calc!$E$120&lt;=500,IF(LEN(INDEX('Our policies'!$Q$4:$Q$503,_calc!$E$120))=0,"",INDEX('Our policies'!$Q$4:$Q$503,_calc!$E$120)),"Medium"))</f>
        <v/>
      </c>
      <c r="F118" s="46">
        <f>IF(_calc!$E$120="","",IF(_calc!$E$120&lt;=500,TRIM(IF(LEN(IF(LEN(INDEX('Our policies'!$B$4:$B$503,_calc!$E$120))=0,"",INDEX('Our policies'!$B$4:$B$503,_calc!$E$120)))=0,"","Cover: "&amp;IF(LEN(INDEX('Our policies'!$B$4:$B$503,_calc!$E$120))=0,"",INDEX('Our policies'!$B$4:$B$503,_calc!$E$120))&amp;". ")&amp;IF(LEN(IF(LEN(INDEX('Our policies'!$C$4:$C$503,_calc!$E$120))=0,"",INDEX('Our policies'!$C$4:$C$503,_calc!$E$120)))=0,"","Insurer: "&amp;IF(LEN(INDEX('Our policies'!$C$4:$C$503,_calc!$E$120))=0,"",INDEX('Our policies'!$C$4:$C$503,_calc!$E$120))&amp;". ")&amp;IF(LEN(IF(LEN(INDEX('Our policies'!$D$4:$D$503,_calc!$E$120))=0,"",INDEX('Our policies'!$D$4:$D$503,_calc!$E$120)))=0,"","Broker: "&amp;IF(LEN(INDEX('Our policies'!$D$4:$D$503,_calc!$E$120))=0,"",INDEX('Our policies'!$D$4:$D$503,_calc!$E$120))&amp;". ")&amp;IF(LEN(IF(LEN(INDEX('Our policies'!$E$4:$E$503,_calc!$E$120))=0,"",INDEX('Our policies'!$E$4:$E$503,_calc!$E$120)))=0,"","Policy no.: "&amp;IF(LEN(INDEX('Our policies'!$E$4:$E$503,_calc!$E$120))=0,"",INDEX('Our policies'!$E$4:$E$503,_calc!$E$120))&amp;". ")&amp;IF(LEN(IF(LEN(INDEX('Our policies'!$S$4:$S$503,_calc!$E$120))=0,"",INDEX('Our policies'!$S$4:$S$503,_calc!$E$120)))=0,"",IF(LEN(INDEX('Our policies'!$S$4:$S$503,_calc!$E$120))=0,"",INDEX('Our policies'!$S$4:$S$503,_calc!$E$120)))),TRIM(IF(LEN(IF(LEN(INDEX('Vendor COIs'!$C$4:$C$503,(_calc!$E$120-500)))=0,"",INDEX('Vendor COIs'!$C$4:$C$503,(_calc!$E$120-500))))=0,"","Insurer: "&amp;IF(LEN(INDEX('Vendor COIs'!$C$4:$C$503,(_calc!$E$120-500)))=0,"",INDEX('Vendor COIs'!$C$4:$C$503,(_calc!$E$120-500)))&amp;". ")&amp;IF(LEN(IF(LEN(INDEX('Vendor COIs'!$D$4:$D$503,(_calc!$E$120-500)))=0,"",INDEX('Vendor COIs'!$D$4:$D$503,(_calc!$E$120-500))))=0,"","Policy no.: "&amp;IF(LEN(INDEX('Vendor COIs'!$D$4:$D$503,(_calc!$E$120-500)))=0,"",INDEX('Vendor COIs'!$D$4:$D$503,(_calc!$E$120-500)))&amp;". ")&amp;IF(LEN(IF(LEN(INDEX('Vendor COIs'!$F$4:$F$503,(_calc!$E$120-500)))=0,"",INDEX('Vendor COIs'!$F$4:$F$503,(_calc!$E$120-500))))=0,"","Meets minimum: "&amp;IF(LEN(INDEX('Vendor COIs'!$F$4:$F$503,(_calc!$E$120-500)))=0,"",INDEX('Vendor COIs'!$F$4:$F$503,(_calc!$E$120-500)))&amp;". ")&amp;IF(LEN(IF(LEN(INDEX('Vendor COIs'!$G$4:$G$503,(_calc!$E$120-500)))=0,"",INDEX('Vendor COIs'!$G$4:$G$503,(_calc!$E$120-500))))=0,"","Additional insured: "&amp;IF(LEN(INDEX('Vendor COIs'!$G$4:$G$503,(_calc!$E$120-500)))=0,"",INDEX('Vendor COIs'!$G$4:$G$503,(_calc!$E$120-500)))&amp;". ")&amp;IF(LEN(IF(LEN(INDEX('Vendor COIs'!$M$4:$M$503,(_calc!$E$120-500)))=0,"",INDEX('Vendor COIs'!$M$4:$M$503,(_calc!$E$120-500))))=0,"","Vendor contact: "&amp;IF(LEN(INDEX('Vendor COIs'!$M$4:$M$503,(_calc!$E$120-500)))=0,"",INDEX('Vendor COIs'!$M$4:$M$503,(_calc!$E$120-500)))&amp;". ")&amp;IF(LEN(IF(LEN(INDEX('Vendor COIs'!$P$4:$P$503,(_calc!$E$120-500)))=0,"",INDEX('Vendor COIs'!$P$4:$P$503,(_calc!$E$120-500))))=0,"",IF(LEN(INDEX('Vendor COIs'!$P$4:$P$503,(_calc!$E$120-500)))=0,"",INDEX('Vendor COIs'!$P$4:$P$503,(_calc!$E$120-500)))))))</f>
        <v/>
      </c>
      <c r="G118" s="46">
        <f>IF(_calc!$E$120="","",IF(_calc!$E$120&lt;=500,IF(LEN(INDEX('Our policies'!$R$4:$R$503,_calc!$E$120))=0,"",INDEX('Our policies'!$R$4:$R$503,_calc!$E$120)),IF(LEN(INDEX('Vendor COIs'!$O$4:$O$503,(_calc!$E$120-500)))=0,"",INDEX('Vendor COIs'!$O$4:$O$503,(_calc!$E$120-500)))))</f>
        <v/>
      </c>
      <c r="H118" s="46">
        <f>IF(_calc!$E$120="","",IF(_calc!$E$120&lt;=500,IF(LEN(INDEX('Our policies'!$G$4:$G$503,_calc!$E$120))=0,"",INDEX('Our policies'!$G$4:$G$503,_calc!$E$120)),""))</f>
        <v/>
      </c>
      <c r="I118" s="46">
        <f>IF(_calc!$E$120="","",IF(_calc!$E$120&lt;=500,IF(LEN(INDEX('Our policies'!$H$4:$H$503,_calc!$E$120))=0,"",INDEX('Our policies'!$H$4:$H$503,_calc!$E$120)),""))</f>
        <v/>
      </c>
      <c r="K118" s="46">
        <f>IF(_calc!$E$120="","",IF(_calc!$E$120&lt;=500,IF(LEN(INDEX('Our policies'!$P$4:$P$503,_calc!$E$120))=0,"",INDEX('Our policies'!$P$4:$P$503,_calc!$E$120)),IF(LEN(INDEX('Vendor COIs'!$N$4:$N$503,(_calc!$E$120-500)))=0,"",INDEX('Vendor COIs'!$N$4:$N$503,(_calc!$E$120-500)))))</f>
        <v/>
      </c>
    </row>
    <row r="119">
      <c r="A119" s="46">
        <f>IF(_calc!$E$121="","",IF(_calc!$E$121&lt;=500,IF(LEN(INDEX('Our policies'!$A$4:$A$503,_calc!$E$121))=0,"",INDEX('Our policies'!$A$4:$A$503,_calc!$E$121)),"COI – "&amp;IF(LEN(INDEX('Vendor COIs'!$A$4:$A$503,(_calc!$E$121-500)))=0,"",INDEX('Vendor COIs'!$A$4:$A$503,(_calc!$E$121-500)))&amp;" – "&amp;IF(LEN(INDEX('Vendor COIs'!$B$4:$B$503,(_calc!$E$121-500)))=0,"",INDEX('Vendor COIs'!$B$4:$B$503,(_calc!$E$121-500)))))</f>
        <v/>
      </c>
      <c r="B119" s="46">
        <f>IF(_calc!$E$121="","",IF(_calc!$E$121&lt;=500,IF(ISNUMBER(INDEX('Our policies'!$J$4:$J$503,_calc!$E$121)),TEXT(INDEX('Our policies'!$J$4:$J$503,_calc!$E$121),"yyyy-mm-dd"),""),IF(ISNUMBER(INDEX('Vendor COIs'!$H$4:$H$503,(_calc!$E$121-500))),TEXT(INDEX('Vendor COIs'!$H$4:$H$503,(_calc!$E$121-500)),"yyyy-mm-dd"),"")))</f>
        <v/>
      </c>
      <c r="C119" s="46">
        <f>IF(_calc!$E$121="","",IF(_calc!$E$121&lt;=500,"Insurance","Certificate of insurance"))</f>
        <v/>
      </c>
      <c r="D119" s="46">
        <f>IF(_calc!$E$121="","",IF(_calc!$E$121&lt;=500,IF(ISNUMBER(INDEX('Our policies'!$I$4:$I$503,_calc!$E$121)),TEXT(INDEX('Our policies'!$I$4:$I$503,_calc!$E$121),"yyyy-mm-dd"),""),""))</f>
        <v/>
      </c>
      <c r="E119" s="46">
        <f>IF(_calc!$E$121="","",IF(_calc!$E$121&lt;=500,IF(LEN(INDEX('Our policies'!$Q$4:$Q$503,_calc!$E$121))=0,"",INDEX('Our policies'!$Q$4:$Q$503,_calc!$E$121)),"Medium"))</f>
        <v/>
      </c>
      <c r="F119" s="46">
        <f>IF(_calc!$E$121="","",IF(_calc!$E$121&lt;=500,TRIM(IF(LEN(IF(LEN(INDEX('Our policies'!$B$4:$B$503,_calc!$E$121))=0,"",INDEX('Our policies'!$B$4:$B$503,_calc!$E$121)))=0,"","Cover: "&amp;IF(LEN(INDEX('Our policies'!$B$4:$B$503,_calc!$E$121))=0,"",INDEX('Our policies'!$B$4:$B$503,_calc!$E$121))&amp;". ")&amp;IF(LEN(IF(LEN(INDEX('Our policies'!$C$4:$C$503,_calc!$E$121))=0,"",INDEX('Our policies'!$C$4:$C$503,_calc!$E$121)))=0,"","Insurer: "&amp;IF(LEN(INDEX('Our policies'!$C$4:$C$503,_calc!$E$121))=0,"",INDEX('Our policies'!$C$4:$C$503,_calc!$E$121))&amp;". ")&amp;IF(LEN(IF(LEN(INDEX('Our policies'!$D$4:$D$503,_calc!$E$121))=0,"",INDEX('Our policies'!$D$4:$D$503,_calc!$E$121)))=0,"","Broker: "&amp;IF(LEN(INDEX('Our policies'!$D$4:$D$503,_calc!$E$121))=0,"",INDEX('Our policies'!$D$4:$D$503,_calc!$E$121))&amp;". ")&amp;IF(LEN(IF(LEN(INDEX('Our policies'!$E$4:$E$503,_calc!$E$121))=0,"",INDEX('Our policies'!$E$4:$E$503,_calc!$E$121)))=0,"","Policy no.: "&amp;IF(LEN(INDEX('Our policies'!$E$4:$E$503,_calc!$E$121))=0,"",INDEX('Our policies'!$E$4:$E$503,_calc!$E$121))&amp;". ")&amp;IF(LEN(IF(LEN(INDEX('Our policies'!$S$4:$S$503,_calc!$E$121))=0,"",INDEX('Our policies'!$S$4:$S$503,_calc!$E$121)))=0,"",IF(LEN(INDEX('Our policies'!$S$4:$S$503,_calc!$E$121))=0,"",INDEX('Our policies'!$S$4:$S$503,_calc!$E$121)))),TRIM(IF(LEN(IF(LEN(INDEX('Vendor COIs'!$C$4:$C$503,(_calc!$E$121-500)))=0,"",INDEX('Vendor COIs'!$C$4:$C$503,(_calc!$E$121-500))))=0,"","Insurer: "&amp;IF(LEN(INDEX('Vendor COIs'!$C$4:$C$503,(_calc!$E$121-500)))=0,"",INDEX('Vendor COIs'!$C$4:$C$503,(_calc!$E$121-500)))&amp;". ")&amp;IF(LEN(IF(LEN(INDEX('Vendor COIs'!$D$4:$D$503,(_calc!$E$121-500)))=0,"",INDEX('Vendor COIs'!$D$4:$D$503,(_calc!$E$121-500))))=0,"","Policy no.: "&amp;IF(LEN(INDEX('Vendor COIs'!$D$4:$D$503,(_calc!$E$121-500)))=0,"",INDEX('Vendor COIs'!$D$4:$D$503,(_calc!$E$121-500)))&amp;". ")&amp;IF(LEN(IF(LEN(INDEX('Vendor COIs'!$F$4:$F$503,(_calc!$E$121-500)))=0,"",INDEX('Vendor COIs'!$F$4:$F$503,(_calc!$E$121-500))))=0,"","Meets minimum: "&amp;IF(LEN(INDEX('Vendor COIs'!$F$4:$F$503,(_calc!$E$121-500)))=0,"",INDEX('Vendor COIs'!$F$4:$F$503,(_calc!$E$121-500)))&amp;". ")&amp;IF(LEN(IF(LEN(INDEX('Vendor COIs'!$G$4:$G$503,(_calc!$E$121-500)))=0,"",INDEX('Vendor COIs'!$G$4:$G$503,(_calc!$E$121-500))))=0,"","Additional insured: "&amp;IF(LEN(INDEX('Vendor COIs'!$G$4:$G$503,(_calc!$E$121-500)))=0,"",INDEX('Vendor COIs'!$G$4:$G$503,(_calc!$E$121-500)))&amp;". ")&amp;IF(LEN(IF(LEN(INDEX('Vendor COIs'!$M$4:$M$503,(_calc!$E$121-500)))=0,"",INDEX('Vendor COIs'!$M$4:$M$503,(_calc!$E$121-500))))=0,"","Vendor contact: "&amp;IF(LEN(INDEX('Vendor COIs'!$M$4:$M$503,(_calc!$E$121-500)))=0,"",INDEX('Vendor COIs'!$M$4:$M$503,(_calc!$E$121-500)))&amp;". ")&amp;IF(LEN(IF(LEN(INDEX('Vendor COIs'!$P$4:$P$503,(_calc!$E$121-500)))=0,"",INDEX('Vendor COIs'!$P$4:$P$503,(_calc!$E$121-500))))=0,"",IF(LEN(INDEX('Vendor COIs'!$P$4:$P$503,(_calc!$E$121-500)))=0,"",INDEX('Vendor COIs'!$P$4:$P$503,(_calc!$E$121-500)))))))</f>
        <v/>
      </c>
      <c r="G119" s="46">
        <f>IF(_calc!$E$121="","",IF(_calc!$E$121&lt;=500,IF(LEN(INDEX('Our policies'!$R$4:$R$503,_calc!$E$121))=0,"",INDEX('Our policies'!$R$4:$R$503,_calc!$E$121)),IF(LEN(INDEX('Vendor COIs'!$O$4:$O$503,(_calc!$E$121-500)))=0,"",INDEX('Vendor COIs'!$O$4:$O$503,(_calc!$E$121-500)))))</f>
        <v/>
      </c>
      <c r="H119" s="46">
        <f>IF(_calc!$E$121="","",IF(_calc!$E$121&lt;=500,IF(LEN(INDEX('Our policies'!$G$4:$G$503,_calc!$E$121))=0,"",INDEX('Our policies'!$G$4:$G$503,_calc!$E$121)),""))</f>
        <v/>
      </c>
      <c r="I119" s="46">
        <f>IF(_calc!$E$121="","",IF(_calc!$E$121&lt;=500,IF(LEN(INDEX('Our policies'!$H$4:$H$503,_calc!$E$121))=0,"",INDEX('Our policies'!$H$4:$H$503,_calc!$E$121)),""))</f>
        <v/>
      </c>
      <c r="K119" s="46">
        <f>IF(_calc!$E$121="","",IF(_calc!$E$121&lt;=500,IF(LEN(INDEX('Our policies'!$P$4:$P$503,_calc!$E$121))=0,"",INDEX('Our policies'!$P$4:$P$503,_calc!$E$121)),IF(LEN(INDEX('Vendor COIs'!$N$4:$N$503,(_calc!$E$121-500)))=0,"",INDEX('Vendor COIs'!$N$4:$N$503,(_calc!$E$121-500)))))</f>
        <v/>
      </c>
    </row>
    <row r="120">
      <c r="A120" s="46">
        <f>IF(_calc!$E$122="","",IF(_calc!$E$122&lt;=500,IF(LEN(INDEX('Our policies'!$A$4:$A$503,_calc!$E$122))=0,"",INDEX('Our policies'!$A$4:$A$503,_calc!$E$122)),"COI – "&amp;IF(LEN(INDEX('Vendor COIs'!$A$4:$A$503,(_calc!$E$122-500)))=0,"",INDEX('Vendor COIs'!$A$4:$A$503,(_calc!$E$122-500)))&amp;" – "&amp;IF(LEN(INDEX('Vendor COIs'!$B$4:$B$503,(_calc!$E$122-500)))=0,"",INDEX('Vendor COIs'!$B$4:$B$503,(_calc!$E$122-500)))))</f>
        <v/>
      </c>
      <c r="B120" s="46">
        <f>IF(_calc!$E$122="","",IF(_calc!$E$122&lt;=500,IF(ISNUMBER(INDEX('Our policies'!$J$4:$J$503,_calc!$E$122)),TEXT(INDEX('Our policies'!$J$4:$J$503,_calc!$E$122),"yyyy-mm-dd"),""),IF(ISNUMBER(INDEX('Vendor COIs'!$H$4:$H$503,(_calc!$E$122-500))),TEXT(INDEX('Vendor COIs'!$H$4:$H$503,(_calc!$E$122-500)),"yyyy-mm-dd"),"")))</f>
        <v/>
      </c>
      <c r="C120" s="46">
        <f>IF(_calc!$E$122="","",IF(_calc!$E$122&lt;=500,"Insurance","Certificate of insurance"))</f>
        <v/>
      </c>
      <c r="D120" s="46">
        <f>IF(_calc!$E$122="","",IF(_calc!$E$122&lt;=500,IF(ISNUMBER(INDEX('Our policies'!$I$4:$I$503,_calc!$E$122)),TEXT(INDEX('Our policies'!$I$4:$I$503,_calc!$E$122),"yyyy-mm-dd"),""),""))</f>
        <v/>
      </c>
      <c r="E120" s="46">
        <f>IF(_calc!$E$122="","",IF(_calc!$E$122&lt;=500,IF(LEN(INDEX('Our policies'!$Q$4:$Q$503,_calc!$E$122))=0,"",INDEX('Our policies'!$Q$4:$Q$503,_calc!$E$122)),"Medium"))</f>
        <v/>
      </c>
      <c r="F120" s="46">
        <f>IF(_calc!$E$122="","",IF(_calc!$E$122&lt;=500,TRIM(IF(LEN(IF(LEN(INDEX('Our policies'!$B$4:$B$503,_calc!$E$122))=0,"",INDEX('Our policies'!$B$4:$B$503,_calc!$E$122)))=0,"","Cover: "&amp;IF(LEN(INDEX('Our policies'!$B$4:$B$503,_calc!$E$122))=0,"",INDEX('Our policies'!$B$4:$B$503,_calc!$E$122))&amp;". ")&amp;IF(LEN(IF(LEN(INDEX('Our policies'!$C$4:$C$503,_calc!$E$122))=0,"",INDEX('Our policies'!$C$4:$C$503,_calc!$E$122)))=0,"","Insurer: "&amp;IF(LEN(INDEX('Our policies'!$C$4:$C$503,_calc!$E$122))=0,"",INDEX('Our policies'!$C$4:$C$503,_calc!$E$122))&amp;". ")&amp;IF(LEN(IF(LEN(INDEX('Our policies'!$D$4:$D$503,_calc!$E$122))=0,"",INDEX('Our policies'!$D$4:$D$503,_calc!$E$122)))=0,"","Broker: "&amp;IF(LEN(INDEX('Our policies'!$D$4:$D$503,_calc!$E$122))=0,"",INDEX('Our policies'!$D$4:$D$503,_calc!$E$122))&amp;". ")&amp;IF(LEN(IF(LEN(INDEX('Our policies'!$E$4:$E$503,_calc!$E$122))=0,"",INDEX('Our policies'!$E$4:$E$503,_calc!$E$122)))=0,"","Policy no.: "&amp;IF(LEN(INDEX('Our policies'!$E$4:$E$503,_calc!$E$122))=0,"",INDEX('Our policies'!$E$4:$E$503,_calc!$E$122))&amp;". ")&amp;IF(LEN(IF(LEN(INDEX('Our policies'!$S$4:$S$503,_calc!$E$122))=0,"",INDEX('Our policies'!$S$4:$S$503,_calc!$E$122)))=0,"",IF(LEN(INDEX('Our policies'!$S$4:$S$503,_calc!$E$122))=0,"",INDEX('Our policies'!$S$4:$S$503,_calc!$E$122)))),TRIM(IF(LEN(IF(LEN(INDEX('Vendor COIs'!$C$4:$C$503,(_calc!$E$122-500)))=0,"",INDEX('Vendor COIs'!$C$4:$C$503,(_calc!$E$122-500))))=0,"","Insurer: "&amp;IF(LEN(INDEX('Vendor COIs'!$C$4:$C$503,(_calc!$E$122-500)))=0,"",INDEX('Vendor COIs'!$C$4:$C$503,(_calc!$E$122-500)))&amp;". ")&amp;IF(LEN(IF(LEN(INDEX('Vendor COIs'!$D$4:$D$503,(_calc!$E$122-500)))=0,"",INDEX('Vendor COIs'!$D$4:$D$503,(_calc!$E$122-500))))=0,"","Policy no.: "&amp;IF(LEN(INDEX('Vendor COIs'!$D$4:$D$503,(_calc!$E$122-500)))=0,"",INDEX('Vendor COIs'!$D$4:$D$503,(_calc!$E$122-500)))&amp;". ")&amp;IF(LEN(IF(LEN(INDEX('Vendor COIs'!$F$4:$F$503,(_calc!$E$122-500)))=0,"",INDEX('Vendor COIs'!$F$4:$F$503,(_calc!$E$122-500))))=0,"","Meets minimum: "&amp;IF(LEN(INDEX('Vendor COIs'!$F$4:$F$503,(_calc!$E$122-500)))=0,"",INDEX('Vendor COIs'!$F$4:$F$503,(_calc!$E$122-500)))&amp;". ")&amp;IF(LEN(IF(LEN(INDEX('Vendor COIs'!$G$4:$G$503,(_calc!$E$122-500)))=0,"",INDEX('Vendor COIs'!$G$4:$G$503,(_calc!$E$122-500))))=0,"","Additional insured: "&amp;IF(LEN(INDEX('Vendor COIs'!$G$4:$G$503,(_calc!$E$122-500)))=0,"",INDEX('Vendor COIs'!$G$4:$G$503,(_calc!$E$122-500)))&amp;". ")&amp;IF(LEN(IF(LEN(INDEX('Vendor COIs'!$M$4:$M$503,(_calc!$E$122-500)))=0,"",INDEX('Vendor COIs'!$M$4:$M$503,(_calc!$E$122-500))))=0,"","Vendor contact: "&amp;IF(LEN(INDEX('Vendor COIs'!$M$4:$M$503,(_calc!$E$122-500)))=0,"",INDEX('Vendor COIs'!$M$4:$M$503,(_calc!$E$122-500)))&amp;". ")&amp;IF(LEN(IF(LEN(INDEX('Vendor COIs'!$P$4:$P$503,(_calc!$E$122-500)))=0,"",INDEX('Vendor COIs'!$P$4:$P$503,(_calc!$E$122-500))))=0,"",IF(LEN(INDEX('Vendor COIs'!$P$4:$P$503,(_calc!$E$122-500)))=0,"",INDEX('Vendor COIs'!$P$4:$P$503,(_calc!$E$122-500)))))))</f>
        <v/>
      </c>
      <c r="G120" s="46">
        <f>IF(_calc!$E$122="","",IF(_calc!$E$122&lt;=500,IF(LEN(INDEX('Our policies'!$R$4:$R$503,_calc!$E$122))=0,"",INDEX('Our policies'!$R$4:$R$503,_calc!$E$122)),IF(LEN(INDEX('Vendor COIs'!$O$4:$O$503,(_calc!$E$122-500)))=0,"",INDEX('Vendor COIs'!$O$4:$O$503,(_calc!$E$122-500)))))</f>
        <v/>
      </c>
      <c r="H120" s="46">
        <f>IF(_calc!$E$122="","",IF(_calc!$E$122&lt;=500,IF(LEN(INDEX('Our policies'!$G$4:$G$503,_calc!$E$122))=0,"",INDEX('Our policies'!$G$4:$G$503,_calc!$E$122)),""))</f>
        <v/>
      </c>
      <c r="I120" s="46">
        <f>IF(_calc!$E$122="","",IF(_calc!$E$122&lt;=500,IF(LEN(INDEX('Our policies'!$H$4:$H$503,_calc!$E$122))=0,"",INDEX('Our policies'!$H$4:$H$503,_calc!$E$122)),""))</f>
        <v/>
      </c>
      <c r="K120" s="46">
        <f>IF(_calc!$E$122="","",IF(_calc!$E$122&lt;=500,IF(LEN(INDEX('Our policies'!$P$4:$P$503,_calc!$E$122))=0,"",INDEX('Our policies'!$P$4:$P$503,_calc!$E$122)),IF(LEN(INDEX('Vendor COIs'!$N$4:$N$503,(_calc!$E$122-500)))=0,"",INDEX('Vendor COIs'!$N$4:$N$503,(_calc!$E$122-500)))))</f>
        <v/>
      </c>
    </row>
    <row r="121">
      <c r="A121" s="46">
        <f>IF(_calc!$E$123="","",IF(_calc!$E$123&lt;=500,IF(LEN(INDEX('Our policies'!$A$4:$A$503,_calc!$E$123))=0,"",INDEX('Our policies'!$A$4:$A$503,_calc!$E$123)),"COI – "&amp;IF(LEN(INDEX('Vendor COIs'!$A$4:$A$503,(_calc!$E$123-500)))=0,"",INDEX('Vendor COIs'!$A$4:$A$503,(_calc!$E$123-500)))&amp;" – "&amp;IF(LEN(INDEX('Vendor COIs'!$B$4:$B$503,(_calc!$E$123-500)))=0,"",INDEX('Vendor COIs'!$B$4:$B$503,(_calc!$E$123-500)))))</f>
        <v/>
      </c>
      <c r="B121" s="46">
        <f>IF(_calc!$E$123="","",IF(_calc!$E$123&lt;=500,IF(ISNUMBER(INDEX('Our policies'!$J$4:$J$503,_calc!$E$123)),TEXT(INDEX('Our policies'!$J$4:$J$503,_calc!$E$123),"yyyy-mm-dd"),""),IF(ISNUMBER(INDEX('Vendor COIs'!$H$4:$H$503,(_calc!$E$123-500))),TEXT(INDEX('Vendor COIs'!$H$4:$H$503,(_calc!$E$123-500)),"yyyy-mm-dd"),"")))</f>
        <v/>
      </c>
      <c r="C121" s="46">
        <f>IF(_calc!$E$123="","",IF(_calc!$E$123&lt;=500,"Insurance","Certificate of insurance"))</f>
        <v/>
      </c>
      <c r="D121" s="46">
        <f>IF(_calc!$E$123="","",IF(_calc!$E$123&lt;=500,IF(ISNUMBER(INDEX('Our policies'!$I$4:$I$503,_calc!$E$123)),TEXT(INDEX('Our policies'!$I$4:$I$503,_calc!$E$123),"yyyy-mm-dd"),""),""))</f>
        <v/>
      </c>
      <c r="E121" s="46">
        <f>IF(_calc!$E$123="","",IF(_calc!$E$123&lt;=500,IF(LEN(INDEX('Our policies'!$Q$4:$Q$503,_calc!$E$123))=0,"",INDEX('Our policies'!$Q$4:$Q$503,_calc!$E$123)),"Medium"))</f>
        <v/>
      </c>
      <c r="F121" s="46">
        <f>IF(_calc!$E$123="","",IF(_calc!$E$123&lt;=500,TRIM(IF(LEN(IF(LEN(INDEX('Our policies'!$B$4:$B$503,_calc!$E$123))=0,"",INDEX('Our policies'!$B$4:$B$503,_calc!$E$123)))=0,"","Cover: "&amp;IF(LEN(INDEX('Our policies'!$B$4:$B$503,_calc!$E$123))=0,"",INDEX('Our policies'!$B$4:$B$503,_calc!$E$123))&amp;". ")&amp;IF(LEN(IF(LEN(INDEX('Our policies'!$C$4:$C$503,_calc!$E$123))=0,"",INDEX('Our policies'!$C$4:$C$503,_calc!$E$123)))=0,"","Insurer: "&amp;IF(LEN(INDEX('Our policies'!$C$4:$C$503,_calc!$E$123))=0,"",INDEX('Our policies'!$C$4:$C$503,_calc!$E$123))&amp;". ")&amp;IF(LEN(IF(LEN(INDEX('Our policies'!$D$4:$D$503,_calc!$E$123))=0,"",INDEX('Our policies'!$D$4:$D$503,_calc!$E$123)))=0,"","Broker: "&amp;IF(LEN(INDEX('Our policies'!$D$4:$D$503,_calc!$E$123))=0,"",INDEX('Our policies'!$D$4:$D$503,_calc!$E$123))&amp;". ")&amp;IF(LEN(IF(LEN(INDEX('Our policies'!$E$4:$E$503,_calc!$E$123))=0,"",INDEX('Our policies'!$E$4:$E$503,_calc!$E$123)))=0,"","Policy no.: "&amp;IF(LEN(INDEX('Our policies'!$E$4:$E$503,_calc!$E$123))=0,"",INDEX('Our policies'!$E$4:$E$503,_calc!$E$123))&amp;". ")&amp;IF(LEN(IF(LEN(INDEX('Our policies'!$S$4:$S$503,_calc!$E$123))=0,"",INDEX('Our policies'!$S$4:$S$503,_calc!$E$123)))=0,"",IF(LEN(INDEX('Our policies'!$S$4:$S$503,_calc!$E$123))=0,"",INDEX('Our policies'!$S$4:$S$503,_calc!$E$123)))),TRIM(IF(LEN(IF(LEN(INDEX('Vendor COIs'!$C$4:$C$503,(_calc!$E$123-500)))=0,"",INDEX('Vendor COIs'!$C$4:$C$503,(_calc!$E$123-500))))=0,"","Insurer: "&amp;IF(LEN(INDEX('Vendor COIs'!$C$4:$C$503,(_calc!$E$123-500)))=0,"",INDEX('Vendor COIs'!$C$4:$C$503,(_calc!$E$123-500)))&amp;". ")&amp;IF(LEN(IF(LEN(INDEX('Vendor COIs'!$D$4:$D$503,(_calc!$E$123-500)))=0,"",INDEX('Vendor COIs'!$D$4:$D$503,(_calc!$E$123-500))))=0,"","Policy no.: "&amp;IF(LEN(INDEX('Vendor COIs'!$D$4:$D$503,(_calc!$E$123-500)))=0,"",INDEX('Vendor COIs'!$D$4:$D$503,(_calc!$E$123-500)))&amp;". ")&amp;IF(LEN(IF(LEN(INDEX('Vendor COIs'!$F$4:$F$503,(_calc!$E$123-500)))=0,"",INDEX('Vendor COIs'!$F$4:$F$503,(_calc!$E$123-500))))=0,"","Meets minimum: "&amp;IF(LEN(INDEX('Vendor COIs'!$F$4:$F$503,(_calc!$E$123-500)))=0,"",INDEX('Vendor COIs'!$F$4:$F$503,(_calc!$E$123-500)))&amp;". ")&amp;IF(LEN(IF(LEN(INDEX('Vendor COIs'!$G$4:$G$503,(_calc!$E$123-500)))=0,"",INDEX('Vendor COIs'!$G$4:$G$503,(_calc!$E$123-500))))=0,"","Additional insured: "&amp;IF(LEN(INDEX('Vendor COIs'!$G$4:$G$503,(_calc!$E$123-500)))=0,"",INDEX('Vendor COIs'!$G$4:$G$503,(_calc!$E$123-500)))&amp;". ")&amp;IF(LEN(IF(LEN(INDEX('Vendor COIs'!$M$4:$M$503,(_calc!$E$123-500)))=0,"",INDEX('Vendor COIs'!$M$4:$M$503,(_calc!$E$123-500))))=0,"","Vendor contact: "&amp;IF(LEN(INDEX('Vendor COIs'!$M$4:$M$503,(_calc!$E$123-500)))=0,"",INDEX('Vendor COIs'!$M$4:$M$503,(_calc!$E$123-500)))&amp;". ")&amp;IF(LEN(IF(LEN(INDEX('Vendor COIs'!$P$4:$P$503,(_calc!$E$123-500)))=0,"",INDEX('Vendor COIs'!$P$4:$P$503,(_calc!$E$123-500))))=0,"",IF(LEN(INDEX('Vendor COIs'!$P$4:$P$503,(_calc!$E$123-500)))=0,"",INDEX('Vendor COIs'!$P$4:$P$503,(_calc!$E$123-500)))))))</f>
        <v/>
      </c>
      <c r="G121" s="46">
        <f>IF(_calc!$E$123="","",IF(_calc!$E$123&lt;=500,IF(LEN(INDEX('Our policies'!$R$4:$R$503,_calc!$E$123))=0,"",INDEX('Our policies'!$R$4:$R$503,_calc!$E$123)),IF(LEN(INDEX('Vendor COIs'!$O$4:$O$503,(_calc!$E$123-500)))=0,"",INDEX('Vendor COIs'!$O$4:$O$503,(_calc!$E$123-500)))))</f>
        <v/>
      </c>
      <c r="H121" s="46">
        <f>IF(_calc!$E$123="","",IF(_calc!$E$123&lt;=500,IF(LEN(INDEX('Our policies'!$G$4:$G$503,_calc!$E$123))=0,"",INDEX('Our policies'!$G$4:$G$503,_calc!$E$123)),""))</f>
        <v/>
      </c>
      <c r="I121" s="46">
        <f>IF(_calc!$E$123="","",IF(_calc!$E$123&lt;=500,IF(LEN(INDEX('Our policies'!$H$4:$H$503,_calc!$E$123))=0,"",INDEX('Our policies'!$H$4:$H$503,_calc!$E$123)),""))</f>
        <v/>
      </c>
      <c r="K121" s="46">
        <f>IF(_calc!$E$123="","",IF(_calc!$E$123&lt;=500,IF(LEN(INDEX('Our policies'!$P$4:$P$503,_calc!$E$123))=0,"",INDEX('Our policies'!$P$4:$P$503,_calc!$E$123)),IF(LEN(INDEX('Vendor COIs'!$N$4:$N$503,(_calc!$E$123-500)))=0,"",INDEX('Vendor COIs'!$N$4:$N$503,(_calc!$E$123-500)))))</f>
        <v/>
      </c>
    </row>
    <row r="122">
      <c r="A122" s="46">
        <f>IF(_calc!$E$124="","",IF(_calc!$E$124&lt;=500,IF(LEN(INDEX('Our policies'!$A$4:$A$503,_calc!$E$124))=0,"",INDEX('Our policies'!$A$4:$A$503,_calc!$E$124)),"COI – "&amp;IF(LEN(INDEX('Vendor COIs'!$A$4:$A$503,(_calc!$E$124-500)))=0,"",INDEX('Vendor COIs'!$A$4:$A$503,(_calc!$E$124-500)))&amp;" – "&amp;IF(LEN(INDEX('Vendor COIs'!$B$4:$B$503,(_calc!$E$124-500)))=0,"",INDEX('Vendor COIs'!$B$4:$B$503,(_calc!$E$124-500)))))</f>
        <v/>
      </c>
      <c r="B122" s="46">
        <f>IF(_calc!$E$124="","",IF(_calc!$E$124&lt;=500,IF(ISNUMBER(INDEX('Our policies'!$J$4:$J$503,_calc!$E$124)),TEXT(INDEX('Our policies'!$J$4:$J$503,_calc!$E$124),"yyyy-mm-dd"),""),IF(ISNUMBER(INDEX('Vendor COIs'!$H$4:$H$503,(_calc!$E$124-500))),TEXT(INDEX('Vendor COIs'!$H$4:$H$503,(_calc!$E$124-500)),"yyyy-mm-dd"),"")))</f>
        <v/>
      </c>
      <c r="C122" s="46">
        <f>IF(_calc!$E$124="","",IF(_calc!$E$124&lt;=500,"Insurance","Certificate of insurance"))</f>
        <v/>
      </c>
      <c r="D122" s="46">
        <f>IF(_calc!$E$124="","",IF(_calc!$E$124&lt;=500,IF(ISNUMBER(INDEX('Our policies'!$I$4:$I$503,_calc!$E$124)),TEXT(INDEX('Our policies'!$I$4:$I$503,_calc!$E$124),"yyyy-mm-dd"),""),""))</f>
        <v/>
      </c>
      <c r="E122" s="46">
        <f>IF(_calc!$E$124="","",IF(_calc!$E$124&lt;=500,IF(LEN(INDEX('Our policies'!$Q$4:$Q$503,_calc!$E$124))=0,"",INDEX('Our policies'!$Q$4:$Q$503,_calc!$E$124)),"Medium"))</f>
        <v/>
      </c>
      <c r="F122" s="46">
        <f>IF(_calc!$E$124="","",IF(_calc!$E$124&lt;=500,TRIM(IF(LEN(IF(LEN(INDEX('Our policies'!$B$4:$B$503,_calc!$E$124))=0,"",INDEX('Our policies'!$B$4:$B$503,_calc!$E$124)))=0,"","Cover: "&amp;IF(LEN(INDEX('Our policies'!$B$4:$B$503,_calc!$E$124))=0,"",INDEX('Our policies'!$B$4:$B$503,_calc!$E$124))&amp;". ")&amp;IF(LEN(IF(LEN(INDEX('Our policies'!$C$4:$C$503,_calc!$E$124))=0,"",INDEX('Our policies'!$C$4:$C$503,_calc!$E$124)))=0,"","Insurer: "&amp;IF(LEN(INDEX('Our policies'!$C$4:$C$503,_calc!$E$124))=0,"",INDEX('Our policies'!$C$4:$C$503,_calc!$E$124))&amp;". ")&amp;IF(LEN(IF(LEN(INDEX('Our policies'!$D$4:$D$503,_calc!$E$124))=0,"",INDEX('Our policies'!$D$4:$D$503,_calc!$E$124)))=0,"","Broker: "&amp;IF(LEN(INDEX('Our policies'!$D$4:$D$503,_calc!$E$124))=0,"",INDEX('Our policies'!$D$4:$D$503,_calc!$E$124))&amp;". ")&amp;IF(LEN(IF(LEN(INDEX('Our policies'!$E$4:$E$503,_calc!$E$124))=0,"",INDEX('Our policies'!$E$4:$E$503,_calc!$E$124)))=0,"","Policy no.: "&amp;IF(LEN(INDEX('Our policies'!$E$4:$E$503,_calc!$E$124))=0,"",INDEX('Our policies'!$E$4:$E$503,_calc!$E$124))&amp;". ")&amp;IF(LEN(IF(LEN(INDEX('Our policies'!$S$4:$S$503,_calc!$E$124))=0,"",INDEX('Our policies'!$S$4:$S$503,_calc!$E$124)))=0,"",IF(LEN(INDEX('Our policies'!$S$4:$S$503,_calc!$E$124))=0,"",INDEX('Our policies'!$S$4:$S$503,_calc!$E$124)))),TRIM(IF(LEN(IF(LEN(INDEX('Vendor COIs'!$C$4:$C$503,(_calc!$E$124-500)))=0,"",INDEX('Vendor COIs'!$C$4:$C$503,(_calc!$E$124-500))))=0,"","Insurer: "&amp;IF(LEN(INDEX('Vendor COIs'!$C$4:$C$503,(_calc!$E$124-500)))=0,"",INDEX('Vendor COIs'!$C$4:$C$503,(_calc!$E$124-500)))&amp;". ")&amp;IF(LEN(IF(LEN(INDEX('Vendor COIs'!$D$4:$D$503,(_calc!$E$124-500)))=0,"",INDEX('Vendor COIs'!$D$4:$D$503,(_calc!$E$124-500))))=0,"","Policy no.: "&amp;IF(LEN(INDEX('Vendor COIs'!$D$4:$D$503,(_calc!$E$124-500)))=0,"",INDEX('Vendor COIs'!$D$4:$D$503,(_calc!$E$124-500)))&amp;". ")&amp;IF(LEN(IF(LEN(INDEX('Vendor COIs'!$F$4:$F$503,(_calc!$E$124-500)))=0,"",INDEX('Vendor COIs'!$F$4:$F$503,(_calc!$E$124-500))))=0,"","Meets minimum: "&amp;IF(LEN(INDEX('Vendor COIs'!$F$4:$F$503,(_calc!$E$124-500)))=0,"",INDEX('Vendor COIs'!$F$4:$F$503,(_calc!$E$124-500)))&amp;". ")&amp;IF(LEN(IF(LEN(INDEX('Vendor COIs'!$G$4:$G$503,(_calc!$E$124-500)))=0,"",INDEX('Vendor COIs'!$G$4:$G$503,(_calc!$E$124-500))))=0,"","Additional insured: "&amp;IF(LEN(INDEX('Vendor COIs'!$G$4:$G$503,(_calc!$E$124-500)))=0,"",INDEX('Vendor COIs'!$G$4:$G$503,(_calc!$E$124-500)))&amp;". ")&amp;IF(LEN(IF(LEN(INDEX('Vendor COIs'!$M$4:$M$503,(_calc!$E$124-500)))=0,"",INDEX('Vendor COIs'!$M$4:$M$503,(_calc!$E$124-500))))=0,"","Vendor contact: "&amp;IF(LEN(INDEX('Vendor COIs'!$M$4:$M$503,(_calc!$E$124-500)))=0,"",INDEX('Vendor COIs'!$M$4:$M$503,(_calc!$E$124-500)))&amp;". ")&amp;IF(LEN(IF(LEN(INDEX('Vendor COIs'!$P$4:$P$503,(_calc!$E$124-500)))=0,"",INDEX('Vendor COIs'!$P$4:$P$503,(_calc!$E$124-500))))=0,"",IF(LEN(INDEX('Vendor COIs'!$P$4:$P$503,(_calc!$E$124-500)))=0,"",INDEX('Vendor COIs'!$P$4:$P$503,(_calc!$E$124-500)))))))</f>
        <v/>
      </c>
      <c r="G122" s="46">
        <f>IF(_calc!$E$124="","",IF(_calc!$E$124&lt;=500,IF(LEN(INDEX('Our policies'!$R$4:$R$503,_calc!$E$124))=0,"",INDEX('Our policies'!$R$4:$R$503,_calc!$E$124)),IF(LEN(INDEX('Vendor COIs'!$O$4:$O$503,(_calc!$E$124-500)))=0,"",INDEX('Vendor COIs'!$O$4:$O$503,(_calc!$E$124-500)))))</f>
        <v/>
      </c>
      <c r="H122" s="46">
        <f>IF(_calc!$E$124="","",IF(_calc!$E$124&lt;=500,IF(LEN(INDEX('Our policies'!$G$4:$G$503,_calc!$E$124))=0,"",INDEX('Our policies'!$G$4:$G$503,_calc!$E$124)),""))</f>
        <v/>
      </c>
      <c r="I122" s="46">
        <f>IF(_calc!$E$124="","",IF(_calc!$E$124&lt;=500,IF(LEN(INDEX('Our policies'!$H$4:$H$503,_calc!$E$124))=0,"",INDEX('Our policies'!$H$4:$H$503,_calc!$E$124)),""))</f>
        <v/>
      </c>
      <c r="K122" s="46">
        <f>IF(_calc!$E$124="","",IF(_calc!$E$124&lt;=500,IF(LEN(INDEX('Our policies'!$P$4:$P$503,_calc!$E$124))=0,"",INDEX('Our policies'!$P$4:$P$503,_calc!$E$124)),IF(LEN(INDEX('Vendor COIs'!$N$4:$N$503,(_calc!$E$124-500)))=0,"",INDEX('Vendor COIs'!$N$4:$N$503,(_calc!$E$124-500)))))</f>
        <v/>
      </c>
    </row>
    <row r="123">
      <c r="A123" s="46">
        <f>IF(_calc!$E$125="","",IF(_calc!$E$125&lt;=500,IF(LEN(INDEX('Our policies'!$A$4:$A$503,_calc!$E$125))=0,"",INDEX('Our policies'!$A$4:$A$503,_calc!$E$125)),"COI – "&amp;IF(LEN(INDEX('Vendor COIs'!$A$4:$A$503,(_calc!$E$125-500)))=0,"",INDEX('Vendor COIs'!$A$4:$A$503,(_calc!$E$125-500)))&amp;" – "&amp;IF(LEN(INDEX('Vendor COIs'!$B$4:$B$503,(_calc!$E$125-500)))=0,"",INDEX('Vendor COIs'!$B$4:$B$503,(_calc!$E$125-500)))))</f>
        <v/>
      </c>
      <c r="B123" s="46">
        <f>IF(_calc!$E$125="","",IF(_calc!$E$125&lt;=500,IF(ISNUMBER(INDEX('Our policies'!$J$4:$J$503,_calc!$E$125)),TEXT(INDEX('Our policies'!$J$4:$J$503,_calc!$E$125),"yyyy-mm-dd"),""),IF(ISNUMBER(INDEX('Vendor COIs'!$H$4:$H$503,(_calc!$E$125-500))),TEXT(INDEX('Vendor COIs'!$H$4:$H$503,(_calc!$E$125-500)),"yyyy-mm-dd"),"")))</f>
        <v/>
      </c>
      <c r="C123" s="46">
        <f>IF(_calc!$E$125="","",IF(_calc!$E$125&lt;=500,"Insurance","Certificate of insurance"))</f>
        <v/>
      </c>
      <c r="D123" s="46">
        <f>IF(_calc!$E$125="","",IF(_calc!$E$125&lt;=500,IF(ISNUMBER(INDEX('Our policies'!$I$4:$I$503,_calc!$E$125)),TEXT(INDEX('Our policies'!$I$4:$I$503,_calc!$E$125),"yyyy-mm-dd"),""),""))</f>
        <v/>
      </c>
      <c r="E123" s="46">
        <f>IF(_calc!$E$125="","",IF(_calc!$E$125&lt;=500,IF(LEN(INDEX('Our policies'!$Q$4:$Q$503,_calc!$E$125))=0,"",INDEX('Our policies'!$Q$4:$Q$503,_calc!$E$125)),"Medium"))</f>
        <v/>
      </c>
      <c r="F123" s="46">
        <f>IF(_calc!$E$125="","",IF(_calc!$E$125&lt;=500,TRIM(IF(LEN(IF(LEN(INDEX('Our policies'!$B$4:$B$503,_calc!$E$125))=0,"",INDEX('Our policies'!$B$4:$B$503,_calc!$E$125)))=0,"","Cover: "&amp;IF(LEN(INDEX('Our policies'!$B$4:$B$503,_calc!$E$125))=0,"",INDEX('Our policies'!$B$4:$B$503,_calc!$E$125))&amp;". ")&amp;IF(LEN(IF(LEN(INDEX('Our policies'!$C$4:$C$503,_calc!$E$125))=0,"",INDEX('Our policies'!$C$4:$C$503,_calc!$E$125)))=0,"","Insurer: "&amp;IF(LEN(INDEX('Our policies'!$C$4:$C$503,_calc!$E$125))=0,"",INDEX('Our policies'!$C$4:$C$503,_calc!$E$125))&amp;". ")&amp;IF(LEN(IF(LEN(INDEX('Our policies'!$D$4:$D$503,_calc!$E$125))=0,"",INDEX('Our policies'!$D$4:$D$503,_calc!$E$125)))=0,"","Broker: "&amp;IF(LEN(INDEX('Our policies'!$D$4:$D$503,_calc!$E$125))=0,"",INDEX('Our policies'!$D$4:$D$503,_calc!$E$125))&amp;". ")&amp;IF(LEN(IF(LEN(INDEX('Our policies'!$E$4:$E$503,_calc!$E$125))=0,"",INDEX('Our policies'!$E$4:$E$503,_calc!$E$125)))=0,"","Policy no.: "&amp;IF(LEN(INDEX('Our policies'!$E$4:$E$503,_calc!$E$125))=0,"",INDEX('Our policies'!$E$4:$E$503,_calc!$E$125))&amp;". ")&amp;IF(LEN(IF(LEN(INDEX('Our policies'!$S$4:$S$503,_calc!$E$125))=0,"",INDEX('Our policies'!$S$4:$S$503,_calc!$E$125)))=0,"",IF(LEN(INDEX('Our policies'!$S$4:$S$503,_calc!$E$125))=0,"",INDEX('Our policies'!$S$4:$S$503,_calc!$E$125)))),TRIM(IF(LEN(IF(LEN(INDEX('Vendor COIs'!$C$4:$C$503,(_calc!$E$125-500)))=0,"",INDEX('Vendor COIs'!$C$4:$C$503,(_calc!$E$125-500))))=0,"","Insurer: "&amp;IF(LEN(INDEX('Vendor COIs'!$C$4:$C$503,(_calc!$E$125-500)))=0,"",INDEX('Vendor COIs'!$C$4:$C$503,(_calc!$E$125-500)))&amp;". ")&amp;IF(LEN(IF(LEN(INDEX('Vendor COIs'!$D$4:$D$503,(_calc!$E$125-500)))=0,"",INDEX('Vendor COIs'!$D$4:$D$503,(_calc!$E$125-500))))=0,"","Policy no.: "&amp;IF(LEN(INDEX('Vendor COIs'!$D$4:$D$503,(_calc!$E$125-500)))=0,"",INDEX('Vendor COIs'!$D$4:$D$503,(_calc!$E$125-500)))&amp;". ")&amp;IF(LEN(IF(LEN(INDEX('Vendor COIs'!$F$4:$F$503,(_calc!$E$125-500)))=0,"",INDEX('Vendor COIs'!$F$4:$F$503,(_calc!$E$125-500))))=0,"","Meets minimum: "&amp;IF(LEN(INDEX('Vendor COIs'!$F$4:$F$503,(_calc!$E$125-500)))=0,"",INDEX('Vendor COIs'!$F$4:$F$503,(_calc!$E$125-500)))&amp;". ")&amp;IF(LEN(IF(LEN(INDEX('Vendor COIs'!$G$4:$G$503,(_calc!$E$125-500)))=0,"",INDEX('Vendor COIs'!$G$4:$G$503,(_calc!$E$125-500))))=0,"","Additional insured: "&amp;IF(LEN(INDEX('Vendor COIs'!$G$4:$G$503,(_calc!$E$125-500)))=0,"",INDEX('Vendor COIs'!$G$4:$G$503,(_calc!$E$125-500)))&amp;". ")&amp;IF(LEN(IF(LEN(INDEX('Vendor COIs'!$M$4:$M$503,(_calc!$E$125-500)))=0,"",INDEX('Vendor COIs'!$M$4:$M$503,(_calc!$E$125-500))))=0,"","Vendor contact: "&amp;IF(LEN(INDEX('Vendor COIs'!$M$4:$M$503,(_calc!$E$125-500)))=0,"",INDEX('Vendor COIs'!$M$4:$M$503,(_calc!$E$125-500)))&amp;". ")&amp;IF(LEN(IF(LEN(INDEX('Vendor COIs'!$P$4:$P$503,(_calc!$E$125-500)))=0,"",INDEX('Vendor COIs'!$P$4:$P$503,(_calc!$E$125-500))))=0,"",IF(LEN(INDEX('Vendor COIs'!$P$4:$P$503,(_calc!$E$125-500)))=0,"",INDEX('Vendor COIs'!$P$4:$P$503,(_calc!$E$125-500)))))))</f>
        <v/>
      </c>
      <c r="G123" s="46">
        <f>IF(_calc!$E$125="","",IF(_calc!$E$125&lt;=500,IF(LEN(INDEX('Our policies'!$R$4:$R$503,_calc!$E$125))=0,"",INDEX('Our policies'!$R$4:$R$503,_calc!$E$125)),IF(LEN(INDEX('Vendor COIs'!$O$4:$O$503,(_calc!$E$125-500)))=0,"",INDEX('Vendor COIs'!$O$4:$O$503,(_calc!$E$125-500)))))</f>
        <v/>
      </c>
      <c r="H123" s="46">
        <f>IF(_calc!$E$125="","",IF(_calc!$E$125&lt;=500,IF(LEN(INDEX('Our policies'!$G$4:$G$503,_calc!$E$125))=0,"",INDEX('Our policies'!$G$4:$G$503,_calc!$E$125)),""))</f>
        <v/>
      </c>
      <c r="I123" s="46">
        <f>IF(_calc!$E$125="","",IF(_calc!$E$125&lt;=500,IF(LEN(INDEX('Our policies'!$H$4:$H$503,_calc!$E$125))=0,"",INDEX('Our policies'!$H$4:$H$503,_calc!$E$125)),""))</f>
        <v/>
      </c>
      <c r="K123" s="46">
        <f>IF(_calc!$E$125="","",IF(_calc!$E$125&lt;=500,IF(LEN(INDEX('Our policies'!$P$4:$P$503,_calc!$E$125))=0,"",INDEX('Our policies'!$P$4:$P$503,_calc!$E$125)),IF(LEN(INDEX('Vendor COIs'!$N$4:$N$503,(_calc!$E$125-500)))=0,"",INDEX('Vendor COIs'!$N$4:$N$503,(_calc!$E$125-500)))))</f>
        <v/>
      </c>
    </row>
    <row r="124">
      <c r="A124" s="46">
        <f>IF(_calc!$E$126="","",IF(_calc!$E$126&lt;=500,IF(LEN(INDEX('Our policies'!$A$4:$A$503,_calc!$E$126))=0,"",INDEX('Our policies'!$A$4:$A$503,_calc!$E$126)),"COI – "&amp;IF(LEN(INDEX('Vendor COIs'!$A$4:$A$503,(_calc!$E$126-500)))=0,"",INDEX('Vendor COIs'!$A$4:$A$503,(_calc!$E$126-500)))&amp;" – "&amp;IF(LEN(INDEX('Vendor COIs'!$B$4:$B$503,(_calc!$E$126-500)))=0,"",INDEX('Vendor COIs'!$B$4:$B$503,(_calc!$E$126-500)))))</f>
        <v/>
      </c>
      <c r="B124" s="46">
        <f>IF(_calc!$E$126="","",IF(_calc!$E$126&lt;=500,IF(ISNUMBER(INDEX('Our policies'!$J$4:$J$503,_calc!$E$126)),TEXT(INDEX('Our policies'!$J$4:$J$503,_calc!$E$126),"yyyy-mm-dd"),""),IF(ISNUMBER(INDEX('Vendor COIs'!$H$4:$H$503,(_calc!$E$126-500))),TEXT(INDEX('Vendor COIs'!$H$4:$H$503,(_calc!$E$126-500)),"yyyy-mm-dd"),"")))</f>
        <v/>
      </c>
      <c r="C124" s="46">
        <f>IF(_calc!$E$126="","",IF(_calc!$E$126&lt;=500,"Insurance","Certificate of insurance"))</f>
        <v/>
      </c>
      <c r="D124" s="46">
        <f>IF(_calc!$E$126="","",IF(_calc!$E$126&lt;=500,IF(ISNUMBER(INDEX('Our policies'!$I$4:$I$503,_calc!$E$126)),TEXT(INDEX('Our policies'!$I$4:$I$503,_calc!$E$126),"yyyy-mm-dd"),""),""))</f>
        <v/>
      </c>
      <c r="E124" s="46">
        <f>IF(_calc!$E$126="","",IF(_calc!$E$126&lt;=500,IF(LEN(INDEX('Our policies'!$Q$4:$Q$503,_calc!$E$126))=0,"",INDEX('Our policies'!$Q$4:$Q$503,_calc!$E$126)),"Medium"))</f>
        <v/>
      </c>
      <c r="F124" s="46">
        <f>IF(_calc!$E$126="","",IF(_calc!$E$126&lt;=500,TRIM(IF(LEN(IF(LEN(INDEX('Our policies'!$B$4:$B$503,_calc!$E$126))=0,"",INDEX('Our policies'!$B$4:$B$503,_calc!$E$126)))=0,"","Cover: "&amp;IF(LEN(INDEX('Our policies'!$B$4:$B$503,_calc!$E$126))=0,"",INDEX('Our policies'!$B$4:$B$503,_calc!$E$126))&amp;". ")&amp;IF(LEN(IF(LEN(INDEX('Our policies'!$C$4:$C$503,_calc!$E$126))=0,"",INDEX('Our policies'!$C$4:$C$503,_calc!$E$126)))=0,"","Insurer: "&amp;IF(LEN(INDEX('Our policies'!$C$4:$C$503,_calc!$E$126))=0,"",INDEX('Our policies'!$C$4:$C$503,_calc!$E$126))&amp;". ")&amp;IF(LEN(IF(LEN(INDEX('Our policies'!$D$4:$D$503,_calc!$E$126))=0,"",INDEX('Our policies'!$D$4:$D$503,_calc!$E$126)))=0,"","Broker: "&amp;IF(LEN(INDEX('Our policies'!$D$4:$D$503,_calc!$E$126))=0,"",INDEX('Our policies'!$D$4:$D$503,_calc!$E$126))&amp;". ")&amp;IF(LEN(IF(LEN(INDEX('Our policies'!$E$4:$E$503,_calc!$E$126))=0,"",INDEX('Our policies'!$E$4:$E$503,_calc!$E$126)))=0,"","Policy no.: "&amp;IF(LEN(INDEX('Our policies'!$E$4:$E$503,_calc!$E$126))=0,"",INDEX('Our policies'!$E$4:$E$503,_calc!$E$126))&amp;". ")&amp;IF(LEN(IF(LEN(INDEX('Our policies'!$S$4:$S$503,_calc!$E$126))=0,"",INDEX('Our policies'!$S$4:$S$503,_calc!$E$126)))=0,"",IF(LEN(INDEX('Our policies'!$S$4:$S$503,_calc!$E$126))=0,"",INDEX('Our policies'!$S$4:$S$503,_calc!$E$126)))),TRIM(IF(LEN(IF(LEN(INDEX('Vendor COIs'!$C$4:$C$503,(_calc!$E$126-500)))=0,"",INDEX('Vendor COIs'!$C$4:$C$503,(_calc!$E$126-500))))=0,"","Insurer: "&amp;IF(LEN(INDEX('Vendor COIs'!$C$4:$C$503,(_calc!$E$126-500)))=0,"",INDEX('Vendor COIs'!$C$4:$C$503,(_calc!$E$126-500)))&amp;". ")&amp;IF(LEN(IF(LEN(INDEX('Vendor COIs'!$D$4:$D$503,(_calc!$E$126-500)))=0,"",INDEX('Vendor COIs'!$D$4:$D$503,(_calc!$E$126-500))))=0,"","Policy no.: "&amp;IF(LEN(INDEX('Vendor COIs'!$D$4:$D$503,(_calc!$E$126-500)))=0,"",INDEX('Vendor COIs'!$D$4:$D$503,(_calc!$E$126-500)))&amp;". ")&amp;IF(LEN(IF(LEN(INDEX('Vendor COIs'!$F$4:$F$503,(_calc!$E$126-500)))=0,"",INDEX('Vendor COIs'!$F$4:$F$503,(_calc!$E$126-500))))=0,"","Meets minimum: "&amp;IF(LEN(INDEX('Vendor COIs'!$F$4:$F$503,(_calc!$E$126-500)))=0,"",INDEX('Vendor COIs'!$F$4:$F$503,(_calc!$E$126-500)))&amp;". ")&amp;IF(LEN(IF(LEN(INDEX('Vendor COIs'!$G$4:$G$503,(_calc!$E$126-500)))=0,"",INDEX('Vendor COIs'!$G$4:$G$503,(_calc!$E$126-500))))=0,"","Additional insured: "&amp;IF(LEN(INDEX('Vendor COIs'!$G$4:$G$503,(_calc!$E$126-500)))=0,"",INDEX('Vendor COIs'!$G$4:$G$503,(_calc!$E$126-500)))&amp;". ")&amp;IF(LEN(IF(LEN(INDEX('Vendor COIs'!$M$4:$M$503,(_calc!$E$126-500)))=0,"",INDEX('Vendor COIs'!$M$4:$M$503,(_calc!$E$126-500))))=0,"","Vendor contact: "&amp;IF(LEN(INDEX('Vendor COIs'!$M$4:$M$503,(_calc!$E$126-500)))=0,"",INDEX('Vendor COIs'!$M$4:$M$503,(_calc!$E$126-500)))&amp;". ")&amp;IF(LEN(IF(LEN(INDEX('Vendor COIs'!$P$4:$P$503,(_calc!$E$126-500)))=0,"",INDEX('Vendor COIs'!$P$4:$P$503,(_calc!$E$126-500))))=0,"",IF(LEN(INDEX('Vendor COIs'!$P$4:$P$503,(_calc!$E$126-500)))=0,"",INDEX('Vendor COIs'!$P$4:$P$503,(_calc!$E$126-500)))))))</f>
        <v/>
      </c>
      <c r="G124" s="46">
        <f>IF(_calc!$E$126="","",IF(_calc!$E$126&lt;=500,IF(LEN(INDEX('Our policies'!$R$4:$R$503,_calc!$E$126))=0,"",INDEX('Our policies'!$R$4:$R$503,_calc!$E$126)),IF(LEN(INDEX('Vendor COIs'!$O$4:$O$503,(_calc!$E$126-500)))=0,"",INDEX('Vendor COIs'!$O$4:$O$503,(_calc!$E$126-500)))))</f>
        <v/>
      </c>
      <c r="H124" s="46">
        <f>IF(_calc!$E$126="","",IF(_calc!$E$126&lt;=500,IF(LEN(INDEX('Our policies'!$G$4:$G$503,_calc!$E$126))=0,"",INDEX('Our policies'!$G$4:$G$503,_calc!$E$126)),""))</f>
        <v/>
      </c>
      <c r="I124" s="46">
        <f>IF(_calc!$E$126="","",IF(_calc!$E$126&lt;=500,IF(LEN(INDEX('Our policies'!$H$4:$H$503,_calc!$E$126))=0,"",INDEX('Our policies'!$H$4:$H$503,_calc!$E$126)),""))</f>
        <v/>
      </c>
      <c r="K124" s="46">
        <f>IF(_calc!$E$126="","",IF(_calc!$E$126&lt;=500,IF(LEN(INDEX('Our policies'!$P$4:$P$503,_calc!$E$126))=0,"",INDEX('Our policies'!$P$4:$P$503,_calc!$E$126)),IF(LEN(INDEX('Vendor COIs'!$N$4:$N$503,(_calc!$E$126-500)))=0,"",INDEX('Vendor COIs'!$N$4:$N$503,(_calc!$E$126-500)))))</f>
        <v/>
      </c>
    </row>
    <row r="125">
      <c r="A125" s="46">
        <f>IF(_calc!$E$127="","",IF(_calc!$E$127&lt;=500,IF(LEN(INDEX('Our policies'!$A$4:$A$503,_calc!$E$127))=0,"",INDEX('Our policies'!$A$4:$A$503,_calc!$E$127)),"COI – "&amp;IF(LEN(INDEX('Vendor COIs'!$A$4:$A$503,(_calc!$E$127-500)))=0,"",INDEX('Vendor COIs'!$A$4:$A$503,(_calc!$E$127-500)))&amp;" – "&amp;IF(LEN(INDEX('Vendor COIs'!$B$4:$B$503,(_calc!$E$127-500)))=0,"",INDEX('Vendor COIs'!$B$4:$B$503,(_calc!$E$127-500)))))</f>
        <v/>
      </c>
      <c r="B125" s="46">
        <f>IF(_calc!$E$127="","",IF(_calc!$E$127&lt;=500,IF(ISNUMBER(INDEX('Our policies'!$J$4:$J$503,_calc!$E$127)),TEXT(INDEX('Our policies'!$J$4:$J$503,_calc!$E$127),"yyyy-mm-dd"),""),IF(ISNUMBER(INDEX('Vendor COIs'!$H$4:$H$503,(_calc!$E$127-500))),TEXT(INDEX('Vendor COIs'!$H$4:$H$503,(_calc!$E$127-500)),"yyyy-mm-dd"),"")))</f>
        <v/>
      </c>
      <c r="C125" s="46">
        <f>IF(_calc!$E$127="","",IF(_calc!$E$127&lt;=500,"Insurance","Certificate of insurance"))</f>
        <v/>
      </c>
      <c r="D125" s="46">
        <f>IF(_calc!$E$127="","",IF(_calc!$E$127&lt;=500,IF(ISNUMBER(INDEX('Our policies'!$I$4:$I$503,_calc!$E$127)),TEXT(INDEX('Our policies'!$I$4:$I$503,_calc!$E$127),"yyyy-mm-dd"),""),""))</f>
        <v/>
      </c>
      <c r="E125" s="46">
        <f>IF(_calc!$E$127="","",IF(_calc!$E$127&lt;=500,IF(LEN(INDEX('Our policies'!$Q$4:$Q$503,_calc!$E$127))=0,"",INDEX('Our policies'!$Q$4:$Q$503,_calc!$E$127)),"Medium"))</f>
        <v/>
      </c>
      <c r="F125" s="46">
        <f>IF(_calc!$E$127="","",IF(_calc!$E$127&lt;=500,TRIM(IF(LEN(IF(LEN(INDEX('Our policies'!$B$4:$B$503,_calc!$E$127))=0,"",INDEX('Our policies'!$B$4:$B$503,_calc!$E$127)))=0,"","Cover: "&amp;IF(LEN(INDEX('Our policies'!$B$4:$B$503,_calc!$E$127))=0,"",INDEX('Our policies'!$B$4:$B$503,_calc!$E$127))&amp;". ")&amp;IF(LEN(IF(LEN(INDEX('Our policies'!$C$4:$C$503,_calc!$E$127))=0,"",INDEX('Our policies'!$C$4:$C$503,_calc!$E$127)))=0,"","Insurer: "&amp;IF(LEN(INDEX('Our policies'!$C$4:$C$503,_calc!$E$127))=0,"",INDEX('Our policies'!$C$4:$C$503,_calc!$E$127))&amp;". ")&amp;IF(LEN(IF(LEN(INDEX('Our policies'!$D$4:$D$503,_calc!$E$127))=0,"",INDEX('Our policies'!$D$4:$D$503,_calc!$E$127)))=0,"","Broker: "&amp;IF(LEN(INDEX('Our policies'!$D$4:$D$503,_calc!$E$127))=0,"",INDEX('Our policies'!$D$4:$D$503,_calc!$E$127))&amp;". ")&amp;IF(LEN(IF(LEN(INDEX('Our policies'!$E$4:$E$503,_calc!$E$127))=0,"",INDEX('Our policies'!$E$4:$E$503,_calc!$E$127)))=0,"","Policy no.: "&amp;IF(LEN(INDEX('Our policies'!$E$4:$E$503,_calc!$E$127))=0,"",INDEX('Our policies'!$E$4:$E$503,_calc!$E$127))&amp;". ")&amp;IF(LEN(IF(LEN(INDEX('Our policies'!$S$4:$S$503,_calc!$E$127))=0,"",INDEX('Our policies'!$S$4:$S$503,_calc!$E$127)))=0,"",IF(LEN(INDEX('Our policies'!$S$4:$S$503,_calc!$E$127))=0,"",INDEX('Our policies'!$S$4:$S$503,_calc!$E$127)))),TRIM(IF(LEN(IF(LEN(INDEX('Vendor COIs'!$C$4:$C$503,(_calc!$E$127-500)))=0,"",INDEX('Vendor COIs'!$C$4:$C$503,(_calc!$E$127-500))))=0,"","Insurer: "&amp;IF(LEN(INDEX('Vendor COIs'!$C$4:$C$503,(_calc!$E$127-500)))=0,"",INDEX('Vendor COIs'!$C$4:$C$503,(_calc!$E$127-500)))&amp;". ")&amp;IF(LEN(IF(LEN(INDEX('Vendor COIs'!$D$4:$D$503,(_calc!$E$127-500)))=0,"",INDEX('Vendor COIs'!$D$4:$D$503,(_calc!$E$127-500))))=0,"","Policy no.: "&amp;IF(LEN(INDEX('Vendor COIs'!$D$4:$D$503,(_calc!$E$127-500)))=0,"",INDEX('Vendor COIs'!$D$4:$D$503,(_calc!$E$127-500)))&amp;". ")&amp;IF(LEN(IF(LEN(INDEX('Vendor COIs'!$F$4:$F$503,(_calc!$E$127-500)))=0,"",INDEX('Vendor COIs'!$F$4:$F$503,(_calc!$E$127-500))))=0,"","Meets minimum: "&amp;IF(LEN(INDEX('Vendor COIs'!$F$4:$F$503,(_calc!$E$127-500)))=0,"",INDEX('Vendor COIs'!$F$4:$F$503,(_calc!$E$127-500)))&amp;". ")&amp;IF(LEN(IF(LEN(INDEX('Vendor COIs'!$G$4:$G$503,(_calc!$E$127-500)))=0,"",INDEX('Vendor COIs'!$G$4:$G$503,(_calc!$E$127-500))))=0,"","Additional insured: "&amp;IF(LEN(INDEX('Vendor COIs'!$G$4:$G$503,(_calc!$E$127-500)))=0,"",INDEX('Vendor COIs'!$G$4:$G$503,(_calc!$E$127-500)))&amp;". ")&amp;IF(LEN(IF(LEN(INDEX('Vendor COIs'!$M$4:$M$503,(_calc!$E$127-500)))=0,"",INDEX('Vendor COIs'!$M$4:$M$503,(_calc!$E$127-500))))=0,"","Vendor contact: "&amp;IF(LEN(INDEX('Vendor COIs'!$M$4:$M$503,(_calc!$E$127-500)))=0,"",INDEX('Vendor COIs'!$M$4:$M$503,(_calc!$E$127-500)))&amp;". ")&amp;IF(LEN(IF(LEN(INDEX('Vendor COIs'!$P$4:$P$503,(_calc!$E$127-500)))=0,"",INDEX('Vendor COIs'!$P$4:$P$503,(_calc!$E$127-500))))=0,"",IF(LEN(INDEX('Vendor COIs'!$P$4:$P$503,(_calc!$E$127-500)))=0,"",INDEX('Vendor COIs'!$P$4:$P$503,(_calc!$E$127-500)))))))</f>
        <v/>
      </c>
      <c r="G125" s="46">
        <f>IF(_calc!$E$127="","",IF(_calc!$E$127&lt;=500,IF(LEN(INDEX('Our policies'!$R$4:$R$503,_calc!$E$127))=0,"",INDEX('Our policies'!$R$4:$R$503,_calc!$E$127)),IF(LEN(INDEX('Vendor COIs'!$O$4:$O$503,(_calc!$E$127-500)))=0,"",INDEX('Vendor COIs'!$O$4:$O$503,(_calc!$E$127-500)))))</f>
        <v/>
      </c>
      <c r="H125" s="46">
        <f>IF(_calc!$E$127="","",IF(_calc!$E$127&lt;=500,IF(LEN(INDEX('Our policies'!$G$4:$G$503,_calc!$E$127))=0,"",INDEX('Our policies'!$G$4:$G$503,_calc!$E$127)),""))</f>
        <v/>
      </c>
      <c r="I125" s="46">
        <f>IF(_calc!$E$127="","",IF(_calc!$E$127&lt;=500,IF(LEN(INDEX('Our policies'!$H$4:$H$503,_calc!$E$127))=0,"",INDEX('Our policies'!$H$4:$H$503,_calc!$E$127)),""))</f>
        <v/>
      </c>
      <c r="K125" s="46">
        <f>IF(_calc!$E$127="","",IF(_calc!$E$127&lt;=500,IF(LEN(INDEX('Our policies'!$P$4:$P$503,_calc!$E$127))=0,"",INDEX('Our policies'!$P$4:$P$503,_calc!$E$127)),IF(LEN(INDEX('Vendor COIs'!$N$4:$N$503,(_calc!$E$127-500)))=0,"",INDEX('Vendor COIs'!$N$4:$N$503,(_calc!$E$127-500)))))</f>
        <v/>
      </c>
    </row>
    <row r="126">
      <c r="A126" s="46">
        <f>IF(_calc!$E$128="","",IF(_calc!$E$128&lt;=500,IF(LEN(INDEX('Our policies'!$A$4:$A$503,_calc!$E$128))=0,"",INDEX('Our policies'!$A$4:$A$503,_calc!$E$128)),"COI – "&amp;IF(LEN(INDEX('Vendor COIs'!$A$4:$A$503,(_calc!$E$128-500)))=0,"",INDEX('Vendor COIs'!$A$4:$A$503,(_calc!$E$128-500)))&amp;" – "&amp;IF(LEN(INDEX('Vendor COIs'!$B$4:$B$503,(_calc!$E$128-500)))=0,"",INDEX('Vendor COIs'!$B$4:$B$503,(_calc!$E$128-500)))))</f>
        <v/>
      </c>
      <c r="B126" s="46">
        <f>IF(_calc!$E$128="","",IF(_calc!$E$128&lt;=500,IF(ISNUMBER(INDEX('Our policies'!$J$4:$J$503,_calc!$E$128)),TEXT(INDEX('Our policies'!$J$4:$J$503,_calc!$E$128),"yyyy-mm-dd"),""),IF(ISNUMBER(INDEX('Vendor COIs'!$H$4:$H$503,(_calc!$E$128-500))),TEXT(INDEX('Vendor COIs'!$H$4:$H$503,(_calc!$E$128-500)),"yyyy-mm-dd"),"")))</f>
        <v/>
      </c>
      <c r="C126" s="46">
        <f>IF(_calc!$E$128="","",IF(_calc!$E$128&lt;=500,"Insurance","Certificate of insurance"))</f>
        <v/>
      </c>
      <c r="D126" s="46">
        <f>IF(_calc!$E$128="","",IF(_calc!$E$128&lt;=500,IF(ISNUMBER(INDEX('Our policies'!$I$4:$I$503,_calc!$E$128)),TEXT(INDEX('Our policies'!$I$4:$I$503,_calc!$E$128),"yyyy-mm-dd"),""),""))</f>
        <v/>
      </c>
      <c r="E126" s="46">
        <f>IF(_calc!$E$128="","",IF(_calc!$E$128&lt;=500,IF(LEN(INDEX('Our policies'!$Q$4:$Q$503,_calc!$E$128))=0,"",INDEX('Our policies'!$Q$4:$Q$503,_calc!$E$128)),"Medium"))</f>
        <v/>
      </c>
      <c r="F126" s="46">
        <f>IF(_calc!$E$128="","",IF(_calc!$E$128&lt;=500,TRIM(IF(LEN(IF(LEN(INDEX('Our policies'!$B$4:$B$503,_calc!$E$128))=0,"",INDEX('Our policies'!$B$4:$B$503,_calc!$E$128)))=0,"","Cover: "&amp;IF(LEN(INDEX('Our policies'!$B$4:$B$503,_calc!$E$128))=0,"",INDEX('Our policies'!$B$4:$B$503,_calc!$E$128))&amp;". ")&amp;IF(LEN(IF(LEN(INDEX('Our policies'!$C$4:$C$503,_calc!$E$128))=0,"",INDEX('Our policies'!$C$4:$C$503,_calc!$E$128)))=0,"","Insurer: "&amp;IF(LEN(INDEX('Our policies'!$C$4:$C$503,_calc!$E$128))=0,"",INDEX('Our policies'!$C$4:$C$503,_calc!$E$128))&amp;". ")&amp;IF(LEN(IF(LEN(INDEX('Our policies'!$D$4:$D$503,_calc!$E$128))=0,"",INDEX('Our policies'!$D$4:$D$503,_calc!$E$128)))=0,"","Broker: "&amp;IF(LEN(INDEX('Our policies'!$D$4:$D$503,_calc!$E$128))=0,"",INDEX('Our policies'!$D$4:$D$503,_calc!$E$128))&amp;". ")&amp;IF(LEN(IF(LEN(INDEX('Our policies'!$E$4:$E$503,_calc!$E$128))=0,"",INDEX('Our policies'!$E$4:$E$503,_calc!$E$128)))=0,"","Policy no.: "&amp;IF(LEN(INDEX('Our policies'!$E$4:$E$503,_calc!$E$128))=0,"",INDEX('Our policies'!$E$4:$E$503,_calc!$E$128))&amp;". ")&amp;IF(LEN(IF(LEN(INDEX('Our policies'!$S$4:$S$503,_calc!$E$128))=0,"",INDEX('Our policies'!$S$4:$S$503,_calc!$E$128)))=0,"",IF(LEN(INDEX('Our policies'!$S$4:$S$503,_calc!$E$128))=0,"",INDEX('Our policies'!$S$4:$S$503,_calc!$E$128)))),TRIM(IF(LEN(IF(LEN(INDEX('Vendor COIs'!$C$4:$C$503,(_calc!$E$128-500)))=0,"",INDEX('Vendor COIs'!$C$4:$C$503,(_calc!$E$128-500))))=0,"","Insurer: "&amp;IF(LEN(INDEX('Vendor COIs'!$C$4:$C$503,(_calc!$E$128-500)))=0,"",INDEX('Vendor COIs'!$C$4:$C$503,(_calc!$E$128-500)))&amp;". ")&amp;IF(LEN(IF(LEN(INDEX('Vendor COIs'!$D$4:$D$503,(_calc!$E$128-500)))=0,"",INDEX('Vendor COIs'!$D$4:$D$503,(_calc!$E$128-500))))=0,"","Policy no.: "&amp;IF(LEN(INDEX('Vendor COIs'!$D$4:$D$503,(_calc!$E$128-500)))=0,"",INDEX('Vendor COIs'!$D$4:$D$503,(_calc!$E$128-500)))&amp;". ")&amp;IF(LEN(IF(LEN(INDEX('Vendor COIs'!$F$4:$F$503,(_calc!$E$128-500)))=0,"",INDEX('Vendor COIs'!$F$4:$F$503,(_calc!$E$128-500))))=0,"","Meets minimum: "&amp;IF(LEN(INDEX('Vendor COIs'!$F$4:$F$503,(_calc!$E$128-500)))=0,"",INDEX('Vendor COIs'!$F$4:$F$503,(_calc!$E$128-500)))&amp;". ")&amp;IF(LEN(IF(LEN(INDEX('Vendor COIs'!$G$4:$G$503,(_calc!$E$128-500)))=0,"",INDEX('Vendor COIs'!$G$4:$G$503,(_calc!$E$128-500))))=0,"","Additional insured: "&amp;IF(LEN(INDEX('Vendor COIs'!$G$4:$G$503,(_calc!$E$128-500)))=0,"",INDEX('Vendor COIs'!$G$4:$G$503,(_calc!$E$128-500)))&amp;". ")&amp;IF(LEN(IF(LEN(INDEX('Vendor COIs'!$M$4:$M$503,(_calc!$E$128-500)))=0,"",INDEX('Vendor COIs'!$M$4:$M$503,(_calc!$E$128-500))))=0,"","Vendor contact: "&amp;IF(LEN(INDEX('Vendor COIs'!$M$4:$M$503,(_calc!$E$128-500)))=0,"",INDEX('Vendor COIs'!$M$4:$M$503,(_calc!$E$128-500)))&amp;". ")&amp;IF(LEN(IF(LEN(INDEX('Vendor COIs'!$P$4:$P$503,(_calc!$E$128-500)))=0,"",INDEX('Vendor COIs'!$P$4:$P$503,(_calc!$E$128-500))))=0,"",IF(LEN(INDEX('Vendor COIs'!$P$4:$P$503,(_calc!$E$128-500)))=0,"",INDEX('Vendor COIs'!$P$4:$P$503,(_calc!$E$128-500)))))))</f>
        <v/>
      </c>
      <c r="G126" s="46">
        <f>IF(_calc!$E$128="","",IF(_calc!$E$128&lt;=500,IF(LEN(INDEX('Our policies'!$R$4:$R$503,_calc!$E$128))=0,"",INDEX('Our policies'!$R$4:$R$503,_calc!$E$128)),IF(LEN(INDEX('Vendor COIs'!$O$4:$O$503,(_calc!$E$128-500)))=0,"",INDEX('Vendor COIs'!$O$4:$O$503,(_calc!$E$128-500)))))</f>
        <v/>
      </c>
      <c r="H126" s="46">
        <f>IF(_calc!$E$128="","",IF(_calc!$E$128&lt;=500,IF(LEN(INDEX('Our policies'!$G$4:$G$503,_calc!$E$128))=0,"",INDEX('Our policies'!$G$4:$G$503,_calc!$E$128)),""))</f>
        <v/>
      </c>
      <c r="I126" s="46">
        <f>IF(_calc!$E$128="","",IF(_calc!$E$128&lt;=500,IF(LEN(INDEX('Our policies'!$H$4:$H$503,_calc!$E$128))=0,"",INDEX('Our policies'!$H$4:$H$503,_calc!$E$128)),""))</f>
        <v/>
      </c>
      <c r="K126" s="46">
        <f>IF(_calc!$E$128="","",IF(_calc!$E$128&lt;=500,IF(LEN(INDEX('Our policies'!$P$4:$P$503,_calc!$E$128))=0,"",INDEX('Our policies'!$P$4:$P$503,_calc!$E$128)),IF(LEN(INDEX('Vendor COIs'!$N$4:$N$503,(_calc!$E$128-500)))=0,"",INDEX('Vendor COIs'!$N$4:$N$503,(_calc!$E$128-500)))))</f>
        <v/>
      </c>
    </row>
    <row r="127">
      <c r="A127" s="46">
        <f>IF(_calc!$E$129="","",IF(_calc!$E$129&lt;=500,IF(LEN(INDEX('Our policies'!$A$4:$A$503,_calc!$E$129))=0,"",INDEX('Our policies'!$A$4:$A$503,_calc!$E$129)),"COI – "&amp;IF(LEN(INDEX('Vendor COIs'!$A$4:$A$503,(_calc!$E$129-500)))=0,"",INDEX('Vendor COIs'!$A$4:$A$503,(_calc!$E$129-500)))&amp;" – "&amp;IF(LEN(INDEX('Vendor COIs'!$B$4:$B$503,(_calc!$E$129-500)))=0,"",INDEX('Vendor COIs'!$B$4:$B$503,(_calc!$E$129-500)))))</f>
        <v/>
      </c>
      <c r="B127" s="46">
        <f>IF(_calc!$E$129="","",IF(_calc!$E$129&lt;=500,IF(ISNUMBER(INDEX('Our policies'!$J$4:$J$503,_calc!$E$129)),TEXT(INDEX('Our policies'!$J$4:$J$503,_calc!$E$129),"yyyy-mm-dd"),""),IF(ISNUMBER(INDEX('Vendor COIs'!$H$4:$H$503,(_calc!$E$129-500))),TEXT(INDEX('Vendor COIs'!$H$4:$H$503,(_calc!$E$129-500)),"yyyy-mm-dd"),"")))</f>
        <v/>
      </c>
      <c r="C127" s="46">
        <f>IF(_calc!$E$129="","",IF(_calc!$E$129&lt;=500,"Insurance","Certificate of insurance"))</f>
        <v/>
      </c>
      <c r="D127" s="46">
        <f>IF(_calc!$E$129="","",IF(_calc!$E$129&lt;=500,IF(ISNUMBER(INDEX('Our policies'!$I$4:$I$503,_calc!$E$129)),TEXT(INDEX('Our policies'!$I$4:$I$503,_calc!$E$129),"yyyy-mm-dd"),""),""))</f>
        <v/>
      </c>
      <c r="E127" s="46">
        <f>IF(_calc!$E$129="","",IF(_calc!$E$129&lt;=500,IF(LEN(INDEX('Our policies'!$Q$4:$Q$503,_calc!$E$129))=0,"",INDEX('Our policies'!$Q$4:$Q$503,_calc!$E$129)),"Medium"))</f>
        <v/>
      </c>
      <c r="F127" s="46">
        <f>IF(_calc!$E$129="","",IF(_calc!$E$129&lt;=500,TRIM(IF(LEN(IF(LEN(INDEX('Our policies'!$B$4:$B$503,_calc!$E$129))=0,"",INDEX('Our policies'!$B$4:$B$503,_calc!$E$129)))=0,"","Cover: "&amp;IF(LEN(INDEX('Our policies'!$B$4:$B$503,_calc!$E$129))=0,"",INDEX('Our policies'!$B$4:$B$503,_calc!$E$129))&amp;". ")&amp;IF(LEN(IF(LEN(INDEX('Our policies'!$C$4:$C$503,_calc!$E$129))=0,"",INDEX('Our policies'!$C$4:$C$503,_calc!$E$129)))=0,"","Insurer: "&amp;IF(LEN(INDEX('Our policies'!$C$4:$C$503,_calc!$E$129))=0,"",INDEX('Our policies'!$C$4:$C$503,_calc!$E$129))&amp;". ")&amp;IF(LEN(IF(LEN(INDEX('Our policies'!$D$4:$D$503,_calc!$E$129))=0,"",INDEX('Our policies'!$D$4:$D$503,_calc!$E$129)))=0,"","Broker: "&amp;IF(LEN(INDEX('Our policies'!$D$4:$D$503,_calc!$E$129))=0,"",INDEX('Our policies'!$D$4:$D$503,_calc!$E$129))&amp;". ")&amp;IF(LEN(IF(LEN(INDEX('Our policies'!$E$4:$E$503,_calc!$E$129))=0,"",INDEX('Our policies'!$E$4:$E$503,_calc!$E$129)))=0,"","Policy no.: "&amp;IF(LEN(INDEX('Our policies'!$E$4:$E$503,_calc!$E$129))=0,"",INDEX('Our policies'!$E$4:$E$503,_calc!$E$129))&amp;". ")&amp;IF(LEN(IF(LEN(INDEX('Our policies'!$S$4:$S$503,_calc!$E$129))=0,"",INDEX('Our policies'!$S$4:$S$503,_calc!$E$129)))=0,"",IF(LEN(INDEX('Our policies'!$S$4:$S$503,_calc!$E$129))=0,"",INDEX('Our policies'!$S$4:$S$503,_calc!$E$129)))),TRIM(IF(LEN(IF(LEN(INDEX('Vendor COIs'!$C$4:$C$503,(_calc!$E$129-500)))=0,"",INDEX('Vendor COIs'!$C$4:$C$503,(_calc!$E$129-500))))=0,"","Insurer: "&amp;IF(LEN(INDEX('Vendor COIs'!$C$4:$C$503,(_calc!$E$129-500)))=0,"",INDEX('Vendor COIs'!$C$4:$C$503,(_calc!$E$129-500)))&amp;". ")&amp;IF(LEN(IF(LEN(INDEX('Vendor COIs'!$D$4:$D$503,(_calc!$E$129-500)))=0,"",INDEX('Vendor COIs'!$D$4:$D$503,(_calc!$E$129-500))))=0,"","Policy no.: "&amp;IF(LEN(INDEX('Vendor COIs'!$D$4:$D$503,(_calc!$E$129-500)))=0,"",INDEX('Vendor COIs'!$D$4:$D$503,(_calc!$E$129-500)))&amp;". ")&amp;IF(LEN(IF(LEN(INDEX('Vendor COIs'!$F$4:$F$503,(_calc!$E$129-500)))=0,"",INDEX('Vendor COIs'!$F$4:$F$503,(_calc!$E$129-500))))=0,"","Meets minimum: "&amp;IF(LEN(INDEX('Vendor COIs'!$F$4:$F$503,(_calc!$E$129-500)))=0,"",INDEX('Vendor COIs'!$F$4:$F$503,(_calc!$E$129-500)))&amp;". ")&amp;IF(LEN(IF(LEN(INDEX('Vendor COIs'!$G$4:$G$503,(_calc!$E$129-500)))=0,"",INDEX('Vendor COIs'!$G$4:$G$503,(_calc!$E$129-500))))=0,"","Additional insured: "&amp;IF(LEN(INDEX('Vendor COIs'!$G$4:$G$503,(_calc!$E$129-500)))=0,"",INDEX('Vendor COIs'!$G$4:$G$503,(_calc!$E$129-500)))&amp;". ")&amp;IF(LEN(IF(LEN(INDEX('Vendor COIs'!$M$4:$M$503,(_calc!$E$129-500)))=0,"",INDEX('Vendor COIs'!$M$4:$M$503,(_calc!$E$129-500))))=0,"","Vendor contact: "&amp;IF(LEN(INDEX('Vendor COIs'!$M$4:$M$503,(_calc!$E$129-500)))=0,"",INDEX('Vendor COIs'!$M$4:$M$503,(_calc!$E$129-500)))&amp;". ")&amp;IF(LEN(IF(LEN(INDEX('Vendor COIs'!$P$4:$P$503,(_calc!$E$129-500)))=0,"",INDEX('Vendor COIs'!$P$4:$P$503,(_calc!$E$129-500))))=0,"",IF(LEN(INDEX('Vendor COIs'!$P$4:$P$503,(_calc!$E$129-500)))=0,"",INDEX('Vendor COIs'!$P$4:$P$503,(_calc!$E$129-500)))))))</f>
        <v/>
      </c>
      <c r="G127" s="46">
        <f>IF(_calc!$E$129="","",IF(_calc!$E$129&lt;=500,IF(LEN(INDEX('Our policies'!$R$4:$R$503,_calc!$E$129))=0,"",INDEX('Our policies'!$R$4:$R$503,_calc!$E$129)),IF(LEN(INDEX('Vendor COIs'!$O$4:$O$503,(_calc!$E$129-500)))=0,"",INDEX('Vendor COIs'!$O$4:$O$503,(_calc!$E$129-500)))))</f>
        <v/>
      </c>
      <c r="H127" s="46">
        <f>IF(_calc!$E$129="","",IF(_calc!$E$129&lt;=500,IF(LEN(INDEX('Our policies'!$G$4:$G$503,_calc!$E$129))=0,"",INDEX('Our policies'!$G$4:$G$503,_calc!$E$129)),""))</f>
        <v/>
      </c>
      <c r="I127" s="46">
        <f>IF(_calc!$E$129="","",IF(_calc!$E$129&lt;=500,IF(LEN(INDEX('Our policies'!$H$4:$H$503,_calc!$E$129))=0,"",INDEX('Our policies'!$H$4:$H$503,_calc!$E$129)),""))</f>
        <v/>
      </c>
      <c r="K127" s="46">
        <f>IF(_calc!$E$129="","",IF(_calc!$E$129&lt;=500,IF(LEN(INDEX('Our policies'!$P$4:$P$503,_calc!$E$129))=0,"",INDEX('Our policies'!$P$4:$P$503,_calc!$E$129)),IF(LEN(INDEX('Vendor COIs'!$N$4:$N$503,(_calc!$E$129-500)))=0,"",INDEX('Vendor COIs'!$N$4:$N$503,(_calc!$E$129-500)))))</f>
        <v/>
      </c>
    </row>
    <row r="128">
      <c r="A128" s="46">
        <f>IF(_calc!$E$130="","",IF(_calc!$E$130&lt;=500,IF(LEN(INDEX('Our policies'!$A$4:$A$503,_calc!$E$130))=0,"",INDEX('Our policies'!$A$4:$A$503,_calc!$E$130)),"COI – "&amp;IF(LEN(INDEX('Vendor COIs'!$A$4:$A$503,(_calc!$E$130-500)))=0,"",INDEX('Vendor COIs'!$A$4:$A$503,(_calc!$E$130-500)))&amp;" – "&amp;IF(LEN(INDEX('Vendor COIs'!$B$4:$B$503,(_calc!$E$130-500)))=0,"",INDEX('Vendor COIs'!$B$4:$B$503,(_calc!$E$130-500)))))</f>
        <v/>
      </c>
      <c r="B128" s="46">
        <f>IF(_calc!$E$130="","",IF(_calc!$E$130&lt;=500,IF(ISNUMBER(INDEX('Our policies'!$J$4:$J$503,_calc!$E$130)),TEXT(INDEX('Our policies'!$J$4:$J$503,_calc!$E$130),"yyyy-mm-dd"),""),IF(ISNUMBER(INDEX('Vendor COIs'!$H$4:$H$503,(_calc!$E$130-500))),TEXT(INDEX('Vendor COIs'!$H$4:$H$503,(_calc!$E$130-500)),"yyyy-mm-dd"),"")))</f>
        <v/>
      </c>
      <c r="C128" s="46">
        <f>IF(_calc!$E$130="","",IF(_calc!$E$130&lt;=500,"Insurance","Certificate of insurance"))</f>
        <v/>
      </c>
      <c r="D128" s="46">
        <f>IF(_calc!$E$130="","",IF(_calc!$E$130&lt;=500,IF(ISNUMBER(INDEX('Our policies'!$I$4:$I$503,_calc!$E$130)),TEXT(INDEX('Our policies'!$I$4:$I$503,_calc!$E$130),"yyyy-mm-dd"),""),""))</f>
        <v/>
      </c>
      <c r="E128" s="46">
        <f>IF(_calc!$E$130="","",IF(_calc!$E$130&lt;=500,IF(LEN(INDEX('Our policies'!$Q$4:$Q$503,_calc!$E$130))=0,"",INDEX('Our policies'!$Q$4:$Q$503,_calc!$E$130)),"Medium"))</f>
        <v/>
      </c>
      <c r="F128" s="46">
        <f>IF(_calc!$E$130="","",IF(_calc!$E$130&lt;=500,TRIM(IF(LEN(IF(LEN(INDEX('Our policies'!$B$4:$B$503,_calc!$E$130))=0,"",INDEX('Our policies'!$B$4:$B$503,_calc!$E$130)))=0,"","Cover: "&amp;IF(LEN(INDEX('Our policies'!$B$4:$B$503,_calc!$E$130))=0,"",INDEX('Our policies'!$B$4:$B$503,_calc!$E$130))&amp;". ")&amp;IF(LEN(IF(LEN(INDEX('Our policies'!$C$4:$C$503,_calc!$E$130))=0,"",INDEX('Our policies'!$C$4:$C$503,_calc!$E$130)))=0,"","Insurer: "&amp;IF(LEN(INDEX('Our policies'!$C$4:$C$503,_calc!$E$130))=0,"",INDEX('Our policies'!$C$4:$C$503,_calc!$E$130))&amp;". ")&amp;IF(LEN(IF(LEN(INDEX('Our policies'!$D$4:$D$503,_calc!$E$130))=0,"",INDEX('Our policies'!$D$4:$D$503,_calc!$E$130)))=0,"","Broker: "&amp;IF(LEN(INDEX('Our policies'!$D$4:$D$503,_calc!$E$130))=0,"",INDEX('Our policies'!$D$4:$D$503,_calc!$E$130))&amp;". ")&amp;IF(LEN(IF(LEN(INDEX('Our policies'!$E$4:$E$503,_calc!$E$130))=0,"",INDEX('Our policies'!$E$4:$E$503,_calc!$E$130)))=0,"","Policy no.: "&amp;IF(LEN(INDEX('Our policies'!$E$4:$E$503,_calc!$E$130))=0,"",INDEX('Our policies'!$E$4:$E$503,_calc!$E$130))&amp;". ")&amp;IF(LEN(IF(LEN(INDEX('Our policies'!$S$4:$S$503,_calc!$E$130))=0,"",INDEX('Our policies'!$S$4:$S$503,_calc!$E$130)))=0,"",IF(LEN(INDEX('Our policies'!$S$4:$S$503,_calc!$E$130))=0,"",INDEX('Our policies'!$S$4:$S$503,_calc!$E$130)))),TRIM(IF(LEN(IF(LEN(INDEX('Vendor COIs'!$C$4:$C$503,(_calc!$E$130-500)))=0,"",INDEX('Vendor COIs'!$C$4:$C$503,(_calc!$E$130-500))))=0,"","Insurer: "&amp;IF(LEN(INDEX('Vendor COIs'!$C$4:$C$503,(_calc!$E$130-500)))=0,"",INDEX('Vendor COIs'!$C$4:$C$503,(_calc!$E$130-500)))&amp;". ")&amp;IF(LEN(IF(LEN(INDEX('Vendor COIs'!$D$4:$D$503,(_calc!$E$130-500)))=0,"",INDEX('Vendor COIs'!$D$4:$D$503,(_calc!$E$130-500))))=0,"","Policy no.: "&amp;IF(LEN(INDEX('Vendor COIs'!$D$4:$D$503,(_calc!$E$130-500)))=0,"",INDEX('Vendor COIs'!$D$4:$D$503,(_calc!$E$130-500)))&amp;". ")&amp;IF(LEN(IF(LEN(INDEX('Vendor COIs'!$F$4:$F$503,(_calc!$E$130-500)))=0,"",INDEX('Vendor COIs'!$F$4:$F$503,(_calc!$E$130-500))))=0,"","Meets minimum: "&amp;IF(LEN(INDEX('Vendor COIs'!$F$4:$F$503,(_calc!$E$130-500)))=0,"",INDEX('Vendor COIs'!$F$4:$F$503,(_calc!$E$130-500)))&amp;". ")&amp;IF(LEN(IF(LEN(INDEX('Vendor COIs'!$G$4:$G$503,(_calc!$E$130-500)))=0,"",INDEX('Vendor COIs'!$G$4:$G$503,(_calc!$E$130-500))))=0,"","Additional insured: "&amp;IF(LEN(INDEX('Vendor COIs'!$G$4:$G$503,(_calc!$E$130-500)))=0,"",INDEX('Vendor COIs'!$G$4:$G$503,(_calc!$E$130-500)))&amp;". ")&amp;IF(LEN(IF(LEN(INDEX('Vendor COIs'!$M$4:$M$503,(_calc!$E$130-500)))=0,"",INDEX('Vendor COIs'!$M$4:$M$503,(_calc!$E$130-500))))=0,"","Vendor contact: "&amp;IF(LEN(INDEX('Vendor COIs'!$M$4:$M$503,(_calc!$E$130-500)))=0,"",INDEX('Vendor COIs'!$M$4:$M$503,(_calc!$E$130-500)))&amp;". ")&amp;IF(LEN(IF(LEN(INDEX('Vendor COIs'!$P$4:$P$503,(_calc!$E$130-500)))=0,"",INDEX('Vendor COIs'!$P$4:$P$503,(_calc!$E$130-500))))=0,"",IF(LEN(INDEX('Vendor COIs'!$P$4:$P$503,(_calc!$E$130-500)))=0,"",INDEX('Vendor COIs'!$P$4:$P$503,(_calc!$E$130-500)))))))</f>
        <v/>
      </c>
      <c r="G128" s="46">
        <f>IF(_calc!$E$130="","",IF(_calc!$E$130&lt;=500,IF(LEN(INDEX('Our policies'!$R$4:$R$503,_calc!$E$130))=0,"",INDEX('Our policies'!$R$4:$R$503,_calc!$E$130)),IF(LEN(INDEX('Vendor COIs'!$O$4:$O$503,(_calc!$E$130-500)))=0,"",INDEX('Vendor COIs'!$O$4:$O$503,(_calc!$E$130-500)))))</f>
        <v/>
      </c>
      <c r="H128" s="46">
        <f>IF(_calc!$E$130="","",IF(_calc!$E$130&lt;=500,IF(LEN(INDEX('Our policies'!$G$4:$G$503,_calc!$E$130))=0,"",INDEX('Our policies'!$G$4:$G$503,_calc!$E$130)),""))</f>
        <v/>
      </c>
      <c r="I128" s="46">
        <f>IF(_calc!$E$130="","",IF(_calc!$E$130&lt;=500,IF(LEN(INDEX('Our policies'!$H$4:$H$503,_calc!$E$130))=0,"",INDEX('Our policies'!$H$4:$H$503,_calc!$E$130)),""))</f>
        <v/>
      </c>
      <c r="K128" s="46">
        <f>IF(_calc!$E$130="","",IF(_calc!$E$130&lt;=500,IF(LEN(INDEX('Our policies'!$P$4:$P$503,_calc!$E$130))=0,"",INDEX('Our policies'!$P$4:$P$503,_calc!$E$130)),IF(LEN(INDEX('Vendor COIs'!$N$4:$N$503,(_calc!$E$130-500)))=0,"",INDEX('Vendor COIs'!$N$4:$N$503,(_calc!$E$130-500)))))</f>
        <v/>
      </c>
    </row>
    <row r="129">
      <c r="A129" s="46">
        <f>IF(_calc!$E$131="","",IF(_calc!$E$131&lt;=500,IF(LEN(INDEX('Our policies'!$A$4:$A$503,_calc!$E$131))=0,"",INDEX('Our policies'!$A$4:$A$503,_calc!$E$131)),"COI – "&amp;IF(LEN(INDEX('Vendor COIs'!$A$4:$A$503,(_calc!$E$131-500)))=0,"",INDEX('Vendor COIs'!$A$4:$A$503,(_calc!$E$131-500)))&amp;" – "&amp;IF(LEN(INDEX('Vendor COIs'!$B$4:$B$503,(_calc!$E$131-500)))=0,"",INDEX('Vendor COIs'!$B$4:$B$503,(_calc!$E$131-500)))))</f>
        <v/>
      </c>
      <c r="B129" s="46">
        <f>IF(_calc!$E$131="","",IF(_calc!$E$131&lt;=500,IF(ISNUMBER(INDEX('Our policies'!$J$4:$J$503,_calc!$E$131)),TEXT(INDEX('Our policies'!$J$4:$J$503,_calc!$E$131),"yyyy-mm-dd"),""),IF(ISNUMBER(INDEX('Vendor COIs'!$H$4:$H$503,(_calc!$E$131-500))),TEXT(INDEX('Vendor COIs'!$H$4:$H$503,(_calc!$E$131-500)),"yyyy-mm-dd"),"")))</f>
        <v/>
      </c>
      <c r="C129" s="46">
        <f>IF(_calc!$E$131="","",IF(_calc!$E$131&lt;=500,"Insurance","Certificate of insurance"))</f>
        <v/>
      </c>
      <c r="D129" s="46">
        <f>IF(_calc!$E$131="","",IF(_calc!$E$131&lt;=500,IF(ISNUMBER(INDEX('Our policies'!$I$4:$I$503,_calc!$E$131)),TEXT(INDEX('Our policies'!$I$4:$I$503,_calc!$E$131),"yyyy-mm-dd"),""),""))</f>
        <v/>
      </c>
      <c r="E129" s="46">
        <f>IF(_calc!$E$131="","",IF(_calc!$E$131&lt;=500,IF(LEN(INDEX('Our policies'!$Q$4:$Q$503,_calc!$E$131))=0,"",INDEX('Our policies'!$Q$4:$Q$503,_calc!$E$131)),"Medium"))</f>
        <v/>
      </c>
      <c r="F129" s="46">
        <f>IF(_calc!$E$131="","",IF(_calc!$E$131&lt;=500,TRIM(IF(LEN(IF(LEN(INDEX('Our policies'!$B$4:$B$503,_calc!$E$131))=0,"",INDEX('Our policies'!$B$4:$B$503,_calc!$E$131)))=0,"","Cover: "&amp;IF(LEN(INDEX('Our policies'!$B$4:$B$503,_calc!$E$131))=0,"",INDEX('Our policies'!$B$4:$B$503,_calc!$E$131))&amp;". ")&amp;IF(LEN(IF(LEN(INDEX('Our policies'!$C$4:$C$503,_calc!$E$131))=0,"",INDEX('Our policies'!$C$4:$C$503,_calc!$E$131)))=0,"","Insurer: "&amp;IF(LEN(INDEX('Our policies'!$C$4:$C$503,_calc!$E$131))=0,"",INDEX('Our policies'!$C$4:$C$503,_calc!$E$131))&amp;". ")&amp;IF(LEN(IF(LEN(INDEX('Our policies'!$D$4:$D$503,_calc!$E$131))=0,"",INDEX('Our policies'!$D$4:$D$503,_calc!$E$131)))=0,"","Broker: "&amp;IF(LEN(INDEX('Our policies'!$D$4:$D$503,_calc!$E$131))=0,"",INDEX('Our policies'!$D$4:$D$503,_calc!$E$131))&amp;". ")&amp;IF(LEN(IF(LEN(INDEX('Our policies'!$E$4:$E$503,_calc!$E$131))=0,"",INDEX('Our policies'!$E$4:$E$503,_calc!$E$131)))=0,"","Policy no.: "&amp;IF(LEN(INDEX('Our policies'!$E$4:$E$503,_calc!$E$131))=0,"",INDEX('Our policies'!$E$4:$E$503,_calc!$E$131))&amp;". ")&amp;IF(LEN(IF(LEN(INDEX('Our policies'!$S$4:$S$503,_calc!$E$131))=0,"",INDEX('Our policies'!$S$4:$S$503,_calc!$E$131)))=0,"",IF(LEN(INDEX('Our policies'!$S$4:$S$503,_calc!$E$131))=0,"",INDEX('Our policies'!$S$4:$S$503,_calc!$E$131)))),TRIM(IF(LEN(IF(LEN(INDEX('Vendor COIs'!$C$4:$C$503,(_calc!$E$131-500)))=0,"",INDEX('Vendor COIs'!$C$4:$C$503,(_calc!$E$131-500))))=0,"","Insurer: "&amp;IF(LEN(INDEX('Vendor COIs'!$C$4:$C$503,(_calc!$E$131-500)))=0,"",INDEX('Vendor COIs'!$C$4:$C$503,(_calc!$E$131-500)))&amp;". ")&amp;IF(LEN(IF(LEN(INDEX('Vendor COIs'!$D$4:$D$503,(_calc!$E$131-500)))=0,"",INDEX('Vendor COIs'!$D$4:$D$503,(_calc!$E$131-500))))=0,"","Policy no.: "&amp;IF(LEN(INDEX('Vendor COIs'!$D$4:$D$503,(_calc!$E$131-500)))=0,"",INDEX('Vendor COIs'!$D$4:$D$503,(_calc!$E$131-500)))&amp;". ")&amp;IF(LEN(IF(LEN(INDEX('Vendor COIs'!$F$4:$F$503,(_calc!$E$131-500)))=0,"",INDEX('Vendor COIs'!$F$4:$F$503,(_calc!$E$131-500))))=0,"","Meets minimum: "&amp;IF(LEN(INDEX('Vendor COIs'!$F$4:$F$503,(_calc!$E$131-500)))=0,"",INDEX('Vendor COIs'!$F$4:$F$503,(_calc!$E$131-500)))&amp;". ")&amp;IF(LEN(IF(LEN(INDEX('Vendor COIs'!$G$4:$G$503,(_calc!$E$131-500)))=0,"",INDEX('Vendor COIs'!$G$4:$G$503,(_calc!$E$131-500))))=0,"","Additional insured: "&amp;IF(LEN(INDEX('Vendor COIs'!$G$4:$G$503,(_calc!$E$131-500)))=0,"",INDEX('Vendor COIs'!$G$4:$G$503,(_calc!$E$131-500)))&amp;". ")&amp;IF(LEN(IF(LEN(INDEX('Vendor COIs'!$M$4:$M$503,(_calc!$E$131-500)))=0,"",INDEX('Vendor COIs'!$M$4:$M$503,(_calc!$E$131-500))))=0,"","Vendor contact: "&amp;IF(LEN(INDEX('Vendor COIs'!$M$4:$M$503,(_calc!$E$131-500)))=0,"",INDEX('Vendor COIs'!$M$4:$M$503,(_calc!$E$131-500)))&amp;". ")&amp;IF(LEN(IF(LEN(INDEX('Vendor COIs'!$P$4:$P$503,(_calc!$E$131-500)))=0,"",INDEX('Vendor COIs'!$P$4:$P$503,(_calc!$E$131-500))))=0,"",IF(LEN(INDEX('Vendor COIs'!$P$4:$P$503,(_calc!$E$131-500)))=0,"",INDEX('Vendor COIs'!$P$4:$P$503,(_calc!$E$131-500)))))))</f>
        <v/>
      </c>
      <c r="G129" s="46">
        <f>IF(_calc!$E$131="","",IF(_calc!$E$131&lt;=500,IF(LEN(INDEX('Our policies'!$R$4:$R$503,_calc!$E$131))=0,"",INDEX('Our policies'!$R$4:$R$503,_calc!$E$131)),IF(LEN(INDEX('Vendor COIs'!$O$4:$O$503,(_calc!$E$131-500)))=0,"",INDEX('Vendor COIs'!$O$4:$O$503,(_calc!$E$131-500)))))</f>
        <v/>
      </c>
      <c r="H129" s="46">
        <f>IF(_calc!$E$131="","",IF(_calc!$E$131&lt;=500,IF(LEN(INDEX('Our policies'!$G$4:$G$503,_calc!$E$131))=0,"",INDEX('Our policies'!$G$4:$G$503,_calc!$E$131)),""))</f>
        <v/>
      </c>
      <c r="I129" s="46">
        <f>IF(_calc!$E$131="","",IF(_calc!$E$131&lt;=500,IF(LEN(INDEX('Our policies'!$H$4:$H$503,_calc!$E$131))=0,"",INDEX('Our policies'!$H$4:$H$503,_calc!$E$131)),""))</f>
        <v/>
      </c>
      <c r="K129" s="46">
        <f>IF(_calc!$E$131="","",IF(_calc!$E$131&lt;=500,IF(LEN(INDEX('Our policies'!$P$4:$P$503,_calc!$E$131))=0,"",INDEX('Our policies'!$P$4:$P$503,_calc!$E$131)),IF(LEN(INDEX('Vendor COIs'!$N$4:$N$503,(_calc!$E$131-500)))=0,"",INDEX('Vendor COIs'!$N$4:$N$503,(_calc!$E$131-500)))))</f>
        <v/>
      </c>
    </row>
    <row r="130">
      <c r="A130" s="46">
        <f>IF(_calc!$E$132="","",IF(_calc!$E$132&lt;=500,IF(LEN(INDEX('Our policies'!$A$4:$A$503,_calc!$E$132))=0,"",INDEX('Our policies'!$A$4:$A$503,_calc!$E$132)),"COI – "&amp;IF(LEN(INDEX('Vendor COIs'!$A$4:$A$503,(_calc!$E$132-500)))=0,"",INDEX('Vendor COIs'!$A$4:$A$503,(_calc!$E$132-500)))&amp;" – "&amp;IF(LEN(INDEX('Vendor COIs'!$B$4:$B$503,(_calc!$E$132-500)))=0,"",INDEX('Vendor COIs'!$B$4:$B$503,(_calc!$E$132-500)))))</f>
        <v/>
      </c>
      <c r="B130" s="46">
        <f>IF(_calc!$E$132="","",IF(_calc!$E$132&lt;=500,IF(ISNUMBER(INDEX('Our policies'!$J$4:$J$503,_calc!$E$132)),TEXT(INDEX('Our policies'!$J$4:$J$503,_calc!$E$132),"yyyy-mm-dd"),""),IF(ISNUMBER(INDEX('Vendor COIs'!$H$4:$H$503,(_calc!$E$132-500))),TEXT(INDEX('Vendor COIs'!$H$4:$H$503,(_calc!$E$132-500)),"yyyy-mm-dd"),"")))</f>
        <v/>
      </c>
      <c r="C130" s="46">
        <f>IF(_calc!$E$132="","",IF(_calc!$E$132&lt;=500,"Insurance","Certificate of insurance"))</f>
        <v/>
      </c>
      <c r="D130" s="46">
        <f>IF(_calc!$E$132="","",IF(_calc!$E$132&lt;=500,IF(ISNUMBER(INDEX('Our policies'!$I$4:$I$503,_calc!$E$132)),TEXT(INDEX('Our policies'!$I$4:$I$503,_calc!$E$132),"yyyy-mm-dd"),""),""))</f>
        <v/>
      </c>
      <c r="E130" s="46">
        <f>IF(_calc!$E$132="","",IF(_calc!$E$132&lt;=500,IF(LEN(INDEX('Our policies'!$Q$4:$Q$503,_calc!$E$132))=0,"",INDEX('Our policies'!$Q$4:$Q$503,_calc!$E$132)),"Medium"))</f>
        <v/>
      </c>
      <c r="F130" s="46">
        <f>IF(_calc!$E$132="","",IF(_calc!$E$132&lt;=500,TRIM(IF(LEN(IF(LEN(INDEX('Our policies'!$B$4:$B$503,_calc!$E$132))=0,"",INDEX('Our policies'!$B$4:$B$503,_calc!$E$132)))=0,"","Cover: "&amp;IF(LEN(INDEX('Our policies'!$B$4:$B$503,_calc!$E$132))=0,"",INDEX('Our policies'!$B$4:$B$503,_calc!$E$132))&amp;". ")&amp;IF(LEN(IF(LEN(INDEX('Our policies'!$C$4:$C$503,_calc!$E$132))=0,"",INDEX('Our policies'!$C$4:$C$503,_calc!$E$132)))=0,"","Insurer: "&amp;IF(LEN(INDEX('Our policies'!$C$4:$C$503,_calc!$E$132))=0,"",INDEX('Our policies'!$C$4:$C$503,_calc!$E$132))&amp;". ")&amp;IF(LEN(IF(LEN(INDEX('Our policies'!$D$4:$D$503,_calc!$E$132))=0,"",INDEX('Our policies'!$D$4:$D$503,_calc!$E$132)))=0,"","Broker: "&amp;IF(LEN(INDEX('Our policies'!$D$4:$D$503,_calc!$E$132))=0,"",INDEX('Our policies'!$D$4:$D$503,_calc!$E$132))&amp;". ")&amp;IF(LEN(IF(LEN(INDEX('Our policies'!$E$4:$E$503,_calc!$E$132))=0,"",INDEX('Our policies'!$E$4:$E$503,_calc!$E$132)))=0,"","Policy no.: "&amp;IF(LEN(INDEX('Our policies'!$E$4:$E$503,_calc!$E$132))=0,"",INDEX('Our policies'!$E$4:$E$503,_calc!$E$132))&amp;". ")&amp;IF(LEN(IF(LEN(INDEX('Our policies'!$S$4:$S$503,_calc!$E$132))=0,"",INDEX('Our policies'!$S$4:$S$503,_calc!$E$132)))=0,"",IF(LEN(INDEX('Our policies'!$S$4:$S$503,_calc!$E$132))=0,"",INDEX('Our policies'!$S$4:$S$503,_calc!$E$132)))),TRIM(IF(LEN(IF(LEN(INDEX('Vendor COIs'!$C$4:$C$503,(_calc!$E$132-500)))=0,"",INDEX('Vendor COIs'!$C$4:$C$503,(_calc!$E$132-500))))=0,"","Insurer: "&amp;IF(LEN(INDEX('Vendor COIs'!$C$4:$C$503,(_calc!$E$132-500)))=0,"",INDEX('Vendor COIs'!$C$4:$C$503,(_calc!$E$132-500)))&amp;". ")&amp;IF(LEN(IF(LEN(INDEX('Vendor COIs'!$D$4:$D$503,(_calc!$E$132-500)))=0,"",INDEX('Vendor COIs'!$D$4:$D$503,(_calc!$E$132-500))))=0,"","Policy no.: "&amp;IF(LEN(INDEX('Vendor COIs'!$D$4:$D$503,(_calc!$E$132-500)))=0,"",INDEX('Vendor COIs'!$D$4:$D$503,(_calc!$E$132-500)))&amp;". ")&amp;IF(LEN(IF(LEN(INDEX('Vendor COIs'!$F$4:$F$503,(_calc!$E$132-500)))=0,"",INDEX('Vendor COIs'!$F$4:$F$503,(_calc!$E$132-500))))=0,"","Meets minimum: "&amp;IF(LEN(INDEX('Vendor COIs'!$F$4:$F$503,(_calc!$E$132-500)))=0,"",INDEX('Vendor COIs'!$F$4:$F$503,(_calc!$E$132-500)))&amp;". ")&amp;IF(LEN(IF(LEN(INDEX('Vendor COIs'!$G$4:$G$503,(_calc!$E$132-500)))=0,"",INDEX('Vendor COIs'!$G$4:$G$503,(_calc!$E$132-500))))=0,"","Additional insured: "&amp;IF(LEN(INDEX('Vendor COIs'!$G$4:$G$503,(_calc!$E$132-500)))=0,"",INDEX('Vendor COIs'!$G$4:$G$503,(_calc!$E$132-500)))&amp;". ")&amp;IF(LEN(IF(LEN(INDEX('Vendor COIs'!$M$4:$M$503,(_calc!$E$132-500)))=0,"",INDEX('Vendor COIs'!$M$4:$M$503,(_calc!$E$132-500))))=0,"","Vendor contact: "&amp;IF(LEN(INDEX('Vendor COIs'!$M$4:$M$503,(_calc!$E$132-500)))=0,"",INDEX('Vendor COIs'!$M$4:$M$503,(_calc!$E$132-500)))&amp;". ")&amp;IF(LEN(IF(LEN(INDEX('Vendor COIs'!$P$4:$P$503,(_calc!$E$132-500)))=0,"",INDEX('Vendor COIs'!$P$4:$P$503,(_calc!$E$132-500))))=0,"",IF(LEN(INDEX('Vendor COIs'!$P$4:$P$503,(_calc!$E$132-500)))=0,"",INDEX('Vendor COIs'!$P$4:$P$503,(_calc!$E$132-500)))))))</f>
        <v/>
      </c>
      <c r="G130" s="46">
        <f>IF(_calc!$E$132="","",IF(_calc!$E$132&lt;=500,IF(LEN(INDEX('Our policies'!$R$4:$R$503,_calc!$E$132))=0,"",INDEX('Our policies'!$R$4:$R$503,_calc!$E$132)),IF(LEN(INDEX('Vendor COIs'!$O$4:$O$503,(_calc!$E$132-500)))=0,"",INDEX('Vendor COIs'!$O$4:$O$503,(_calc!$E$132-500)))))</f>
        <v/>
      </c>
      <c r="H130" s="46">
        <f>IF(_calc!$E$132="","",IF(_calc!$E$132&lt;=500,IF(LEN(INDEX('Our policies'!$G$4:$G$503,_calc!$E$132))=0,"",INDEX('Our policies'!$G$4:$G$503,_calc!$E$132)),""))</f>
        <v/>
      </c>
      <c r="I130" s="46">
        <f>IF(_calc!$E$132="","",IF(_calc!$E$132&lt;=500,IF(LEN(INDEX('Our policies'!$H$4:$H$503,_calc!$E$132))=0,"",INDEX('Our policies'!$H$4:$H$503,_calc!$E$132)),""))</f>
        <v/>
      </c>
      <c r="K130" s="46">
        <f>IF(_calc!$E$132="","",IF(_calc!$E$132&lt;=500,IF(LEN(INDEX('Our policies'!$P$4:$P$503,_calc!$E$132))=0,"",INDEX('Our policies'!$P$4:$P$503,_calc!$E$132)),IF(LEN(INDEX('Vendor COIs'!$N$4:$N$503,(_calc!$E$132-500)))=0,"",INDEX('Vendor COIs'!$N$4:$N$503,(_calc!$E$132-500)))))</f>
        <v/>
      </c>
    </row>
    <row r="131">
      <c r="A131" s="46">
        <f>IF(_calc!$E$133="","",IF(_calc!$E$133&lt;=500,IF(LEN(INDEX('Our policies'!$A$4:$A$503,_calc!$E$133))=0,"",INDEX('Our policies'!$A$4:$A$503,_calc!$E$133)),"COI – "&amp;IF(LEN(INDEX('Vendor COIs'!$A$4:$A$503,(_calc!$E$133-500)))=0,"",INDEX('Vendor COIs'!$A$4:$A$503,(_calc!$E$133-500)))&amp;" – "&amp;IF(LEN(INDEX('Vendor COIs'!$B$4:$B$503,(_calc!$E$133-500)))=0,"",INDEX('Vendor COIs'!$B$4:$B$503,(_calc!$E$133-500)))))</f>
        <v/>
      </c>
      <c r="B131" s="46">
        <f>IF(_calc!$E$133="","",IF(_calc!$E$133&lt;=500,IF(ISNUMBER(INDEX('Our policies'!$J$4:$J$503,_calc!$E$133)),TEXT(INDEX('Our policies'!$J$4:$J$503,_calc!$E$133),"yyyy-mm-dd"),""),IF(ISNUMBER(INDEX('Vendor COIs'!$H$4:$H$503,(_calc!$E$133-500))),TEXT(INDEX('Vendor COIs'!$H$4:$H$503,(_calc!$E$133-500)),"yyyy-mm-dd"),"")))</f>
        <v/>
      </c>
      <c r="C131" s="46">
        <f>IF(_calc!$E$133="","",IF(_calc!$E$133&lt;=500,"Insurance","Certificate of insurance"))</f>
        <v/>
      </c>
      <c r="D131" s="46">
        <f>IF(_calc!$E$133="","",IF(_calc!$E$133&lt;=500,IF(ISNUMBER(INDEX('Our policies'!$I$4:$I$503,_calc!$E$133)),TEXT(INDEX('Our policies'!$I$4:$I$503,_calc!$E$133),"yyyy-mm-dd"),""),""))</f>
        <v/>
      </c>
      <c r="E131" s="46">
        <f>IF(_calc!$E$133="","",IF(_calc!$E$133&lt;=500,IF(LEN(INDEX('Our policies'!$Q$4:$Q$503,_calc!$E$133))=0,"",INDEX('Our policies'!$Q$4:$Q$503,_calc!$E$133)),"Medium"))</f>
        <v/>
      </c>
      <c r="F131" s="46">
        <f>IF(_calc!$E$133="","",IF(_calc!$E$133&lt;=500,TRIM(IF(LEN(IF(LEN(INDEX('Our policies'!$B$4:$B$503,_calc!$E$133))=0,"",INDEX('Our policies'!$B$4:$B$503,_calc!$E$133)))=0,"","Cover: "&amp;IF(LEN(INDEX('Our policies'!$B$4:$B$503,_calc!$E$133))=0,"",INDEX('Our policies'!$B$4:$B$503,_calc!$E$133))&amp;". ")&amp;IF(LEN(IF(LEN(INDEX('Our policies'!$C$4:$C$503,_calc!$E$133))=0,"",INDEX('Our policies'!$C$4:$C$503,_calc!$E$133)))=0,"","Insurer: "&amp;IF(LEN(INDEX('Our policies'!$C$4:$C$503,_calc!$E$133))=0,"",INDEX('Our policies'!$C$4:$C$503,_calc!$E$133))&amp;". ")&amp;IF(LEN(IF(LEN(INDEX('Our policies'!$D$4:$D$503,_calc!$E$133))=0,"",INDEX('Our policies'!$D$4:$D$503,_calc!$E$133)))=0,"","Broker: "&amp;IF(LEN(INDEX('Our policies'!$D$4:$D$503,_calc!$E$133))=0,"",INDEX('Our policies'!$D$4:$D$503,_calc!$E$133))&amp;". ")&amp;IF(LEN(IF(LEN(INDEX('Our policies'!$E$4:$E$503,_calc!$E$133))=0,"",INDEX('Our policies'!$E$4:$E$503,_calc!$E$133)))=0,"","Policy no.: "&amp;IF(LEN(INDEX('Our policies'!$E$4:$E$503,_calc!$E$133))=0,"",INDEX('Our policies'!$E$4:$E$503,_calc!$E$133))&amp;". ")&amp;IF(LEN(IF(LEN(INDEX('Our policies'!$S$4:$S$503,_calc!$E$133))=0,"",INDEX('Our policies'!$S$4:$S$503,_calc!$E$133)))=0,"",IF(LEN(INDEX('Our policies'!$S$4:$S$503,_calc!$E$133))=0,"",INDEX('Our policies'!$S$4:$S$503,_calc!$E$133)))),TRIM(IF(LEN(IF(LEN(INDEX('Vendor COIs'!$C$4:$C$503,(_calc!$E$133-500)))=0,"",INDEX('Vendor COIs'!$C$4:$C$503,(_calc!$E$133-500))))=0,"","Insurer: "&amp;IF(LEN(INDEX('Vendor COIs'!$C$4:$C$503,(_calc!$E$133-500)))=0,"",INDEX('Vendor COIs'!$C$4:$C$503,(_calc!$E$133-500)))&amp;". ")&amp;IF(LEN(IF(LEN(INDEX('Vendor COIs'!$D$4:$D$503,(_calc!$E$133-500)))=0,"",INDEX('Vendor COIs'!$D$4:$D$503,(_calc!$E$133-500))))=0,"","Policy no.: "&amp;IF(LEN(INDEX('Vendor COIs'!$D$4:$D$503,(_calc!$E$133-500)))=0,"",INDEX('Vendor COIs'!$D$4:$D$503,(_calc!$E$133-500)))&amp;". ")&amp;IF(LEN(IF(LEN(INDEX('Vendor COIs'!$F$4:$F$503,(_calc!$E$133-500)))=0,"",INDEX('Vendor COIs'!$F$4:$F$503,(_calc!$E$133-500))))=0,"","Meets minimum: "&amp;IF(LEN(INDEX('Vendor COIs'!$F$4:$F$503,(_calc!$E$133-500)))=0,"",INDEX('Vendor COIs'!$F$4:$F$503,(_calc!$E$133-500)))&amp;". ")&amp;IF(LEN(IF(LEN(INDEX('Vendor COIs'!$G$4:$G$503,(_calc!$E$133-500)))=0,"",INDEX('Vendor COIs'!$G$4:$G$503,(_calc!$E$133-500))))=0,"","Additional insured: "&amp;IF(LEN(INDEX('Vendor COIs'!$G$4:$G$503,(_calc!$E$133-500)))=0,"",INDEX('Vendor COIs'!$G$4:$G$503,(_calc!$E$133-500)))&amp;". ")&amp;IF(LEN(IF(LEN(INDEX('Vendor COIs'!$M$4:$M$503,(_calc!$E$133-500)))=0,"",INDEX('Vendor COIs'!$M$4:$M$503,(_calc!$E$133-500))))=0,"","Vendor contact: "&amp;IF(LEN(INDEX('Vendor COIs'!$M$4:$M$503,(_calc!$E$133-500)))=0,"",INDEX('Vendor COIs'!$M$4:$M$503,(_calc!$E$133-500)))&amp;". ")&amp;IF(LEN(IF(LEN(INDEX('Vendor COIs'!$P$4:$P$503,(_calc!$E$133-500)))=0,"",INDEX('Vendor COIs'!$P$4:$P$503,(_calc!$E$133-500))))=0,"",IF(LEN(INDEX('Vendor COIs'!$P$4:$P$503,(_calc!$E$133-500)))=0,"",INDEX('Vendor COIs'!$P$4:$P$503,(_calc!$E$133-500)))))))</f>
        <v/>
      </c>
      <c r="G131" s="46">
        <f>IF(_calc!$E$133="","",IF(_calc!$E$133&lt;=500,IF(LEN(INDEX('Our policies'!$R$4:$R$503,_calc!$E$133))=0,"",INDEX('Our policies'!$R$4:$R$503,_calc!$E$133)),IF(LEN(INDEX('Vendor COIs'!$O$4:$O$503,(_calc!$E$133-500)))=0,"",INDEX('Vendor COIs'!$O$4:$O$503,(_calc!$E$133-500)))))</f>
        <v/>
      </c>
      <c r="H131" s="46">
        <f>IF(_calc!$E$133="","",IF(_calc!$E$133&lt;=500,IF(LEN(INDEX('Our policies'!$G$4:$G$503,_calc!$E$133))=0,"",INDEX('Our policies'!$G$4:$G$503,_calc!$E$133)),""))</f>
        <v/>
      </c>
      <c r="I131" s="46">
        <f>IF(_calc!$E$133="","",IF(_calc!$E$133&lt;=500,IF(LEN(INDEX('Our policies'!$H$4:$H$503,_calc!$E$133))=0,"",INDEX('Our policies'!$H$4:$H$503,_calc!$E$133)),""))</f>
        <v/>
      </c>
      <c r="K131" s="46">
        <f>IF(_calc!$E$133="","",IF(_calc!$E$133&lt;=500,IF(LEN(INDEX('Our policies'!$P$4:$P$503,_calc!$E$133))=0,"",INDEX('Our policies'!$P$4:$P$503,_calc!$E$133)),IF(LEN(INDEX('Vendor COIs'!$N$4:$N$503,(_calc!$E$133-500)))=0,"",INDEX('Vendor COIs'!$N$4:$N$503,(_calc!$E$133-500)))))</f>
        <v/>
      </c>
    </row>
    <row r="132">
      <c r="A132" s="46">
        <f>IF(_calc!$E$134="","",IF(_calc!$E$134&lt;=500,IF(LEN(INDEX('Our policies'!$A$4:$A$503,_calc!$E$134))=0,"",INDEX('Our policies'!$A$4:$A$503,_calc!$E$134)),"COI – "&amp;IF(LEN(INDEX('Vendor COIs'!$A$4:$A$503,(_calc!$E$134-500)))=0,"",INDEX('Vendor COIs'!$A$4:$A$503,(_calc!$E$134-500)))&amp;" – "&amp;IF(LEN(INDEX('Vendor COIs'!$B$4:$B$503,(_calc!$E$134-500)))=0,"",INDEX('Vendor COIs'!$B$4:$B$503,(_calc!$E$134-500)))))</f>
        <v/>
      </c>
      <c r="B132" s="46">
        <f>IF(_calc!$E$134="","",IF(_calc!$E$134&lt;=500,IF(ISNUMBER(INDEX('Our policies'!$J$4:$J$503,_calc!$E$134)),TEXT(INDEX('Our policies'!$J$4:$J$503,_calc!$E$134),"yyyy-mm-dd"),""),IF(ISNUMBER(INDEX('Vendor COIs'!$H$4:$H$503,(_calc!$E$134-500))),TEXT(INDEX('Vendor COIs'!$H$4:$H$503,(_calc!$E$134-500)),"yyyy-mm-dd"),"")))</f>
        <v/>
      </c>
      <c r="C132" s="46">
        <f>IF(_calc!$E$134="","",IF(_calc!$E$134&lt;=500,"Insurance","Certificate of insurance"))</f>
        <v/>
      </c>
      <c r="D132" s="46">
        <f>IF(_calc!$E$134="","",IF(_calc!$E$134&lt;=500,IF(ISNUMBER(INDEX('Our policies'!$I$4:$I$503,_calc!$E$134)),TEXT(INDEX('Our policies'!$I$4:$I$503,_calc!$E$134),"yyyy-mm-dd"),""),""))</f>
        <v/>
      </c>
      <c r="E132" s="46">
        <f>IF(_calc!$E$134="","",IF(_calc!$E$134&lt;=500,IF(LEN(INDEX('Our policies'!$Q$4:$Q$503,_calc!$E$134))=0,"",INDEX('Our policies'!$Q$4:$Q$503,_calc!$E$134)),"Medium"))</f>
        <v/>
      </c>
      <c r="F132" s="46">
        <f>IF(_calc!$E$134="","",IF(_calc!$E$134&lt;=500,TRIM(IF(LEN(IF(LEN(INDEX('Our policies'!$B$4:$B$503,_calc!$E$134))=0,"",INDEX('Our policies'!$B$4:$B$503,_calc!$E$134)))=0,"","Cover: "&amp;IF(LEN(INDEX('Our policies'!$B$4:$B$503,_calc!$E$134))=0,"",INDEX('Our policies'!$B$4:$B$503,_calc!$E$134))&amp;". ")&amp;IF(LEN(IF(LEN(INDEX('Our policies'!$C$4:$C$503,_calc!$E$134))=0,"",INDEX('Our policies'!$C$4:$C$503,_calc!$E$134)))=0,"","Insurer: "&amp;IF(LEN(INDEX('Our policies'!$C$4:$C$503,_calc!$E$134))=0,"",INDEX('Our policies'!$C$4:$C$503,_calc!$E$134))&amp;". ")&amp;IF(LEN(IF(LEN(INDEX('Our policies'!$D$4:$D$503,_calc!$E$134))=0,"",INDEX('Our policies'!$D$4:$D$503,_calc!$E$134)))=0,"","Broker: "&amp;IF(LEN(INDEX('Our policies'!$D$4:$D$503,_calc!$E$134))=0,"",INDEX('Our policies'!$D$4:$D$503,_calc!$E$134))&amp;". ")&amp;IF(LEN(IF(LEN(INDEX('Our policies'!$E$4:$E$503,_calc!$E$134))=0,"",INDEX('Our policies'!$E$4:$E$503,_calc!$E$134)))=0,"","Policy no.: "&amp;IF(LEN(INDEX('Our policies'!$E$4:$E$503,_calc!$E$134))=0,"",INDEX('Our policies'!$E$4:$E$503,_calc!$E$134))&amp;". ")&amp;IF(LEN(IF(LEN(INDEX('Our policies'!$S$4:$S$503,_calc!$E$134))=0,"",INDEX('Our policies'!$S$4:$S$503,_calc!$E$134)))=0,"",IF(LEN(INDEX('Our policies'!$S$4:$S$503,_calc!$E$134))=0,"",INDEX('Our policies'!$S$4:$S$503,_calc!$E$134)))),TRIM(IF(LEN(IF(LEN(INDEX('Vendor COIs'!$C$4:$C$503,(_calc!$E$134-500)))=0,"",INDEX('Vendor COIs'!$C$4:$C$503,(_calc!$E$134-500))))=0,"","Insurer: "&amp;IF(LEN(INDEX('Vendor COIs'!$C$4:$C$503,(_calc!$E$134-500)))=0,"",INDEX('Vendor COIs'!$C$4:$C$503,(_calc!$E$134-500)))&amp;". ")&amp;IF(LEN(IF(LEN(INDEX('Vendor COIs'!$D$4:$D$503,(_calc!$E$134-500)))=0,"",INDEX('Vendor COIs'!$D$4:$D$503,(_calc!$E$134-500))))=0,"","Policy no.: "&amp;IF(LEN(INDEX('Vendor COIs'!$D$4:$D$503,(_calc!$E$134-500)))=0,"",INDEX('Vendor COIs'!$D$4:$D$503,(_calc!$E$134-500)))&amp;". ")&amp;IF(LEN(IF(LEN(INDEX('Vendor COIs'!$F$4:$F$503,(_calc!$E$134-500)))=0,"",INDEX('Vendor COIs'!$F$4:$F$503,(_calc!$E$134-500))))=0,"","Meets minimum: "&amp;IF(LEN(INDEX('Vendor COIs'!$F$4:$F$503,(_calc!$E$134-500)))=0,"",INDEX('Vendor COIs'!$F$4:$F$503,(_calc!$E$134-500)))&amp;". ")&amp;IF(LEN(IF(LEN(INDEX('Vendor COIs'!$G$4:$G$503,(_calc!$E$134-500)))=0,"",INDEX('Vendor COIs'!$G$4:$G$503,(_calc!$E$134-500))))=0,"","Additional insured: "&amp;IF(LEN(INDEX('Vendor COIs'!$G$4:$G$503,(_calc!$E$134-500)))=0,"",INDEX('Vendor COIs'!$G$4:$G$503,(_calc!$E$134-500)))&amp;". ")&amp;IF(LEN(IF(LEN(INDEX('Vendor COIs'!$M$4:$M$503,(_calc!$E$134-500)))=0,"",INDEX('Vendor COIs'!$M$4:$M$503,(_calc!$E$134-500))))=0,"","Vendor contact: "&amp;IF(LEN(INDEX('Vendor COIs'!$M$4:$M$503,(_calc!$E$134-500)))=0,"",INDEX('Vendor COIs'!$M$4:$M$503,(_calc!$E$134-500)))&amp;". ")&amp;IF(LEN(IF(LEN(INDEX('Vendor COIs'!$P$4:$P$503,(_calc!$E$134-500)))=0,"",INDEX('Vendor COIs'!$P$4:$P$503,(_calc!$E$134-500))))=0,"",IF(LEN(INDEX('Vendor COIs'!$P$4:$P$503,(_calc!$E$134-500)))=0,"",INDEX('Vendor COIs'!$P$4:$P$503,(_calc!$E$134-500)))))))</f>
        <v/>
      </c>
      <c r="G132" s="46">
        <f>IF(_calc!$E$134="","",IF(_calc!$E$134&lt;=500,IF(LEN(INDEX('Our policies'!$R$4:$R$503,_calc!$E$134))=0,"",INDEX('Our policies'!$R$4:$R$503,_calc!$E$134)),IF(LEN(INDEX('Vendor COIs'!$O$4:$O$503,(_calc!$E$134-500)))=0,"",INDEX('Vendor COIs'!$O$4:$O$503,(_calc!$E$134-500)))))</f>
        <v/>
      </c>
      <c r="H132" s="46">
        <f>IF(_calc!$E$134="","",IF(_calc!$E$134&lt;=500,IF(LEN(INDEX('Our policies'!$G$4:$G$503,_calc!$E$134))=0,"",INDEX('Our policies'!$G$4:$G$503,_calc!$E$134)),""))</f>
        <v/>
      </c>
      <c r="I132" s="46">
        <f>IF(_calc!$E$134="","",IF(_calc!$E$134&lt;=500,IF(LEN(INDEX('Our policies'!$H$4:$H$503,_calc!$E$134))=0,"",INDEX('Our policies'!$H$4:$H$503,_calc!$E$134)),""))</f>
        <v/>
      </c>
      <c r="K132" s="46">
        <f>IF(_calc!$E$134="","",IF(_calc!$E$134&lt;=500,IF(LEN(INDEX('Our policies'!$P$4:$P$503,_calc!$E$134))=0,"",INDEX('Our policies'!$P$4:$P$503,_calc!$E$134)),IF(LEN(INDEX('Vendor COIs'!$N$4:$N$503,(_calc!$E$134-500)))=0,"",INDEX('Vendor COIs'!$N$4:$N$503,(_calc!$E$134-500)))))</f>
        <v/>
      </c>
    </row>
    <row r="133">
      <c r="A133" s="46">
        <f>IF(_calc!$E$135="","",IF(_calc!$E$135&lt;=500,IF(LEN(INDEX('Our policies'!$A$4:$A$503,_calc!$E$135))=0,"",INDEX('Our policies'!$A$4:$A$503,_calc!$E$135)),"COI – "&amp;IF(LEN(INDEX('Vendor COIs'!$A$4:$A$503,(_calc!$E$135-500)))=0,"",INDEX('Vendor COIs'!$A$4:$A$503,(_calc!$E$135-500)))&amp;" – "&amp;IF(LEN(INDEX('Vendor COIs'!$B$4:$B$503,(_calc!$E$135-500)))=0,"",INDEX('Vendor COIs'!$B$4:$B$503,(_calc!$E$135-500)))))</f>
        <v/>
      </c>
      <c r="B133" s="46">
        <f>IF(_calc!$E$135="","",IF(_calc!$E$135&lt;=500,IF(ISNUMBER(INDEX('Our policies'!$J$4:$J$503,_calc!$E$135)),TEXT(INDEX('Our policies'!$J$4:$J$503,_calc!$E$135),"yyyy-mm-dd"),""),IF(ISNUMBER(INDEX('Vendor COIs'!$H$4:$H$503,(_calc!$E$135-500))),TEXT(INDEX('Vendor COIs'!$H$4:$H$503,(_calc!$E$135-500)),"yyyy-mm-dd"),"")))</f>
        <v/>
      </c>
      <c r="C133" s="46">
        <f>IF(_calc!$E$135="","",IF(_calc!$E$135&lt;=500,"Insurance","Certificate of insurance"))</f>
        <v/>
      </c>
      <c r="D133" s="46">
        <f>IF(_calc!$E$135="","",IF(_calc!$E$135&lt;=500,IF(ISNUMBER(INDEX('Our policies'!$I$4:$I$503,_calc!$E$135)),TEXT(INDEX('Our policies'!$I$4:$I$503,_calc!$E$135),"yyyy-mm-dd"),""),""))</f>
        <v/>
      </c>
      <c r="E133" s="46">
        <f>IF(_calc!$E$135="","",IF(_calc!$E$135&lt;=500,IF(LEN(INDEX('Our policies'!$Q$4:$Q$503,_calc!$E$135))=0,"",INDEX('Our policies'!$Q$4:$Q$503,_calc!$E$135)),"Medium"))</f>
        <v/>
      </c>
      <c r="F133" s="46">
        <f>IF(_calc!$E$135="","",IF(_calc!$E$135&lt;=500,TRIM(IF(LEN(IF(LEN(INDEX('Our policies'!$B$4:$B$503,_calc!$E$135))=0,"",INDEX('Our policies'!$B$4:$B$503,_calc!$E$135)))=0,"","Cover: "&amp;IF(LEN(INDEX('Our policies'!$B$4:$B$503,_calc!$E$135))=0,"",INDEX('Our policies'!$B$4:$B$503,_calc!$E$135))&amp;". ")&amp;IF(LEN(IF(LEN(INDEX('Our policies'!$C$4:$C$503,_calc!$E$135))=0,"",INDEX('Our policies'!$C$4:$C$503,_calc!$E$135)))=0,"","Insurer: "&amp;IF(LEN(INDEX('Our policies'!$C$4:$C$503,_calc!$E$135))=0,"",INDEX('Our policies'!$C$4:$C$503,_calc!$E$135))&amp;". ")&amp;IF(LEN(IF(LEN(INDEX('Our policies'!$D$4:$D$503,_calc!$E$135))=0,"",INDEX('Our policies'!$D$4:$D$503,_calc!$E$135)))=0,"","Broker: "&amp;IF(LEN(INDEX('Our policies'!$D$4:$D$503,_calc!$E$135))=0,"",INDEX('Our policies'!$D$4:$D$503,_calc!$E$135))&amp;". ")&amp;IF(LEN(IF(LEN(INDEX('Our policies'!$E$4:$E$503,_calc!$E$135))=0,"",INDEX('Our policies'!$E$4:$E$503,_calc!$E$135)))=0,"","Policy no.: "&amp;IF(LEN(INDEX('Our policies'!$E$4:$E$503,_calc!$E$135))=0,"",INDEX('Our policies'!$E$4:$E$503,_calc!$E$135))&amp;". ")&amp;IF(LEN(IF(LEN(INDEX('Our policies'!$S$4:$S$503,_calc!$E$135))=0,"",INDEX('Our policies'!$S$4:$S$503,_calc!$E$135)))=0,"",IF(LEN(INDEX('Our policies'!$S$4:$S$503,_calc!$E$135))=0,"",INDEX('Our policies'!$S$4:$S$503,_calc!$E$135)))),TRIM(IF(LEN(IF(LEN(INDEX('Vendor COIs'!$C$4:$C$503,(_calc!$E$135-500)))=0,"",INDEX('Vendor COIs'!$C$4:$C$503,(_calc!$E$135-500))))=0,"","Insurer: "&amp;IF(LEN(INDEX('Vendor COIs'!$C$4:$C$503,(_calc!$E$135-500)))=0,"",INDEX('Vendor COIs'!$C$4:$C$503,(_calc!$E$135-500)))&amp;". ")&amp;IF(LEN(IF(LEN(INDEX('Vendor COIs'!$D$4:$D$503,(_calc!$E$135-500)))=0,"",INDEX('Vendor COIs'!$D$4:$D$503,(_calc!$E$135-500))))=0,"","Policy no.: "&amp;IF(LEN(INDEX('Vendor COIs'!$D$4:$D$503,(_calc!$E$135-500)))=0,"",INDEX('Vendor COIs'!$D$4:$D$503,(_calc!$E$135-500)))&amp;". ")&amp;IF(LEN(IF(LEN(INDEX('Vendor COIs'!$F$4:$F$503,(_calc!$E$135-500)))=0,"",INDEX('Vendor COIs'!$F$4:$F$503,(_calc!$E$135-500))))=0,"","Meets minimum: "&amp;IF(LEN(INDEX('Vendor COIs'!$F$4:$F$503,(_calc!$E$135-500)))=0,"",INDEX('Vendor COIs'!$F$4:$F$503,(_calc!$E$135-500)))&amp;". ")&amp;IF(LEN(IF(LEN(INDEX('Vendor COIs'!$G$4:$G$503,(_calc!$E$135-500)))=0,"",INDEX('Vendor COIs'!$G$4:$G$503,(_calc!$E$135-500))))=0,"","Additional insured: "&amp;IF(LEN(INDEX('Vendor COIs'!$G$4:$G$503,(_calc!$E$135-500)))=0,"",INDEX('Vendor COIs'!$G$4:$G$503,(_calc!$E$135-500)))&amp;". ")&amp;IF(LEN(IF(LEN(INDEX('Vendor COIs'!$M$4:$M$503,(_calc!$E$135-500)))=0,"",INDEX('Vendor COIs'!$M$4:$M$503,(_calc!$E$135-500))))=0,"","Vendor contact: "&amp;IF(LEN(INDEX('Vendor COIs'!$M$4:$M$503,(_calc!$E$135-500)))=0,"",INDEX('Vendor COIs'!$M$4:$M$503,(_calc!$E$135-500)))&amp;". ")&amp;IF(LEN(IF(LEN(INDEX('Vendor COIs'!$P$4:$P$503,(_calc!$E$135-500)))=0,"",INDEX('Vendor COIs'!$P$4:$P$503,(_calc!$E$135-500))))=0,"",IF(LEN(INDEX('Vendor COIs'!$P$4:$P$503,(_calc!$E$135-500)))=0,"",INDEX('Vendor COIs'!$P$4:$P$503,(_calc!$E$135-500)))))))</f>
        <v/>
      </c>
      <c r="G133" s="46">
        <f>IF(_calc!$E$135="","",IF(_calc!$E$135&lt;=500,IF(LEN(INDEX('Our policies'!$R$4:$R$503,_calc!$E$135))=0,"",INDEX('Our policies'!$R$4:$R$503,_calc!$E$135)),IF(LEN(INDEX('Vendor COIs'!$O$4:$O$503,(_calc!$E$135-500)))=0,"",INDEX('Vendor COIs'!$O$4:$O$503,(_calc!$E$135-500)))))</f>
        <v/>
      </c>
      <c r="H133" s="46">
        <f>IF(_calc!$E$135="","",IF(_calc!$E$135&lt;=500,IF(LEN(INDEX('Our policies'!$G$4:$G$503,_calc!$E$135))=0,"",INDEX('Our policies'!$G$4:$G$503,_calc!$E$135)),""))</f>
        <v/>
      </c>
      <c r="I133" s="46">
        <f>IF(_calc!$E$135="","",IF(_calc!$E$135&lt;=500,IF(LEN(INDEX('Our policies'!$H$4:$H$503,_calc!$E$135))=0,"",INDEX('Our policies'!$H$4:$H$503,_calc!$E$135)),""))</f>
        <v/>
      </c>
      <c r="K133" s="46">
        <f>IF(_calc!$E$135="","",IF(_calc!$E$135&lt;=500,IF(LEN(INDEX('Our policies'!$P$4:$P$503,_calc!$E$135))=0,"",INDEX('Our policies'!$P$4:$P$503,_calc!$E$135)),IF(LEN(INDEX('Vendor COIs'!$N$4:$N$503,(_calc!$E$135-500)))=0,"",INDEX('Vendor COIs'!$N$4:$N$503,(_calc!$E$135-500)))))</f>
        <v/>
      </c>
    </row>
    <row r="134">
      <c r="A134" s="46">
        <f>IF(_calc!$E$136="","",IF(_calc!$E$136&lt;=500,IF(LEN(INDEX('Our policies'!$A$4:$A$503,_calc!$E$136))=0,"",INDEX('Our policies'!$A$4:$A$503,_calc!$E$136)),"COI – "&amp;IF(LEN(INDEX('Vendor COIs'!$A$4:$A$503,(_calc!$E$136-500)))=0,"",INDEX('Vendor COIs'!$A$4:$A$503,(_calc!$E$136-500)))&amp;" – "&amp;IF(LEN(INDEX('Vendor COIs'!$B$4:$B$503,(_calc!$E$136-500)))=0,"",INDEX('Vendor COIs'!$B$4:$B$503,(_calc!$E$136-500)))))</f>
        <v/>
      </c>
      <c r="B134" s="46">
        <f>IF(_calc!$E$136="","",IF(_calc!$E$136&lt;=500,IF(ISNUMBER(INDEX('Our policies'!$J$4:$J$503,_calc!$E$136)),TEXT(INDEX('Our policies'!$J$4:$J$503,_calc!$E$136),"yyyy-mm-dd"),""),IF(ISNUMBER(INDEX('Vendor COIs'!$H$4:$H$503,(_calc!$E$136-500))),TEXT(INDEX('Vendor COIs'!$H$4:$H$503,(_calc!$E$136-500)),"yyyy-mm-dd"),"")))</f>
        <v/>
      </c>
      <c r="C134" s="46">
        <f>IF(_calc!$E$136="","",IF(_calc!$E$136&lt;=500,"Insurance","Certificate of insurance"))</f>
        <v/>
      </c>
      <c r="D134" s="46">
        <f>IF(_calc!$E$136="","",IF(_calc!$E$136&lt;=500,IF(ISNUMBER(INDEX('Our policies'!$I$4:$I$503,_calc!$E$136)),TEXT(INDEX('Our policies'!$I$4:$I$503,_calc!$E$136),"yyyy-mm-dd"),""),""))</f>
        <v/>
      </c>
      <c r="E134" s="46">
        <f>IF(_calc!$E$136="","",IF(_calc!$E$136&lt;=500,IF(LEN(INDEX('Our policies'!$Q$4:$Q$503,_calc!$E$136))=0,"",INDEX('Our policies'!$Q$4:$Q$503,_calc!$E$136)),"Medium"))</f>
        <v/>
      </c>
      <c r="F134" s="46">
        <f>IF(_calc!$E$136="","",IF(_calc!$E$136&lt;=500,TRIM(IF(LEN(IF(LEN(INDEX('Our policies'!$B$4:$B$503,_calc!$E$136))=0,"",INDEX('Our policies'!$B$4:$B$503,_calc!$E$136)))=0,"","Cover: "&amp;IF(LEN(INDEX('Our policies'!$B$4:$B$503,_calc!$E$136))=0,"",INDEX('Our policies'!$B$4:$B$503,_calc!$E$136))&amp;". ")&amp;IF(LEN(IF(LEN(INDEX('Our policies'!$C$4:$C$503,_calc!$E$136))=0,"",INDEX('Our policies'!$C$4:$C$503,_calc!$E$136)))=0,"","Insurer: "&amp;IF(LEN(INDEX('Our policies'!$C$4:$C$503,_calc!$E$136))=0,"",INDEX('Our policies'!$C$4:$C$503,_calc!$E$136))&amp;". ")&amp;IF(LEN(IF(LEN(INDEX('Our policies'!$D$4:$D$503,_calc!$E$136))=0,"",INDEX('Our policies'!$D$4:$D$503,_calc!$E$136)))=0,"","Broker: "&amp;IF(LEN(INDEX('Our policies'!$D$4:$D$503,_calc!$E$136))=0,"",INDEX('Our policies'!$D$4:$D$503,_calc!$E$136))&amp;". ")&amp;IF(LEN(IF(LEN(INDEX('Our policies'!$E$4:$E$503,_calc!$E$136))=0,"",INDEX('Our policies'!$E$4:$E$503,_calc!$E$136)))=0,"","Policy no.: "&amp;IF(LEN(INDEX('Our policies'!$E$4:$E$503,_calc!$E$136))=0,"",INDEX('Our policies'!$E$4:$E$503,_calc!$E$136))&amp;". ")&amp;IF(LEN(IF(LEN(INDEX('Our policies'!$S$4:$S$503,_calc!$E$136))=0,"",INDEX('Our policies'!$S$4:$S$503,_calc!$E$136)))=0,"",IF(LEN(INDEX('Our policies'!$S$4:$S$503,_calc!$E$136))=0,"",INDEX('Our policies'!$S$4:$S$503,_calc!$E$136)))),TRIM(IF(LEN(IF(LEN(INDEX('Vendor COIs'!$C$4:$C$503,(_calc!$E$136-500)))=0,"",INDEX('Vendor COIs'!$C$4:$C$503,(_calc!$E$136-500))))=0,"","Insurer: "&amp;IF(LEN(INDEX('Vendor COIs'!$C$4:$C$503,(_calc!$E$136-500)))=0,"",INDEX('Vendor COIs'!$C$4:$C$503,(_calc!$E$136-500)))&amp;". ")&amp;IF(LEN(IF(LEN(INDEX('Vendor COIs'!$D$4:$D$503,(_calc!$E$136-500)))=0,"",INDEX('Vendor COIs'!$D$4:$D$503,(_calc!$E$136-500))))=0,"","Policy no.: "&amp;IF(LEN(INDEX('Vendor COIs'!$D$4:$D$503,(_calc!$E$136-500)))=0,"",INDEX('Vendor COIs'!$D$4:$D$503,(_calc!$E$136-500)))&amp;". ")&amp;IF(LEN(IF(LEN(INDEX('Vendor COIs'!$F$4:$F$503,(_calc!$E$136-500)))=0,"",INDEX('Vendor COIs'!$F$4:$F$503,(_calc!$E$136-500))))=0,"","Meets minimum: "&amp;IF(LEN(INDEX('Vendor COIs'!$F$4:$F$503,(_calc!$E$136-500)))=0,"",INDEX('Vendor COIs'!$F$4:$F$503,(_calc!$E$136-500)))&amp;". ")&amp;IF(LEN(IF(LEN(INDEX('Vendor COIs'!$G$4:$G$503,(_calc!$E$136-500)))=0,"",INDEX('Vendor COIs'!$G$4:$G$503,(_calc!$E$136-500))))=0,"","Additional insured: "&amp;IF(LEN(INDEX('Vendor COIs'!$G$4:$G$503,(_calc!$E$136-500)))=0,"",INDEX('Vendor COIs'!$G$4:$G$503,(_calc!$E$136-500)))&amp;". ")&amp;IF(LEN(IF(LEN(INDEX('Vendor COIs'!$M$4:$M$503,(_calc!$E$136-500)))=0,"",INDEX('Vendor COIs'!$M$4:$M$503,(_calc!$E$136-500))))=0,"","Vendor contact: "&amp;IF(LEN(INDEX('Vendor COIs'!$M$4:$M$503,(_calc!$E$136-500)))=0,"",INDEX('Vendor COIs'!$M$4:$M$503,(_calc!$E$136-500)))&amp;". ")&amp;IF(LEN(IF(LEN(INDEX('Vendor COIs'!$P$4:$P$503,(_calc!$E$136-500)))=0,"",INDEX('Vendor COIs'!$P$4:$P$503,(_calc!$E$136-500))))=0,"",IF(LEN(INDEX('Vendor COIs'!$P$4:$P$503,(_calc!$E$136-500)))=0,"",INDEX('Vendor COIs'!$P$4:$P$503,(_calc!$E$136-500)))))))</f>
        <v/>
      </c>
      <c r="G134" s="46">
        <f>IF(_calc!$E$136="","",IF(_calc!$E$136&lt;=500,IF(LEN(INDEX('Our policies'!$R$4:$R$503,_calc!$E$136))=0,"",INDEX('Our policies'!$R$4:$R$503,_calc!$E$136)),IF(LEN(INDEX('Vendor COIs'!$O$4:$O$503,(_calc!$E$136-500)))=0,"",INDEX('Vendor COIs'!$O$4:$O$503,(_calc!$E$136-500)))))</f>
        <v/>
      </c>
      <c r="H134" s="46">
        <f>IF(_calc!$E$136="","",IF(_calc!$E$136&lt;=500,IF(LEN(INDEX('Our policies'!$G$4:$G$503,_calc!$E$136))=0,"",INDEX('Our policies'!$G$4:$G$503,_calc!$E$136)),""))</f>
        <v/>
      </c>
      <c r="I134" s="46">
        <f>IF(_calc!$E$136="","",IF(_calc!$E$136&lt;=500,IF(LEN(INDEX('Our policies'!$H$4:$H$503,_calc!$E$136))=0,"",INDEX('Our policies'!$H$4:$H$503,_calc!$E$136)),""))</f>
        <v/>
      </c>
      <c r="K134" s="46">
        <f>IF(_calc!$E$136="","",IF(_calc!$E$136&lt;=500,IF(LEN(INDEX('Our policies'!$P$4:$P$503,_calc!$E$136))=0,"",INDEX('Our policies'!$P$4:$P$503,_calc!$E$136)),IF(LEN(INDEX('Vendor COIs'!$N$4:$N$503,(_calc!$E$136-500)))=0,"",INDEX('Vendor COIs'!$N$4:$N$503,(_calc!$E$136-500)))))</f>
        <v/>
      </c>
    </row>
    <row r="135">
      <c r="A135" s="46">
        <f>IF(_calc!$E$137="","",IF(_calc!$E$137&lt;=500,IF(LEN(INDEX('Our policies'!$A$4:$A$503,_calc!$E$137))=0,"",INDEX('Our policies'!$A$4:$A$503,_calc!$E$137)),"COI – "&amp;IF(LEN(INDEX('Vendor COIs'!$A$4:$A$503,(_calc!$E$137-500)))=0,"",INDEX('Vendor COIs'!$A$4:$A$503,(_calc!$E$137-500)))&amp;" – "&amp;IF(LEN(INDEX('Vendor COIs'!$B$4:$B$503,(_calc!$E$137-500)))=0,"",INDEX('Vendor COIs'!$B$4:$B$503,(_calc!$E$137-500)))))</f>
        <v/>
      </c>
      <c r="B135" s="46">
        <f>IF(_calc!$E$137="","",IF(_calc!$E$137&lt;=500,IF(ISNUMBER(INDEX('Our policies'!$J$4:$J$503,_calc!$E$137)),TEXT(INDEX('Our policies'!$J$4:$J$503,_calc!$E$137),"yyyy-mm-dd"),""),IF(ISNUMBER(INDEX('Vendor COIs'!$H$4:$H$503,(_calc!$E$137-500))),TEXT(INDEX('Vendor COIs'!$H$4:$H$503,(_calc!$E$137-500)),"yyyy-mm-dd"),"")))</f>
        <v/>
      </c>
      <c r="C135" s="46">
        <f>IF(_calc!$E$137="","",IF(_calc!$E$137&lt;=500,"Insurance","Certificate of insurance"))</f>
        <v/>
      </c>
      <c r="D135" s="46">
        <f>IF(_calc!$E$137="","",IF(_calc!$E$137&lt;=500,IF(ISNUMBER(INDEX('Our policies'!$I$4:$I$503,_calc!$E$137)),TEXT(INDEX('Our policies'!$I$4:$I$503,_calc!$E$137),"yyyy-mm-dd"),""),""))</f>
        <v/>
      </c>
      <c r="E135" s="46">
        <f>IF(_calc!$E$137="","",IF(_calc!$E$137&lt;=500,IF(LEN(INDEX('Our policies'!$Q$4:$Q$503,_calc!$E$137))=0,"",INDEX('Our policies'!$Q$4:$Q$503,_calc!$E$137)),"Medium"))</f>
        <v/>
      </c>
      <c r="F135" s="46">
        <f>IF(_calc!$E$137="","",IF(_calc!$E$137&lt;=500,TRIM(IF(LEN(IF(LEN(INDEX('Our policies'!$B$4:$B$503,_calc!$E$137))=0,"",INDEX('Our policies'!$B$4:$B$503,_calc!$E$137)))=0,"","Cover: "&amp;IF(LEN(INDEX('Our policies'!$B$4:$B$503,_calc!$E$137))=0,"",INDEX('Our policies'!$B$4:$B$503,_calc!$E$137))&amp;". ")&amp;IF(LEN(IF(LEN(INDEX('Our policies'!$C$4:$C$503,_calc!$E$137))=0,"",INDEX('Our policies'!$C$4:$C$503,_calc!$E$137)))=0,"","Insurer: "&amp;IF(LEN(INDEX('Our policies'!$C$4:$C$503,_calc!$E$137))=0,"",INDEX('Our policies'!$C$4:$C$503,_calc!$E$137))&amp;". ")&amp;IF(LEN(IF(LEN(INDEX('Our policies'!$D$4:$D$503,_calc!$E$137))=0,"",INDEX('Our policies'!$D$4:$D$503,_calc!$E$137)))=0,"","Broker: "&amp;IF(LEN(INDEX('Our policies'!$D$4:$D$503,_calc!$E$137))=0,"",INDEX('Our policies'!$D$4:$D$503,_calc!$E$137))&amp;". ")&amp;IF(LEN(IF(LEN(INDEX('Our policies'!$E$4:$E$503,_calc!$E$137))=0,"",INDEX('Our policies'!$E$4:$E$503,_calc!$E$137)))=0,"","Policy no.: "&amp;IF(LEN(INDEX('Our policies'!$E$4:$E$503,_calc!$E$137))=0,"",INDEX('Our policies'!$E$4:$E$503,_calc!$E$137))&amp;". ")&amp;IF(LEN(IF(LEN(INDEX('Our policies'!$S$4:$S$503,_calc!$E$137))=0,"",INDEX('Our policies'!$S$4:$S$503,_calc!$E$137)))=0,"",IF(LEN(INDEX('Our policies'!$S$4:$S$503,_calc!$E$137))=0,"",INDEX('Our policies'!$S$4:$S$503,_calc!$E$137)))),TRIM(IF(LEN(IF(LEN(INDEX('Vendor COIs'!$C$4:$C$503,(_calc!$E$137-500)))=0,"",INDEX('Vendor COIs'!$C$4:$C$503,(_calc!$E$137-500))))=0,"","Insurer: "&amp;IF(LEN(INDEX('Vendor COIs'!$C$4:$C$503,(_calc!$E$137-500)))=0,"",INDEX('Vendor COIs'!$C$4:$C$503,(_calc!$E$137-500)))&amp;". ")&amp;IF(LEN(IF(LEN(INDEX('Vendor COIs'!$D$4:$D$503,(_calc!$E$137-500)))=0,"",INDEX('Vendor COIs'!$D$4:$D$503,(_calc!$E$137-500))))=0,"","Policy no.: "&amp;IF(LEN(INDEX('Vendor COIs'!$D$4:$D$503,(_calc!$E$137-500)))=0,"",INDEX('Vendor COIs'!$D$4:$D$503,(_calc!$E$137-500)))&amp;". ")&amp;IF(LEN(IF(LEN(INDEX('Vendor COIs'!$F$4:$F$503,(_calc!$E$137-500)))=0,"",INDEX('Vendor COIs'!$F$4:$F$503,(_calc!$E$137-500))))=0,"","Meets minimum: "&amp;IF(LEN(INDEX('Vendor COIs'!$F$4:$F$503,(_calc!$E$137-500)))=0,"",INDEX('Vendor COIs'!$F$4:$F$503,(_calc!$E$137-500)))&amp;". ")&amp;IF(LEN(IF(LEN(INDEX('Vendor COIs'!$G$4:$G$503,(_calc!$E$137-500)))=0,"",INDEX('Vendor COIs'!$G$4:$G$503,(_calc!$E$137-500))))=0,"","Additional insured: "&amp;IF(LEN(INDEX('Vendor COIs'!$G$4:$G$503,(_calc!$E$137-500)))=0,"",INDEX('Vendor COIs'!$G$4:$G$503,(_calc!$E$137-500)))&amp;". ")&amp;IF(LEN(IF(LEN(INDEX('Vendor COIs'!$M$4:$M$503,(_calc!$E$137-500)))=0,"",INDEX('Vendor COIs'!$M$4:$M$503,(_calc!$E$137-500))))=0,"","Vendor contact: "&amp;IF(LEN(INDEX('Vendor COIs'!$M$4:$M$503,(_calc!$E$137-500)))=0,"",INDEX('Vendor COIs'!$M$4:$M$503,(_calc!$E$137-500)))&amp;". ")&amp;IF(LEN(IF(LEN(INDEX('Vendor COIs'!$P$4:$P$503,(_calc!$E$137-500)))=0,"",INDEX('Vendor COIs'!$P$4:$P$503,(_calc!$E$137-500))))=0,"",IF(LEN(INDEX('Vendor COIs'!$P$4:$P$503,(_calc!$E$137-500)))=0,"",INDEX('Vendor COIs'!$P$4:$P$503,(_calc!$E$137-500)))))))</f>
        <v/>
      </c>
      <c r="G135" s="46">
        <f>IF(_calc!$E$137="","",IF(_calc!$E$137&lt;=500,IF(LEN(INDEX('Our policies'!$R$4:$R$503,_calc!$E$137))=0,"",INDEX('Our policies'!$R$4:$R$503,_calc!$E$137)),IF(LEN(INDEX('Vendor COIs'!$O$4:$O$503,(_calc!$E$137-500)))=0,"",INDEX('Vendor COIs'!$O$4:$O$503,(_calc!$E$137-500)))))</f>
        <v/>
      </c>
      <c r="H135" s="46">
        <f>IF(_calc!$E$137="","",IF(_calc!$E$137&lt;=500,IF(LEN(INDEX('Our policies'!$G$4:$G$503,_calc!$E$137))=0,"",INDEX('Our policies'!$G$4:$G$503,_calc!$E$137)),""))</f>
        <v/>
      </c>
      <c r="I135" s="46">
        <f>IF(_calc!$E$137="","",IF(_calc!$E$137&lt;=500,IF(LEN(INDEX('Our policies'!$H$4:$H$503,_calc!$E$137))=0,"",INDEX('Our policies'!$H$4:$H$503,_calc!$E$137)),""))</f>
        <v/>
      </c>
      <c r="K135" s="46">
        <f>IF(_calc!$E$137="","",IF(_calc!$E$137&lt;=500,IF(LEN(INDEX('Our policies'!$P$4:$P$503,_calc!$E$137))=0,"",INDEX('Our policies'!$P$4:$P$503,_calc!$E$137)),IF(LEN(INDEX('Vendor COIs'!$N$4:$N$503,(_calc!$E$137-500)))=0,"",INDEX('Vendor COIs'!$N$4:$N$503,(_calc!$E$137-500)))))</f>
        <v/>
      </c>
    </row>
    <row r="136">
      <c r="A136" s="46">
        <f>IF(_calc!$E$138="","",IF(_calc!$E$138&lt;=500,IF(LEN(INDEX('Our policies'!$A$4:$A$503,_calc!$E$138))=0,"",INDEX('Our policies'!$A$4:$A$503,_calc!$E$138)),"COI – "&amp;IF(LEN(INDEX('Vendor COIs'!$A$4:$A$503,(_calc!$E$138-500)))=0,"",INDEX('Vendor COIs'!$A$4:$A$503,(_calc!$E$138-500)))&amp;" – "&amp;IF(LEN(INDEX('Vendor COIs'!$B$4:$B$503,(_calc!$E$138-500)))=0,"",INDEX('Vendor COIs'!$B$4:$B$503,(_calc!$E$138-500)))))</f>
        <v/>
      </c>
      <c r="B136" s="46">
        <f>IF(_calc!$E$138="","",IF(_calc!$E$138&lt;=500,IF(ISNUMBER(INDEX('Our policies'!$J$4:$J$503,_calc!$E$138)),TEXT(INDEX('Our policies'!$J$4:$J$503,_calc!$E$138),"yyyy-mm-dd"),""),IF(ISNUMBER(INDEX('Vendor COIs'!$H$4:$H$503,(_calc!$E$138-500))),TEXT(INDEX('Vendor COIs'!$H$4:$H$503,(_calc!$E$138-500)),"yyyy-mm-dd"),"")))</f>
        <v/>
      </c>
      <c r="C136" s="46">
        <f>IF(_calc!$E$138="","",IF(_calc!$E$138&lt;=500,"Insurance","Certificate of insurance"))</f>
        <v/>
      </c>
      <c r="D136" s="46">
        <f>IF(_calc!$E$138="","",IF(_calc!$E$138&lt;=500,IF(ISNUMBER(INDEX('Our policies'!$I$4:$I$503,_calc!$E$138)),TEXT(INDEX('Our policies'!$I$4:$I$503,_calc!$E$138),"yyyy-mm-dd"),""),""))</f>
        <v/>
      </c>
      <c r="E136" s="46">
        <f>IF(_calc!$E$138="","",IF(_calc!$E$138&lt;=500,IF(LEN(INDEX('Our policies'!$Q$4:$Q$503,_calc!$E$138))=0,"",INDEX('Our policies'!$Q$4:$Q$503,_calc!$E$138)),"Medium"))</f>
        <v/>
      </c>
      <c r="F136" s="46">
        <f>IF(_calc!$E$138="","",IF(_calc!$E$138&lt;=500,TRIM(IF(LEN(IF(LEN(INDEX('Our policies'!$B$4:$B$503,_calc!$E$138))=0,"",INDEX('Our policies'!$B$4:$B$503,_calc!$E$138)))=0,"","Cover: "&amp;IF(LEN(INDEX('Our policies'!$B$4:$B$503,_calc!$E$138))=0,"",INDEX('Our policies'!$B$4:$B$503,_calc!$E$138))&amp;". ")&amp;IF(LEN(IF(LEN(INDEX('Our policies'!$C$4:$C$503,_calc!$E$138))=0,"",INDEX('Our policies'!$C$4:$C$503,_calc!$E$138)))=0,"","Insurer: "&amp;IF(LEN(INDEX('Our policies'!$C$4:$C$503,_calc!$E$138))=0,"",INDEX('Our policies'!$C$4:$C$503,_calc!$E$138))&amp;". ")&amp;IF(LEN(IF(LEN(INDEX('Our policies'!$D$4:$D$503,_calc!$E$138))=0,"",INDEX('Our policies'!$D$4:$D$503,_calc!$E$138)))=0,"","Broker: "&amp;IF(LEN(INDEX('Our policies'!$D$4:$D$503,_calc!$E$138))=0,"",INDEX('Our policies'!$D$4:$D$503,_calc!$E$138))&amp;". ")&amp;IF(LEN(IF(LEN(INDEX('Our policies'!$E$4:$E$503,_calc!$E$138))=0,"",INDEX('Our policies'!$E$4:$E$503,_calc!$E$138)))=0,"","Policy no.: "&amp;IF(LEN(INDEX('Our policies'!$E$4:$E$503,_calc!$E$138))=0,"",INDEX('Our policies'!$E$4:$E$503,_calc!$E$138))&amp;". ")&amp;IF(LEN(IF(LEN(INDEX('Our policies'!$S$4:$S$503,_calc!$E$138))=0,"",INDEX('Our policies'!$S$4:$S$503,_calc!$E$138)))=0,"",IF(LEN(INDEX('Our policies'!$S$4:$S$503,_calc!$E$138))=0,"",INDEX('Our policies'!$S$4:$S$503,_calc!$E$138)))),TRIM(IF(LEN(IF(LEN(INDEX('Vendor COIs'!$C$4:$C$503,(_calc!$E$138-500)))=0,"",INDEX('Vendor COIs'!$C$4:$C$503,(_calc!$E$138-500))))=0,"","Insurer: "&amp;IF(LEN(INDEX('Vendor COIs'!$C$4:$C$503,(_calc!$E$138-500)))=0,"",INDEX('Vendor COIs'!$C$4:$C$503,(_calc!$E$138-500)))&amp;". ")&amp;IF(LEN(IF(LEN(INDEX('Vendor COIs'!$D$4:$D$503,(_calc!$E$138-500)))=0,"",INDEX('Vendor COIs'!$D$4:$D$503,(_calc!$E$138-500))))=0,"","Policy no.: "&amp;IF(LEN(INDEX('Vendor COIs'!$D$4:$D$503,(_calc!$E$138-500)))=0,"",INDEX('Vendor COIs'!$D$4:$D$503,(_calc!$E$138-500)))&amp;". ")&amp;IF(LEN(IF(LEN(INDEX('Vendor COIs'!$F$4:$F$503,(_calc!$E$138-500)))=0,"",INDEX('Vendor COIs'!$F$4:$F$503,(_calc!$E$138-500))))=0,"","Meets minimum: "&amp;IF(LEN(INDEX('Vendor COIs'!$F$4:$F$503,(_calc!$E$138-500)))=0,"",INDEX('Vendor COIs'!$F$4:$F$503,(_calc!$E$138-500)))&amp;". ")&amp;IF(LEN(IF(LEN(INDEX('Vendor COIs'!$G$4:$G$503,(_calc!$E$138-500)))=0,"",INDEX('Vendor COIs'!$G$4:$G$503,(_calc!$E$138-500))))=0,"","Additional insured: "&amp;IF(LEN(INDEX('Vendor COIs'!$G$4:$G$503,(_calc!$E$138-500)))=0,"",INDEX('Vendor COIs'!$G$4:$G$503,(_calc!$E$138-500)))&amp;". ")&amp;IF(LEN(IF(LEN(INDEX('Vendor COIs'!$M$4:$M$503,(_calc!$E$138-500)))=0,"",INDEX('Vendor COIs'!$M$4:$M$503,(_calc!$E$138-500))))=0,"","Vendor contact: "&amp;IF(LEN(INDEX('Vendor COIs'!$M$4:$M$503,(_calc!$E$138-500)))=0,"",INDEX('Vendor COIs'!$M$4:$M$503,(_calc!$E$138-500)))&amp;". ")&amp;IF(LEN(IF(LEN(INDEX('Vendor COIs'!$P$4:$P$503,(_calc!$E$138-500)))=0,"",INDEX('Vendor COIs'!$P$4:$P$503,(_calc!$E$138-500))))=0,"",IF(LEN(INDEX('Vendor COIs'!$P$4:$P$503,(_calc!$E$138-500)))=0,"",INDEX('Vendor COIs'!$P$4:$P$503,(_calc!$E$138-500)))))))</f>
        <v/>
      </c>
      <c r="G136" s="46">
        <f>IF(_calc!$E$138="","",IF(_calc!$E$138&lt;=500,IF(LEN(INDEX('Our policies'!$R$4:$R$503,_calc!$E$138))=0,"",INDEX('Our policies'!$R$4:$R$503,_calc!$E$138)),IF(LEN(INDEX('Vendor COIs'!$O$4:$O$503,(_calc!$E$138-500)))=0,"",INDEX('Vendor COIs'!$O$4:$O$503,(_calc!$E$138-500)))))</f>
        <v/>
      </c>
      <c r="H136" s="46">
        <f>IF(_calc!$E$138="","",IF(_calc!$E$138&lt;=500,IF(LEN(INDEX('Our policies'!$G$4:$G$503,_calc!$E$138))=0,"",INDEX('Our policies'!$G$4:$G$503,_calc!$E$138)),""))</f>
        <v/>
      </c>
      <c r="I136" s="46">
        <f>IF(_calc!$E$138="","",IF(_calc!$E$138&lt;=500,IF(LEN(INDEX('Our policies'!$H$4:$H$503,_calc!$E$138))=0,"",INDEX('Our policies'!$H$4:$H$503,_calc!$E$138)),""))</f>
        <v/>
      </c>
      <c r="K136" s="46">
        <f>IF(_calc!$E$138="","",IF(_calc!$E$138&lt;=500,IF(LEN(INDEX('Our policies'!$P$4:$P$503,_calc!$E$138))=0,"",INDEX('Our policies'!$P$4:$P$503,_calc!$E$138)),IF(LEN(INDEX('Vendor COIs'!$N$4:$N$503,(_calc!$E$138-500)))=0,"",INDEX('Vendor COIs'!$N$4:$N$503,(_calc!$E$138-500)))))</f>
        <v/>
      </c>
    </row>
    <row r="137">
      <c r="A137" s="46">
        <f>IF(_calc!$E$139="","",IF(_calc!$E$139&lt;=500,IF(LEN(INDEX('Our policies'!$A$4:$A$503,_calc!$E$139))=0,"",INDEX('Our policies'!$A$4:$A$503,_calc!$E$139)),"COI – "&amp;IF(LEN(INDEX('Vendor COIs'!$A$4:$A$503,(_calc!$E$139-500)))=0,"",INDEX('Vendor COIs'!$A$4:$A$503,(_calc!$E$139-500)))&amp;" – "&amp;IF(LEN(INDEX('Vendor COIs'!$B$4:$B$503,(_calc!$E$139-500)))=0,"",INDEX('Vendor COIs'!$B$4:$B$503,(_calc!$E$139-500)))))</f>
        <v/>
      </c>
      <c r="B137" s="46">
        <f>IF(_calc!$E$139="","",IF(_calc!$E$139&lt;=500,IF(ISNUMBER(INDEX('Our policies'!$J$4:$J$503,_calc!$E$139)),TEXT(INDEX('Our policies'!$J$4:$J$503,_calc!$E$139),"yyyy-mm-dd"),""),IF(ISNUMBER(INDEX('Vendor COIs'!$H$4:$H$503,(_calc!$E$139-500))),TEXT(INDEX('Vendor COIs'!$H$4:$H$503,(_calc!$E$139-500)),"yyyy-mm-dd"),"")))</f>
        <v/>
      </c>
      <c r="C137" s="46">
        <f>IF(_calc!$E$139="","",IF(_calc!$E$139&lt;=500,"Insurance","Certificate of insurance"))</f>
        <v/>
      </c>
      <c r="D137" s="46">
        <f>IF(_calc!$E$139="","",IF(_calc!$E$139&lt;=500,IF(ISNUMBER(INDEX('Our policies'!$I$4:$I$503,_calc!$E$139)),TEXT(INDEX('Our policies'!$I$4:$I$503,_calc!$E$139),"yyyy-mm-dd"),""),""))</f>
        <v/>
      </c>
      <c r="E137" s="46">
        <f>IF(_calc!$E$139="","",IF(_calc!$E$139&lt;=500,IF(LEN(INDEX('Our policies'!$Q$4:$Q$503,_calc!$E$139))=0,"",INDEX('Our policies'!$Q$4:$Q$503,_calc!$E$139)),"Medium"))</f>
        <v/>
      </c>
      <c r="F137" s="46">
        <f>IF(_calc!$E$139="","",IF(_calc!$E$139&lt;=500,TRIM(IF(LEN(IF(LEN(INDEX('Our policies'!$B$4:$B$503,_calc!$E$139))=0,"",INDEX('Our policies'!$B$4:$B$503,_calc!$E$139)))=0,"","Cover: "&amp;IF(LEN(INDEX('Our policies'!$B$4:$B$503,_calc!$E$139))=0,"",INDEX('Our policies'!$B$4:$B$503,_calc!$E$139))&amp;". ")&amp;IF(LEN(IF(LEN(INDEX('Our policies'!$C$4:$C$503,_calc!$E$139))=0,"",INDEX('Our policies'!$C$4:$C$503,_calc!$E$139)))=0,"","Insurer: "&amp;IF(LEN(INDEX('Our policies'!$C$4:$C$503,_calc!$E$139))=0,"",INDEX('Our policies'!$C$4:$C$503,_calc!$E$139))&amp;". ")&amp;IF(LEN(IF(LEN(INDEX('Our policies'!$D$4:$D$503,_calc!$E$139))=0,"",INDEX('Our policies'!$D$4:$D$503,_calc!$E$139)))=0,"","Broker: "&amp;IF(LEN(INDEX('Our policies'!$D$4:$D$503,_calc!$E$139))=0,"",INDEX('Our policies'!$D$4:$D$503,_calc!$E$139))&amp;". ")&amp;IF(LEN(IF(LEN(INDEX('Our policies'!$E$4:$E$503,_calc!$E$139))=0,"",INDEX('Our policies'!$E$4:$E$503,_calc!$E$139)))=0,"","Policy no.: "&amp;IF(LEN(INDEX('Our policies'!$E$4:$E$503,_calc!$E$139))=0,"",INDEX('Our policies'!$E$4:$E$503,_calc!$E$139))&amp;". ")&amp;IF(LEN(IF(LEN(INDEX('Our policies'!$S$4:$S$503,_calc!$E$139))=0,"",INDEX('Our policies'!$S$4:$S$503,_calc!$E$139)))=0,"",IF(LEN(INDEX('Our policies'!$S$4:$S$503,_calc!$E$139))=0,"",INDEX('Our policies'!$S$4:$S$503,_calc!$E$139)))),TRIM(IF(LEN(IF(LEN(INDEX('Vendor COIs'!$C$4:$C$503,(_calc!$E$139-500)))=0,"",INDEX('Vendor COIs'!$C$4:$C$503,(_calc!$E$139-500))))=0,"","Insurer: "&amp;IF(LEN(INDEX('Vendor COIs'!$C$4:$C$503,(_calc!$E$139-500)))=0,"",INDEX('Vendor COIs'!$C$4:$C$503,(_calc!$E$139-500)))&amp;". ")&amp;IF(LEN(IF(LEN(INDEX('Vendor COIs'!$D$4:$D$503,(_calc!$E$139-500)))=0,"",INDEX('Vendor COIs'!$D$4:$D$503,(_calc!$E$139-500))))=0,"","Policy no.: "&amp;IF(LEN(INDEX('Vendor COIs'!$D$4:$D$503,(_calc!$E$139-500)))=0,"",INDEX('Vendor COIs'!$D$4:$D$503,(_calc!$E$139-500)))&amp;". ")&amp;IF(LEN(IF(LEN(INDEX('Vendor COIs'!$F$4:$F$503,(_calc!$E$139-500)))=0,"",INDEX('Vendor COIs'!$F$4:$F$503,(_calc!$E$139-500))))=0,"","Meets minimum: "&amp;IF(LEN(INDEX('Vendor COIs'!$F$4:$F$503,(_calc!$E$139-500)))=0,"",INDEX('Vendor COIs'!$F$4:$F$503,(_calc!$E$139-500)))&amp;". ")&amp;IF(LEN(IF(LEN(INDEX('Vendor COIs'!$G$4:$G$503,(_calc!$E$139-500)))=0,"",INDEX('Vendor COIs'!$G$4:$G$503,(_calc!$E$139-500))))=0,"","Additional insured: "&amp;IF(LEN(INDEX('Vendor COIs'!$G$4:$G$503,(_calc!$E$139-500)))=0,"",INDEX('Vendor COIs'!$G$4:$G$503,(_calc!$E$139-500)))&amp;". ")&amp;IF(LEN(IF(LEN(INDEX('Vendor COIs'!$M$4:$M$503,(_calc!$E$139-500)))=0,"",INDEX('Vendor COIs'!$M$4:$M$503,(_calc!$E$139-500))))=0,"","Vendor contact: "&amp;IF(LEN(INDEX('Vendor COIs'!$M$4:$M$503,(_calc!$E$139-500)))=0,"",INDEX('Vendor COIs'!$M$4:$M$503,(_calc!$E$139-500)))&amp;". ")&amp;IF(LEN(IF(LEN(INDEX('Vendor COIs'!$P$4:$P$503,(_calc!$E$139-500)))=0,"",INDEX('Vendor COIs'!$P$4:$P$503,(_calc!$E$139-500))))=0,"",IF(LEN(INDEX('Vendor COIs'!$P$4:$P$503,(_calc!$E$139-500)))=0,"",INDEX('Vendor COIs'!$P$4:$P$503,(_calc!$E$139-500)))))))</f>
        <v/>
      </c>
      <c r="G137" s="46">
        <f>IF(_calc!$E$139="","",IF(_calc!$E$139&lt;=500,IF(LEN(INDEX('Our policies'!$R$4:$R$503,_calc!$E$139))=0,"",INDEX('Our policies'!$R$4:$R$503,_calc!$E$139)),IF(LEN(INDEX('Vendor COIs'!$O$4:$O$503,(_calc!$E$139-500)))=0,"",INDEX('Vendor COIs'!$O$4:$O$503,(_calc!$E$139-500)))))</f>
        <v/>
      </c>
      <c r="H137" s="46">
        <f>IF(_calc!$E$139="","",IF(_calc!$E$139&lt;=500,IF(LEN(INDEX('Our policies'!$G$4:$G$503,_calc!$E$139))=0,"",INDEX('Our policies'!$G$4:$G$503,_calc!$E$139)),""))</f>
        <v/>
      </c>
      <c r="I137" s="46">
        <f>IF(_calc!$E$139="","",IF(_calc!$E$139&lt;=500,IF(LEN(INDEX('Our policies'!$H$4:$H$503,_calc!$E$139))=0,"",INDEX('Our policies'!$H$4:$H$503,_calc!$E$139)),""))</f>
        <v/>
      </c>
      <c r="K137" s="46">
        <f>IF(_calc!$E$139="","",IF(_calc!$E$139&lt;=500,IF(LEN(INDEX('Our policies'!$P$4:$P$503,_calc!$E$139))=0,"",INDEX('Our policies'!$P$4:$P$503,_calc!$E$139)),IF(LEN(INDEX('Vendor COIs'!$N$4:$N$503,(_calc!$E$139-500)))=0,"",INDEX('Vendor COIs'!$N$4:$N$503,(_calc!$E$139-500)))))</f>
        <v/>
      </c>
    </row>
    <row r="138">
      <c r="A138" s="46">
        <f>IF(_calc!$E$140="","",IF(_calc!$E$140&lt;=500,IF(LEN(INDEX('Our policies'!$A$4:$A$503,_calc!$E$140))=0,"",INDEX('Our policies'!$A$4:$A$503,_calc!$E$140)),"COI – "&amp;IF(LEN(INDEX('Vendor COIs'!$A$4:$A$503,(_calc!$E$140-500)))=0,"",INDEX('Vendor COIs'!$A$4:$A$503,(_calc!$E$140-500)))&amp;" – "&amp;IF(LEN(INDEX('Vendor COIs'!$B$4:$B$503,(_calc!$E$140-500)))=0,"",INDEX('Vendor COIs'!$B$4:$B$503,(_calc!$E$140-500)))))</f>
        <v/>
      </c>
      <c r="B138" s="46">
        <f>IF(_calc!$E$140="","",IF(_calc!$E$140&lt;=500,IF(ISNUMBER(INDEX('Our policies'!$J$4:$J$503,_calc!$E$140)),TEXT(INDEX('Our policies'!$J$4:$J$503,_calc!$E$140),"yyyy-mm-dd"),""),IF(ISNUMBER(INDEX('Vendor COIs'!$H$4:$H$503,(_calc!$E$140-500))),TEXT(INDEX('Vendor COIs'!$H$4:$H$503,(_calc!$E$140-500)),"yyyy-mm-dd"),"")))</f>
        <v/>
      </c>
      <c r="C138" s="46">
        <f>IF(_calc!$E$140="","",IF(_calc!$E$140&lt;=500,"Insurance","Certificate of insurance"))</f>
        <v/>
      </c>
      <c r="D138" s="46">
        <f>IF(_calc!$E$140="","",IF(_calc!$E$140&lt;=500,IF(ISNUMBER(INDEX('Our policies'!$I$4:$I$503,_calc!$E$140)),TEXT(INDEX('Our policies'!$I$4:$I$503,_calc!$E$140),"yyyy-mm-dd"),""),""))</f>
        <v/>
      </c>
      <c r="E138" s="46">
        <f>IF(_calc!$E$140="","",IF(_calc!$E$140&lt;=500,IF(LEN(INDEX('Our policies'!$Q$4:$Q$503,_calc!$E$140))=0,"",INDEX('Our policies'!$Q$4:$Q$503,_calc!$E$140)),"Medium"))</f>
        <v/>
      </c>
      <c r="F138" s="46">
        <f>IF(_calc!$E$140="","",IF(_calc!$E$140&lt;=500,TRIM(IF(LEN(IF(LEN(INDEX('Our policies'!$B$4:$B$503,_calc!$E$140))=0,"",INDEX('Our policies'!$B$4:$B$503,_calc!$E$140)))=0,"","Cover: "&amp;IF(LEN(INDEX('Our policies'!$B$4:$B$503,_calc!$E$140))=0,"",INDEX('Our policies'!$B$4:$B$503,_calc!$E$140))&amp;". ")&amp;IF(LEN(IF(LEN(INDEX('Our policies'!$C$4:$C$503,_calc!$E$140))=0,"",INDEX('Our policies'!$C$4:$C$503,_calc!$E$140)))=0,"","Insurer: "&amp;IF(LEN(INDEX('Our policies'!$C$4:$C$503,_calc!$E$140))=0,"",INDEX('Our policies'!$C$4:$C$503,_calc!$E$140))&amp;". ")&amp;IF(LEN(IF(LEN(INDEX('Our policies'!$D$4:$D$503,_calc!$E$140))=0,"",INDEX('Our policies'!$D$4:$D$503,_calc!$E$140)))=0,"","Broker: "&amp;IF(LEN(INDEX('Our policies'!$D$4:$D$503,_calc!$E$140))=0,"",INDEX('Our policies'!$D$4:$D$503,_calc!$E$140))&amp;". ")&amp;IF(LEN(IF(LEN(INDEX('Our policies'!$E$4:$E$503,_calc!$E$140))=0,"",INDEX('Our policies'!$E$4:$E$503,_calc!$E$140)))=0,"","Policy no.: "&amp;IF(LEN(INDEX('Our policies'!$E$4:$E$503,_calc!$E$140))=0,"",INDEX('Our policies'!$E$4:$E$503,_calc!$E$140))&amp;". ")&amp;IF(LEN(IF(LEN(INDEX('Our policies'!$S$4:$S$503,_calc!$E$140))=0,"",INDEX('Our policies'!$S$4:$S$503,_calc!$E$140)))=0,"",IF(LEN(INDEX('Our policies'!$S$4:$S$503,_calc!$E$140))=0,"",INDEX('Our policies'!$S$4:$S$503,_calc!$E$140)))),TRIM(IF(LEN(IF(LEN(INDEX('Vendor COIs'!$C$4:$C$503,(_calc!$E$140-500)))=0,"",INDEX('Vendor COIs'!$C$4:$C$503,(_calc!$E$140-500))))=0,"","Insurer: "&amp;IF(LEN(INDEX('Vendor COIs'!$C$4:$C$503,(_calc!$E$140-500)))=0,"",INDEX('Vendor COIs'!$C$4:$C$503,(_calc!$E$140-500)))&amp;". ")&amp;IF(LEN(IF(LEN(INDEX('Vendor COIs'!$D$4:$D$503,(_calc!$E$140-500)))=0,"",INDEX('Vendor COIs'!$D$4:$D$503,(_calc!$E$140-500))))=0,"","Policy no.: "&amp;IF(LEN(INDEX('Vendor COIs'!$D$4:$D$503,(_calc!$E$140-500)))=0,"",INDEX('Vendor COIs'!$D$4:$D$503,(_calc!$E$140-500)))&amp;". ")&amp;IF(LEN(IF(LEN(INDEX('Vendor COIs'!$F$4:$F$503,(_calc!$E$140-500)))=0,"",INDEX('Vendor COIs'!$F$4:$F$503,(_calc!$E$140-500))))=0,"","Meets minimum: "&amp;IF(LEN(INDEX('Vendor COIs'!$F$4:$F$503,(_calc!$E$140-500)))=0,"",INDEX('Vendor COIs'!$F$4:$F$503,(_calc!$E$140-500)))&amp;". ")&amp;IF(LEN(IF(LEN(INDEX('Vendor COIs'!$G$4:$G$503,(_calc!$E$140-500)))=0,"",INDEX('Vendor COIs'!$G$4:$G$503,(_calc!$E$140-500))))=0,"","Additional insured: "&amp;IF(LEN(INDEX('Vendor COIs'!$G$4:$G$503,(_calc!$E$140-500)))=0,"",INDEX('Vendor COIs'!$G$4:$G$503,(_calc!$E$140-500)))&amp;". ")&amp;IF(LEN(IF(LEN(INDEX('Vendor COIs'!$M$4:$M$503,(_calc!$E$140-500)))=0,"",INDEX('Vendor COIs'!$M$4:$M$503,(_calc!$E$140-500))))=0,"","Vendor contact: "&amp;IF(LEN(INDEX('Vendor COIs'!$M$4:$M$503,(_calc!$E$140-500)))=0,"",INDEX('Vendor COIs'!$M$4:$M$503,(_calc!$E$140-500)))&amp;". ")&amp;IF(LEN(IF(LEN(INDEX('Vendor COIs'!$P$4:$P$503,(_calc!$E$140-500)))=0,"",INDEX('Vendor COIs'!$P$4:$P$503,(_calc!$E$140-500))))=0,"",IF(LEN(INDEX('Vendor COIs'!$P$4:$P$503,(_calc!$E$140-500)))=0,"",INDEX('Vendor COIs'!$P$4:$P$503,(_calc!$E$140-500)))))))</f>
        <v/>
      </c>
      <c r="G138" s="46">
        <f>IF(_calc!$E$140="","",IF(_calc!$E$140&lt;=500,IF(LEN(INDEX('Our policies'!$R$4:$R$503,_calc!$E$140))=0,"",INDEX('Our policies'!$R$4:$R$503,_calc!$E$140)),IF(LEN(INDEX('Vendor COIs'!$O$4:$O$503,(_calc!$E$140-500)))=0,"",INDEX('Vendor COIs'!$O$4:$O$503,(_calc!$E$140-500)))))</f>
        <v/>
      </c>
      <c r="H138" s="46">
        <f>IF(_calc!$E$140="","",IF(_calc!$E$140&lt;=500,IF(LEN(INDEX('Our policies'!$G$4:$G$503,_calc!$E$140))=0,"",INDEX('Our policies'!$G$4:$G$503,_calc!$E$140)),""))</f>
        <v/>
      </c>
      <c r="I138" s="46">
        <f>IF(_calc!$E$140="","",IF(_calc!$E$140&lt;=500,IF(LEN(INDEX('Our policies'!$H$4:$H$503,_calc!$E$140))=0,"",INDEX('Our policies'!$H$4:$H$503,_calc!$E$140)),""))</f>
        <v/>
      </c>
      <c r="K138" s="46">
        <f>IF(_calc!$E$140="","",IF(_calc!$E$140&lt;=500,IF(LEN(INDEX('Our policies'!$P$4:$P$503,_calc!$E$140))=0,"",INDEX('Our policies'!$P$4:$P$503,_calc!$E$140)),IF(LEN(INDEX('Vendor COIs'!$N$4:$N$503,(_calc!$E$140-500)))=0,"",INDEX('Vendor COIs'!$N$4:$N$503,(_calc!$E$140-500)))))</f>
        <v/>
      </c>
    </row>
    <row r="139">
      <c r="A139" s="46">
        <f>IF(_calc!$E$141="","",IF(_calc!$E$141&lt;=500,IF(LEN(INDEX('Our policies'!$A$4:$A$503,_calc!$E$141))=0,"",INDEX('Our policies'!$A$4:$A$503,_calc!$E$141)),"COI – "&amp;IF(LEN(INDEX('Vendor COIs'!$A$4:$A$503,(_calc!$E$141-500)))=0,"",INDEX('Vendor COIs'!$A$4:$A$503,(_calc!$E$141-500)))&amp;" – "&amp;IF(LEN(INDEX('Vendor COIs'!$B$4:$B$503,(_calc!$E$141-500)))=0,"",INDEX('Vendor COIs'!$B$4:$B$503,(_calc!$E$141-500)))))</f>
        <v/>
      </c>
      <c r="B139" s="46">
        <f>IF(_calc!$E$141="","",IF(_calc!$E$141&lt;=500,IF(ISNUMBER(INDEX('Our policies'!$J$4:$J$503,_calc!$E$141)),TEXT(INDEX('Our policies'!$J$4:$J$503,_calc!$E$141),"yyyy-mm-dd"),""),IF(ISNUMBER(INDEX('Vendor COIs'!$H$4:$H$503,(_calc!$E$141-500))),TEXT(INDEX('Vendor COIs'!$H$4:$H$503,(_calc!$E$141-500)),"yyyy-mm-dd"),"")))</f>
        <v/>
      </c>
      <c r="C139" s="46">
        <f>IF(_calc!$E$141="","",IF(_calc!$E$141&lt;=500,"Insurance","Certificate of insurance"))</f>
        <v/>
      </c>
      <c r="D139" s="46">
        <f>IF(_calc!$E$141="","",IF(_calc!$E$141&lt;=500,IF(ISNUMBER(INDEX('Our policies'!$I$4:$I$503,_calc!$E$141)),TEXT(INDEX('Our policies'!$I$4:$I$503,_calc!$E$141),"yyyy-mm-dd"),""),""))</f>
        <v/>
      </c>
      <c r="E139" s="46">
        <f>IF(_calc!$E$141="","",IF(_calc!$E$141&lt;=500,IF(LEN(INDEX('Our policies'!$Q$4:$Q$503,_calc!$E$141))=0,"",INDEX('Our policies'!$Q$4:$Q$503,_calc!$E$141)),"Medium"))</f>
        <v/>
      </c>
      <c r="F139" s="46">
        <f>IF(_calc!$E$141="","",IF(_calc!$E$141&lt;=500,TRIM(IF(LEN(IF(LEN(INDEX('Our policies'!$B$4:$B$503,_calc!$E$141))=0,"",INDEX('Our policies'!$B$4:$B$503,_calc!$E$141)))=0,"","Cover: "&amp;IF(LEN(INDEX('Our policies'!$B$4:$B$503,_calc!$E$141))=0,"",INDEX('Our policies'!$B$4:$B$503,_calc!$E$141))&amp;". ")&amp;IF(LEN(IF(LEN(INDEX('Our policies'!$C$4:$C$503,_calc!$E$141))=0,"",INDEX('Our policies'!$C$4:$C$503,_calc!$E$141)))=0,"","Insurer: "&amp;IF(LEN(INDEX('Our policies'!$C$4:$C$503,_calc!$E$141))=0,"",INDEX('Our policies'!$C$4:$C$503,_calc!$E$141))&amp;". ")&amp;IF(LEN(IF(LEN(INDEX('Our policies'!$D$4:$D$503,_calc!$E$141))=0,"",INDEX('Our policies'!$D$4:$D$503,_calc!$E$141)))=0,"","Broker: "&amp;IF(LEN(INDEX('Our policies'!$D$4:$D$503,_calc!$E$141))=0,"",INDEX('Our policies'!$D$4:$D$503,_calc!$E$141))&amp;". ")&amp;IF(LEN(IF(LEN(INDEX('Our policies'!$E$4:$E$503,_calc!$E$141))=0,"",INDEX('Our policies'!$E$4:$E$503,_calc!$E$141)))=0,"","Policy no.: "&amp;IF(LEN(INDEX('Our policies'!$E$4:$E$503,_calc!$E$141))=0,"",INDEX('Our policies'!$E$4:$E$503,_calc!$E$141))&amp;". ")&amp;IF(LEN(IF(LEN(INDEX('Our policies'!$S$4:$S$503,_calc!$E$141))=0,"",INDEX('Our policies'!$S$4:$S$503,_calc!$E$141)))=0,"",IF(LEN(INDEX('Our policies'!$S$4:$S$503,_calc!$E$141))=0,"",INDEX('Our policies'!$S$4:$S$503,_calc!$E$141)))),TRIM(IF(LEN(IF(LEN(INDEX('Vendor COIs'!$C$4:$C$503,(_calc!$E$141-500)))=0,"",INDEX('Vendor COIs'!$C$4:$C$503,(_calc!$E$141-500))))=0,"","Insurer: "&amp;IF(LEN(INDEX('Vendor COIs'!$C$4:$C$503,(_calc!$E$141-500)))=0,"",INDEX('Vendor COIs'!$C$4:$C$503,(_calc!$E$141-500)))&amp;". ")&amp;IF(LEN(IF(LEN(INDEX('Vendor COIs'!$D$4:$D$503,(_calc!$E$141-500)))=0,"",INDEX('Vendor COIs'!$D$4:$D$503,(_calc!$E$141-500))))=0,"","Policy no.: "&amp;IF(LEN(INDEX('Vendor COIs'!$D$4:$D$503,(_calc!$E$141-500)))=0,"",INDEX('Vendor COIs'!$D$4:$D$503,(_calc!$E$141-500)))&amp;". ")&amp;IF(LEN(IF(LEN(INDEX('Vendor COIs'!$F$4:$F$503,(_calc!$E$141-500)))=0,"",INDEX('Vendor COIs'!$F$4:$F$503,(_calc!$E$141-500))))=0,"","Meets minimum: "&amp;IF(LEN(INDEX('Vendor COIs'!$F$4:$F$503,(_calc!$E$141-500)))=0,"",INDEX('Vendor COIs'!$F$4:$F$503,(_calc!$E$141-500)))&amp;". ")&amp;IF(LEN(IF(LEN(INDEX('Vendor COIs'!$G$4:$G$503,(_calc!$E$141-500)))=0,"",INDEX('Vendor COIs'!$G$4:$G$503,(_calc!$E$141-500))))=0,"","Additional insured: "&amp;IF(LEN(INDEX('Vendor COIs'!$G$4:$G$503,(_calc!$E$141-500)))=0,"",INDEX('Vendor COIs'!$G$4:$G$503,(_calc!$E$141-500)))&amp;". ")&amp;IF(LEN(IF(LEN(INDEX('Vendor COIs'!$M$4:$M$503,(_calc!$E$141-500)))=0,"",INDEX('Vendor COIs'!$M$4:$M$503,(_calc!$E$141-500))))=0,"","Vendor contact: "&amp;IF(LEN(INDEX('Vendor COIs'!$M$4:$M$503,(_calc!$E$141-500)))=0,"",INDEX('Vendor COIs'!$M$4:$M$503,(_calc!$E$141-500)))&amp;". ")&amp;IF(LEN(IF(LEN(INDEX('Vendor COIs'!$P$4:$P$503,(_calc!$E$141-500)))=0,"",INDEX('Vendor COIs'!$P$4:$P$503,(_calc!$E$141-500))))=0,"",IF(LEN(INDEX('Vendor COIs'!$P$4:$P$503,(_calc!$E$141-500)))=0,"",INDEX('Vendor COIs'!$P$4:$P$503,(_calc!$E$141-500)))))))</f>
        <v/>
      </c>
      <c r="G139" s="46">
        <f>IF(_calc!$E$141="","",IF(_calc!$E$141&lt;=500,IF(LEN(INDEX('Our policies'!$R$4:$R$503,_calc!$E$141))=0,"",INDEX('Our policies'!$R$4:$R$503,_calc!$E$141)),IF(LEN(INDEX('Vendor COIs'!$O$4:$O$503,(_calc!$E$141-500)))=0,"",INDEX('Vendor COIs'!$O$4:$O$503,(_calc!$E$141-500)))))</f>
        <v/>
      </c>
      <c r="H139" s="46">
        <f>IF(_calc!$E$141="","",IF(_calc!$E$141&lt;=500,IF(LEN(INDEX('Our policies'!$G$4:$G$503,_calc!$E$141))=0,"",INDEX('Our policies'!$G$4:$G$503,_calc!$E$141)),""))</f>
        <v/>
      </c>
      <c r="I139" s="46">
        <f>IF(_calc!$E$141="","",IF(_calc!$E$141&lt;=500,IF(LEN(INDEX('Our policies'!$H$4:$H$503,_calc!$E$141))=0,"",INDEX('Our policies'!$H$4:$H$503,_calc!$E$141)),""))</f>
        <v/>
      </c>
      <c r="K139" s="46">
        <f>IF(_calc!$E$141="","",IF(_calc!$E$141&lt;=500,IF(LEN(INDEX('Our policies'!$P$4:$P$503,_calc!$E$141))=0,"",INDEX('Our policies'!$P$4:$P$503,_calc!$E$141)),IF(LEN(INDEX('Vendor COIs'!$N$4:$N$503,(_calc!$E$141-500)))=0,"",INDEX('Vendor COIs'!$N$4:$N$503,(_calc!$E$141-500)))))</f>
        <v/>
      </c>
    </row>
    <row r="140">
      <c r="A140" s="46">
        <f>IF(_calc!$E$142="","",IF(_calc!$E$142&lt;=500,IF(LEN(INDEX('Our policies'!$A$4:$A$503,_calc!$E$142))=0,"",INDEX('Our policies'!$A$4:$A$503,_calc!$E$142)),"COI – "&amp;IF(LEN(INDEX('Vendor COIs'!$A$4:$A$503,(_calc!$E$142-500)))=0,"",INDEX('Vendor COIs'!$A$4:$A$503,(_calc!$E$142-500)))&amp;" – "&amp;IF(LEN(INDEX('Vendor COIs'!$B$4:$B$503,(_calc!$E$142-500)))=0,"",INDEX('Vendor COIs'!$B$4:$B$503,(_calc!$E$142-500)))))</f>
        <v/>
      </c>
      <c r="B140" s="46">
        <f>IF(_calc!$E$142="","",IF(_calc!$E$142&lt;=500,IF(ISNUMBER(INDEX('Our policies'!$J$4:$J$503,_calc!$E$142)),TEXT(INDEX('Our policies'!$J$4:$J$503,_calc!$E$142),"yyyy-mm-dd"),""),IF(ISNUMBER(INDEX('Vendor COIs'!$H$4:$H$503,(_calc!$E$142-500))),TEXT(INDEX('Vendor COIs'!$H$4:$H$503,(_calc!$E$142-500)),"yyyy-mm-dd"),"")))</f>
        <v/>
      </c>
      <c r="C140" s="46">
        <f>IF(_calc!$E$142="","",IF(_calc!$E$142&lt;=500,"Insurance","Certificate of insurance"))</f>
        <v/>
      </c>
      <c r="D140" s="46">
        <f>IF(_calc!$E$142="","",IF(_calc!$E$142&lt;=500,IF(ISNUMBER(INDEX('Our policies'!$I$4:$I$503,_calc!$E$142)),TEXT(INDEX('Our policies'!$I$4:$I$503,_calc!$E$142),"yyyy-mm-dd"),""),""))</f>
        <v/>
      </c>
      <c r="E140" s="46">
        <f>IF(_calc!$E$142="","",IF(_calc!$E$142&lt;=500,IF(LEN(INDEX('Our policies'!$Q$4:$Q$503,_calc!$E$142))=0,"",INDEX('Our policies'!$Q$4:$Q$503,_calc!$E$142)),"Medium"))</f>
        <v/>
      </c>
      <c r="F140" s="46">
        <f>IF(_calc!$E$142="","",IF(_calc!$E$142&lt;=500,TRIM(IF(LEN(IF(LEN(INDEX('Our policies'!$B$4:$B$503,_calc!$E$142))=0,"",INDEX('Our policies'!$B$4:$B$503,_calc!$E$142)))=0,"","Cover: "&amp;IF(LEN(INDEX('Our policies'!$B$4:$B$503,_calc!$E$142))=0,"",INDEX('Our policies'!$B$4:$B$503,_calc!$E$142))&amp;". ")&amp;IF(LEN(IF(LEN(INDEX('Our policies'!$C$4:$C$503,_calc!$E$142))=0,"",INDEX('Our policies'!$C$4:$C$503,_calc!$E$142)))=0,"","Insurer: "&amp;IF(LEN(INDEX('Our policies'!$C$4:$C$503,_calc!$E$142))=0,"",INDEX('Our policies'!$C$4:$C$503,_calc!$E$142))&amp;". ")&amp;IF(LEN(IF(LEN(INDEX('Our policies'!$D$4:$D$503,_calc!$E$142))=0,"",INDEX('Our policies'!$D$4:$D$503,_calc!$E$142)))=0,"","Broker: "&amp;IF(LEN(INDEX('Our policies'!$D$4:$D$503,_calc!$E$142))=0,"",INDEX('Our policies'!$D$4:$D$503,_calc!$E$142))&amp;". ")&amp;IF(LEN(IF(LEN(INDEX('Our policies'!$E$4:$E$503,_calc!$E$142))=0,"",INDEX('Our policies'!$E$4:$E$503,_calc!$E$142)))=0,"","Policy no.: "&amp;IF(LEN(INDEX('Our policies'!$E$4:$E$503,_calc!$E$142))=0,"",INDEX('Our policies'!$E$4:$E$503,_calc!$E$142))&amp;". ")&amp;IF(LEN(IF(LEN(INDEX('Our policies'!$S$4:$S$503,_calc!$E$142))=0,"",INDEX('Our policies'!$S$4:$S$503,_calc!$E$142)))=0,"",IF(LEN(INDEX('Our policies'!$S$4:$S$503,_calc!$E$142))=0,"",INDEX('Our policies'!$S$4:$S$503,_calc!$E$142)))),TRIM(IF(LEN(IF(LEN(INDEX('Vendor COIs'!$C$4:$C$503,(_calc!$E$142-500)))=0,"",INDEX('Vendor COIs'!$C$4:$C$503,(_calc!$E$142-500))))=0,"","Insurer: "&amp;IF(LEN(INDEX('Vendor COIs'!$C$4:$C$503,(_calc!$E$142-500)))=0,"",INDEX('Vendor COIs'!$C$4:$C$503,(_calc!$E$142-500)))&amp;". ")&amp;IF(LEN(IF(LEN(INDEX('Vendor COIs'!$D$4:$D$503,(_calc!$E$142-500)))=0,"",INDEX('Vendor COIs'!$D$4:$D$503,(_calc!$E$142-500))))=0,"","Policy no.: "&amp;IF(LEN(INDEX('Vendor COIs'!$D$4:$D$503,(_calc!$E$142-500)))=0,"",INDEX('Vendor COIs'!$D$4:$D$503,(_calc!$E$142-500)))&amp;". ")&amp;IF(LEN(IF(LEN(INDEX('Vendor COIs'!$F$4:$F$503,(_calc!$E$142-500)))=0,"",INDEX('Vendor COIs'!$F$4:$F$503,(_calc!$E$142-500))))=0,"","Meets minimum: "&amp;IF(LEN(INDEX('Vendor COIs'!$F$4:$F$503,(_calc!$E$142-500)))=0,"",INDEX('Vendor COIs'!$F$4:$F$503,(_calc!$E$142-500)))&amp;". ")&amp;IF(LEN(IF(LEN(INDEX('Vendor COIs'!$G$4:$G$503,(_calc!$E$142-500)))=0,"",INDEX('Vendor COIs'!$G$4:$G$503,(_calc!$E$142-500))))=0,"","Additional insured: "&amp;IF(LEN(INDEX('Vendor COIs'!$G$4:$G$503,(_calc!$E$142-500)))=0,"",INDEX('Vendor COIs'!$G$4:$G$503,(_calc!$E$142-500)))&amp;". ")&amp;IF(LEN(IF(LEN(INDEX('Vendor COIs'!$M$4:$M$503,(_calc!$E$142-500)))=0,"",INDEX('Vendor COIs'!$M$4:$M$503,(_calc!$E$142-500))))=0,"","Vendor contact: "&amp;IF(LEN(INDEX('Vendor COIs'!$M$4:$M$503,(_calc!$E$142-500)))=0,"",INDEX('Vendor COIs'!$M$4:$M$503,(_calc!$E$142-500)))&amp;". ")&amp;IF(LEN(IF(LEN(INDEX('Vendor COIs'!$P$4:$P$503,(_calc!$E$142-500)))=0,"",INDEX('Vendor COIs'!$P$4:$P$503,(_calc!$E$142-500))))=0,"",IF(LEN(INDEX('Vendor COIs'!$P$4:$P$503,(_calc!$E$142-500)))=0,"",INDEX('Vendor COIs'!$P$4:$P$503,(_calc!$E$142-500)))))))</f>
        <v/>
      </c>
      <c r="G140" s="46">
        <f>IF(_calc!$E$142="","",IF(_calc!$E$142&lt;=500,IF(LEN(INDEX('Our policies'!$R$4:$R$503,_calc!$E$142))=0,"",INDEX('Our policies'!$R$4:$R$503,_calc!$E$142)),IF(LEN(INDEX('Vendor COIs'!$O$4:$O$503,(_calc!$E$142-500)))=0,"",INDEX('Vendor COIs'!$O$4:$O$503,(_calc!$E$142-500)))))</f>
        <v/>
      </c>
      <c r="H140" s="46">
        <f>IF(_calc!$E$142="","",IF(_calc!$E$142&lt;=500,IF(LEN(INDEX('Our policies'!$G$4:$G$503,_calc!$E$142))=0,"",INDEX('Our policies'!$G$4:$G$503,_calc!$E$142)),""))</f>
        <v/>
      </c>
      <c r="I140" s="46">
        <f>IF(_calc!$E$142="","",IF(_calc!$E$142&lt;=500,IF(LEN(INDEX('Our policies'!$H$4:$H$503,_calc!$E$142))=0,"",INDEX('Our policies'!$H$4:$H$503,_calc!$E$142)),""))</f>
        <v/>
      </c>
      <c r="K140" s="46">
        <f>IF(_calc!$E$142="","",IF(_calc!$E$142&lt;=500,IF(LEN(INDEX('Our policies'!$P$4:$P$503,_calc!$E$142))=0,"",INDEX('Our policies'!$P$4:$P$503,_calc!$E$142)),IF(LEN(INDEX('Vendor COIs'!$N$4:$N$503,(_calc!$E$142-500)))=0,"",INDEX('Vendor COIs'!$N$4:$N$503,(_calc!$E$142-500)))))</f>
        <v/>
      </c>
    </row>
    <row r="141">
      <c r="A141" s="46">
        <f>IF(_calc!$E$143="","",IF(_calc!$E$143&lt;=500,IF(LEN(INDEX('Our policies'!$A$4:$A$503,_calc!$E$143))=0,"",INDEX('Our policies'!$A$4:$A$503,_calc!$E$143)),"COI – "&amp;IF(LEN(INDEX('Vendor COIs'!$A$4:$A$503,(_calc!$E$143-500)))=0,"",INDEX('Vendor COIs'!$A$4:$A$503,(_calc!$E$143-500)))&amp;" – "&amp;IF(LEN(INDEX('Vendor COIs'!$B$4:$B$503,(_calc!$E$143-500)))=0,"",INDEX('Vendor COIs'!$B$4:$B$503,(_calc!$E$143-500)))))</f>
        <v/>
      </c>
      <c r="B141" s="46">
        <f>IF(_calc!$E$143="","",IF(_calc!$E$143&lt;=500,IF(ISNUMBER(INDEX('Our policies'!$J$4:$J$503,_calc!$E$143)),TEXT(INDEX('Our policies'!$J$4:$J$503,_calc!$E$143),"yyyy-mm-dd"),""),IF(ISNUMBER(INDEX('Vendor COIs'!$H$4:$H$503,(_calc!$E$143-500))),TEXT(INDEX('Vendor COIs'!$H$4:$H$503,(_calc!$E$143-500)),"yyyy-mm-dd"),"")))</f>
        <v/>
      </c>
      <c r="C141" s="46">
        <f>IF(_calc!$E$143="","",IF(_calc!$E$143&lt;=500,"Insurance","Certificate of insurance"))</f>
        <v/>
      </c>
      <c r="D141" s="46">
        <f>IF(_calc!$E$143="","",IF(_calc!$E$143&lt;=500,IF(ISNUMBER(INDEX('Our policies'!$I$4:$I$503,_calc!$E$143)),TEXT(INDEX('Our policies'!$I$4:$I$503,_calc!$E$143),"yyyy-mm-dd"),""),""))</f>
        <v/>
      </c>
      <c r="E141" s="46">
        <f>IF(_calc!$E$143="","",IF(_calc!$E$143&lt;=500,IF(LEN(INDEX('Our policies'!$Q$4:$Q$503,_calc!$E$143))=0,"",INDEX('Our policies'!$Q$4:$Q$503,_calc!$E$143)),"Medium"))</f>
        <v/>
      </c>
      <c r="F141" s="46">
        <f>IF(_calc!$E$143="","",IF(_calc!$E$143&lt;=500,TRIM(IF(LEN(IF(LEN(INDEX('Our policies'!$B$4:$B$503,_calc!$E$143))=0,"",INDEX('Our policies'!$B$4:$B$503,_calc!$E$143)))=0,"","Cover: "&amp;IF(LEN(INDEX('Our policies'!$B$4:$B$503,_calc!$E$143))=0,"",INDEX('Our policies'!$B$4:$B$503,_calc!$E$143))&amp;". ")&amp;IF(LEN(IF(LEN(INDEX('Our policies'!$C$4:$C$503,_calc!$E$143))=0,"",INDEX('Our policies'!$C$4:$C$503,_calc!$E$143)))=0,"","Insurer: "&amp;IF(LEN(INDEX('Our policies'!$C$4:$C$503,_calc!$E$143))=0,"",INDEX('Our policies'!$C$4:$C$503,_calc!$E$143))&amp;". ")&amp;IF(LEN(IF(LEN(INDEX('Our policies'!$D$4:$D$503,_calc!$E$143))=0,"",INDEX('Our policies'!$D$4:$D$503,_calc!$E$143)))=0,"","Broker: "&amp;IF(LEN(INDEX('Our policies'!$D$4:$D$503,_calc!$E$143))=0,"",INDEX('Our policies'!$D$4:$D$503,_calc!$E$143))&amp;". ")&amp;IF(LEN(IF(LEN(INDEX('Our policies'!$E$4:$E$503,_calc!$E$143))=0,"",INDEX('Our policies'!$E$4:$E$503,_calc!$E$143)))=0,"","Policy no.: "&amp;IF(LEN(INDEX('Our policies'!$E$4:$E$503,_calc!$E$143))=0,"",INDEX('Our policies'!$E$4:$E$503,_calc!$E$143))&amp;". ")&amp;IF(LEN(IF(LEN(INDEX('Our policies'!$S$4:$S$503,_calc!$E$143))=0,"",INDEX('Our policies'!$S$4:$S$503,_calc!$E$143)))=0,"",IF(LEN(INDEX('Our policies'!$S$4:$S$503,_calc!$E$143))=0,"",INDEX('Our policies'!$S$4:$S$503,_calc!$E$143)))),TRIM(IF(LEN(IF(LEN(INDEX('Vendor COIs'!$C$4:$C$503,(_calc!$E$143-500)))=0,"",INDEX('Vendor COIs'!$C$4:$C$503,(_calc!$E$143-500))))=0,"","Insurer: "&amp;IF(LEN(INDEX('Vendor COIs'!$C$4:$C$503,(_calc!$E$143-500)))=0,"",INDEX('Vendor COIs'!$C$4:$C$503,(_calc!$E$143-500)))&amp;". ")&amp;IF(LEN(IF(LEN(INDEX('Vendor COIs'!$D$4:$D$503,(_calc!$E$143-500)))=0,"",INDEX('Vendor COIs'!$D$4:$D$503,(_calc!$E$143-500))))=0,"","Policy no.: "&amp;IF(LEN(INDEX('Vendor COIs'!$D$4:$D$503,(_calc!$E$143-500)))=0,"",INDEX('Vendor COIs'!$D$4:$D$503,(_calc!$E$143-500)))&amp;". ")&amp;IF(LEN(IF(LEN(INDEX('Vendor COIs'!$F$4:$F$503,(_calc!$E$143-500)))=0,"",INDEX('Vendor COIs'!$F$4:$F$503,(_calc!$E$143-500))))=0,"","Meets minimum: "&amp;IF(LEN(INDEX('Vendor COIs'!$F$4:$F$503,(_calc!$E$143-500)))=0,"",INDEX('Vendor COIs'!$F$4:$F$503,(_calc!$E$143-500)))&amp;". ")&amp;IF(LEN(IF(LEN(INDEX('Vendor COIs'!$G$4:$G$503,(_calc!$E$143-500)))=0,"",INDEX('Vendor COIs'!$G$4:$G$503,(_calc!$E$143-500))))=0,"","Additional insured: "&amp;IF(LEN(INDEX('Vendor COIs'!$G$4:$G$503,(_calc!$E$143-500)))=0,"",INDEX('Vendor COIs'!$G$4:$G$503,(_calc!$E$143-500)))&amp;". ")&amp;IF(LEN(IF(LEN(INDEX('Vendor COIs'!$M$4:$M$503,(_calc!$E$143-500)))=0,"",INDEX('Vendor COIs'!$M$4:$M$503,(_calc!$E$143-500))))=0,"","Vendor contact: "&amp;IF(LEN(INDEX('Vendor COIs'!$M$4:$M$503,(_calc!$E$143-500)))=0,"",INDEX('Vendor COIs'!$M$4:$M$503,(_calc!$E$143-500)))&amp;". ")&amp;IF(LEN(IF(LEN(INDEX('Vendor COIs'!$P$4:$P$503,(_calc!$E$143-500)))=0,"",INDEX('Vendor COIs'!$P$4:$P$503,(_calc!$E$143-500))))=0,"",IF(LEN(INDEX('Vendor COIs'!$P$4:$P$503,(_calc!$E$143-500)))=0,"",INDEX('Vendor COIs'!$P$4:$P$503,(_calc!$E$143-500)))))))</f>
        <v/>
      </c>
      <c r="G141" s="46">
        <f>IF(_calc!$E$143="","",IF(_calc!$E$143&lt;=500,IF(LEN(INDEX('Our policies'!$R$4:$R$503,_calc!$E$143))=0,"",INDEX('Our policies'!$R$4:$R$503,_calc!$E$143)),IF(LEN(INDEX('Vendor COIs'!$O$4:$O$503,(_calc!$E$143-500)))=0,"",INDEX('Vendor COIs'!$O$4:$O$503,(_calc!$E$143-500)))))</f>
        <v/>
      </c>
      <c r="H141" s="46">
        <f>IF(_calc!$E$143="","",IF(_calc!$E$143&lt;=500,IF(LEN(INDEX('Our policies'!$G$4:$G$503,_calc!$E$143))=0,"",INDEX('Our policies'!$G$4:$G$503,_calc!$E$143)),""))</f>
        <v/>
      </c>
      <c r="I141" s="46">
        <f>IF(_calc!$E$143="","",IF(_calc!$E$143&lt;=500,IF(LEN(INDEX('Our policies'!$H$4:$H$503,_calc!$E$143))=0,"",INDEX('Our policies'!$H$4:$H$503,_calc!$E$143)),""))</f>
        <v/>
      </c>
      <c r="K141" s="46">
        <f>IF(_calc!$E$143="","",IF(_calc!$E$143&lt;=500,IF(LEN(INDEX('Our policies'!$P$4:$P$503,_calc!$E$143))=0,"",INDEX('Our policies'!$P$4:$P$503,_calc!$E$143)),IF(LEN(INDEX('Vendor COIs'!$N$4:$N$503,(_calc!$E$143-500)))=0,"",INDEX('Vendor COIs'!$N$4:$N$503,(_calc!$E$143-500)))))</f>
        <v/>
      </c>
    </row>
    <row r="142">
      <c r="A142" s="46">
        <f>IF(_calc!$E$144="","",IF(_calc!$E$144&lt;=500,IF(LEN(INDEX('Our policies'!$A$4:$A$503,_calc!$E$144))=0,"",INDEX('Our policies'!$A$4:$A$503,_calc!$E$144)),"COI – "&amp;IF(LEN(INDEX('Vendor COIs'!$A$4:$A$503,(_calc!$E$144-500)))=0,"",INDEX('Vendor COIs'!$A$4:$A$503,(_calc!$E$144-500)))&amp;" – "&amp;IF(LEN(INDEX('Vendor COIs'!$B$4:$B$503,(_calc!$E$144-500)))=0,"",INDEX('Vendor COIs'!$B$4:$B$503,(_calc!$E$144-500)))))</f>
        <v/>
      </c>
      <c r="B142" s="46">
        <f>IF(_calc!$E$144="","",IF(_calc!$E$144&lt;=500,IF(ISNUMBER(INDEX('Our policies'!$J$4:$J$503,_calc!$E$144)),TEXT(INDEX('Our policies'!$J$4:$J$503,_calc!$E$144),"yyyy-mm-dd"),""),IF(ISNUMBER(INDEX('Vendor COIs'!$H$4:$H$503,(_calc!$E$144-500))),TEXT(INDEX('Vendor COIs'!$H$4:$H$503,(_calc!$E$144-500)),"yyyy-mm-dd"),"")))</f>
        <v/>
      </c>
      <c r="C142" s="46">
        <f>IF(_calc!$E$144="","",IF(_calc!$E$144&lt;=500,"Insurance","Certificate of insurance"))</f>
        <v/>
      </c>
      <c r="D142" s="46">
        <f>IF(_calc!$E$144="","",IF(_calc!$E$144&lt;=500,IF(ISNUMBER(INDEX('Our policies'!$I$4:$I$503,_calc!$E$144)),TEXT(INDEX('Our policies'!$I$4:$I$503,_calc!$E$144),"yyyy-mm-dd"),""),""))</f>
        <v/>
      </c>
      <c r="E142" s="46">
        <f>IF(_calc!$E$144="","",IF(_calc!$E$144&lt;=500,IF(LEN(INDEX('Our policies'!$Q$4:$Q$503,_calc!$E$144))=0,"",INDEX('Our policies'!$Q$4:$Q$503,_calc!$E$144)),"Medium"))</f>
        <v/>
      </c>
      <c r="F142" s="46">
        <f>IF(_calc!$E$144="","",IF(_calc!$E$144&lt;=500,TRIM(IF(LEN(IF(LEN(INDEX('Our policies'!$B$4:$B$503,_calc!$E$144))=0,"",INDEX('Our policies'!$B$4:$B$503,_calc!$E$144)))=0,"","Cover: "&amp;IF(LEN(INDEX('Our policies'!$B$4:$B$503,_calc!$E$144))=0,"",INDEX('Our policies'!$B$4:$B$503,_calc!$E$144))&amp;". ")&amp;IF(LEN(IF(LEN(INDEX('Our policies'!$C$4:$C$503,_calc!$E$144))=0,"",INDEX('Our policies'!$C$4:$C$503,_calc!$E$144)))=0,"","Insurer: "&amp;IF(LEN(INDEX('Our policies'!$C$4:$C$503,_calc!$E$144))=0,"",INDEX('Our policies'!$C$4:$C$503,_calc!$E$144))&amp;". ")&amp;IF(LEN(IF(LEN(INDEX('Our policies'!$D$4:$D$503,_calc!$E$144))=0,"",INDEX('Our policies'!$D$4:$D$503,_calc!$E$144)))=0,"","Broker: "&amp;IF(LEN(INDEX('Our policies'!$D$4:$D$503,_calc!$E$144))=0,"",INDEX('Our policies'!$D$4:$D$503,_calc!$E$144))&amp;". ")&amp;IF(LEN(IF(LEN(INDEX('Our policies'!$E$4:$E$503,_calc!$E$144))=0,"",INDEX('Our policies'!$E$4:$E$503,_calc!$E$144)))=0,"","Policy no.: "&amp;IF(LEN(INDEX('Our policies'!$E$4:$E$503,_calc!$E$144))=0,"",INDEX('Our policies'!$E$4:$E$503,_calc!$E$144))&amp;". ")&amp;IF(LEN(IF(LEN(INDEX('Our policies'!$S$4:$S$503,_calc!$E$144))=0,"",INDEX('Our policies'!$S$4:$S$503,_calc!$E$144)))=0,"",IF(LEN(INDEX('Our policies'!$S$4:$S$503,_calc!$E$144))=0,"",INDEX('Our policies'!$S$4:$S$503,_calc!$E$144)))),TRIM(IF(LEN(IF(LEN(INDEX('Vendor COIs'!$C$4:$C$503,(_calc!$E$144-500)))=0,"",INDEX('Vendor COIs'!$C$4:$C$503,(_calc!$E$144-500))))=0,"","Insurer: "&amp;IF(LEN(INDEX('Vendor COIs'!$C$4:$C$503,(_calc!$E$144-500)))=0,"",INDEX('Vendor COIs'!$C$4:$C$503,(_calc!$E$144-500)))&amp;". ")&amp;IF(LEN(IF(LEN(INDEX('Vendor COIs'!$D$4:$D$503,(_calc!$E$144-500)))=0,"",INDEX('Vendor COIs'!$D$4:$D$503,(_calc!$E$144-500))))=0,"","Policy no.: "&amp;IF(LEN(INDEX('Vendor COIs'!$D$4:$D$503,(_calc!$E$144-500)))=0,"",INDEX('Vendor COIs'!$D$4:$D$503,(_calc!$E$144-500)))&amp;". ")&amp;IF(LEN(IF(LEN(INDEX('Vendor COIs'!$F$4:$F$503,(_calc!$E$144-500)))=0,"",INDEX('Vendor COIs'!$F$4:$F$503,(_calc!$E$144-500))))=0,"","Meets minimum: "&amp;IF(LEN(INDEX('Vendor COIs'!$F$4:$F$503,(_calc!$E$144-500)))=0,"",INDEX('Vendor COIs'!$F$4:$F$503,(_calc!$E$144-500)))&amp;". ")&amp;IF(LEN(IF(LEN(INDEX('Vendor COIs'!$G$4:$G$503,(_calc!$E$144-500)))=0,"",INDEX('Vendor COIs'!$G$4:$G$503,(_calc!$E$144-500))))=0,"","Additional insured: "&amp;IF(LEN(INDEX('Vendor COIs'!$G$4:$G$503,(_calc!$E$144-500)))=0,"",INDEX('Vendor COIs'!$G$4:$G$503,(_calc!$E$144-500)))&amp;". ")&amp;IF(LEN(IF(LEN(INDEX('Vendor COIs'!$M$4:$M$503,(_calc!$E$144-500)))=0,"",INDEX('Vendor COIs'!$M$4:$M$503,(_calc!$E$144-500))))=0,"","Vendor contact: "&amp;IF(LEN(INDEX('Vendor COIs'!$M$4:$M$503,(_calc!$E$144-500)))=0,"",INDEX('Vendor COIs'!$M$4:$M$503,(_calc!$E$144-500)))&amp;". ")&amp;IF(LEN(IF(LEN(INDEX('Vendor COIs'!$P$4:$P$503,(_calc!$E$144-500)))=0,"",INDEX('Vendor COIs'!$P$4:$P$503,(_calc!$E$144-500))))=0,"",IF(LEN(INDEX('Vendor COIs'!$P$4:$P$503,(_calc!$E$144-500)))=0,"",INDEX('Vendor COIs'!$P$4:$P$503,(_calc!$E$144-500)))))))</f>
        <v/>
      </c>
      <c r="G142" s="46">
        <f>IF(_calc!$E$144="","",IF(_calc!$E$144&lt;=500,IF(LEN(INDEX('Our policies'!$R$4:$R$503,_calc!$E$144))=0,"",INDEX('Our policies'!$R$4:$R$503,_calc!$E$144)),IF(LEN(INDEX('Vendor COIs'!$O$4:$O$503,(_calc!$E$144-500)))=0,"",INDEX('Vendor COIs'!$O$4:$O$503,(_calc!$E$144-500)))))</f>
        <v/>
      </c>
      <c r="H142" s="46">
        <f>IF(_calc!$E$144="","",IF(_calc!$E$144&lt;=500,IF(LEN(INDEX('Our policies'!$G$4:$G$503,_calc!$E$144))=0,"",INDEX('Our policies'!$G$4:$G$503,_calc!$E$144)),""))</f>
        <v/>
      </c>
      <c r="I142" s="46">
        <f>IF(_calc!$E$144="","",IF(_calc!$E$144&lt;=500,IF(LEN(INDEX('Our policies'!$H$4:$H$503,_calc!$E$144))=0,"",INDEX('Our policies'!$H$4:$H$503,_calc!$E$144)),""))</f>
        <v/>
      </c>
      <c r="K142" s="46">
        <f>IF(_calc!$E$144="","",IF(_calc!$E$144&lt;=500,IF(LEN(INDEX('Our policies'!$P$4:$P$503,_calc!$E$144))=0,"",INDEX('Our policies'!$P$4:$P$503,_calc!$E$144)),IF(LEN(INDEX('Vendor COIs'!$N$4:$N$503,(_calc!$E$144-500)))=0,"",INDEX('Vendor COIs'!$N$4:$N$503,(_calc!$E$144-500)))))</f>
        <v/>
      </c>
    </row>
    <row r="143">
      <c r="A143" s="46">
        <f>IF(_calc!$E$145="","",IF(_calc!$E$145&lt;=500,IF(LEN(INDEX('Our policies'!$A$4:$A$503,_calc!$E$145))=0,"",INDEX('Our policies'!$A$4:$A$503,_calc!$E$145)),"COI – "&amp;IF(LEN(INDEX('Vendor COIs'!$A$4:$A$503,(_calc!$E$145-500)))=0,"",INDEX('Vendor COIs'!$A$4:$A$503,(_calc!$E$145-500)))&amp;" – "&amp;IF(LEN(INDEX('Vendor COIs'!$B$4:$B$503,(_calc!$E$145-500)))=0,"",INDEX('Vendor COIs'!$B$4:$B$503,(_calc!$E$145-500)))))</f>
        <v/>
      </c>
      <c r="B143" s="46">
        <f>IF(_calc!$E$145="","",IF(_calc!$E$145&lt;=500,IF(ISNUMBER(INDEX('Our policies'!$J$4:$J$503,_calc!$E$145)),TEXT(INDEX('Our policies'!$J$4:$J$503,_calc!$E$145),"yyyy-mm-dd"),""),IF(ISNUMBER(INDEX('Vendor COIs'!$H$4:$H$503,(_calc!$E$145-500))),TEXT(INDEX('Vendor COIs'!$H$4:$H$503,(_calc!$E$145-500)),"yyyy-mm-dd"),"")))</f>
        <v/>
      </c>
      <c r="C143" s="46">
        <f>IF(_calc!$E$145="","",IF(_calc!$E$145&lt;=500,"Insurance","Certificate of insurance"))</f>
        <v/>
      </c>
      <c r="D143" s="46">
        <f>IF(_calc!$E$145="","",IF(_calc!$E$145&lt;=500,IF(ISNUMBER(INDEX('Our policies'!$I$4:$I$503,_calc!$E$145)),TEXT(INDEX('Our policies'!$I$4:$I$503,_calc!$E$145),"yyyy-mm-dd"),""),""))</f>
        <v/>
      </c>
      <c r="E143" s="46">
        <f>IF(_calc!$E$145="","",IF(_calc!$E$145&lt;=500,IF(LEN(INDEX('Our policies'!$Q$4:$Q$503,_calc!$E$145))=0,"",INDEX('Our policies'!$Q$4:$Q$503,_calc!$E$145)),"Medium"))</f>
        <v/>
      </c>
      <c r="F143" s="46">
        <f>IF(_calc!$E$145="","",IF(_calc!$E$145&lt;=500,TRIM(IF(LEN(IF(LEN(INDEX('Our policies'!$B$4:$B$503,_calc!$E$145))=0,"",INDEX('Our policies'!$B$4:$B$503,_calc!$E$145)))=0,"","Cover: "&amp;IF(LEN(INDEX('Our policies'!$B$4:$B$503,_calc!$E$145))=0,"",INDEX('Our policies'!$B$4:$B$503,_calc!$E$145))&amp;". ")&amp;IF(LEN(IF(LEN(INDEX('Our policies'!$C$4:$C$503,_calc!$E$145))=0,"",INDEX('Our policies'!$C$4:$C$503,_calc!$E$145)))=0,"","Insurer: "&amp;IF(LEN(INDEX('Our policies'!$C$4:$C$503,_calc!$E$145))=0,"",INDEX('Our policies'!$C$4:$C$503,_calc!$E$145))&amp;". ")&amp;IF(LEN(IF(LEN(INDEX('Our policies'!$D$4:$D$503,_calc!$E$145))=0,"",INDEX('Our policies'!$D$4:$D$503,_calc!$E$145)))=0,"","Broker: "&amp;IF(LEN(INDEX('Our policies'!$D$4:$D$503,_calc!$E$145))=0,"",INDEX('Our policies'!$D$4:$D$503,_calc!$E$145))&amp;". ")&amp;IF(LEN(IF(LEN(INDEX('Our policies'!$E$4:$E$503,_calc!$E$145))=0,"",INDEX('Our policies'!$E$4:$E$503,_calc!$E$145)))=0,"","Policy no.: "&amp;IF(LEN(INDEX('Our policies'!$E$4:$E$503,_calc!$E$145))=0,"",INDEX('Our policies'!$E$4:$E$503,_calc!$E$145))&amp;". ")&amp;IF(LEN(IF(LEN(INDEX('Our policies'!$S$4:$S$503,_calc!$E$145))=0,"",INDEX('Our policies'!$S$4:$S$503,_calc!$E$145)))=0,"",IF(LEN(INDEX('Our policies'!$S$4:$S$503,_calc!$E$145))=0,"",INDEX('Our policies'!$S$4:$S$503,_calc!$E$145)))),TRIM(IF(LEN(IF(LEN(INDEX('Vendor COIs'!$C$4:$C$503,(_calc!$E$145-500)))=0,"",INDEX('Vendor COIs'!$C$4:$C$503,(_calc!$E$145-500))))=0,"","Insurer: "&amp;IF(LEN(INDEX('Vendor COIs'!$C$4:$C$503,(_calc!$E$145-500)))=0,"",INDEX('Vendor COIs'!$C$4:$C$503,(_calc!$E$145-500)))&amp;". ")&amp;IF(LEN(IF(LEN(INDEX('Vendor COIs'!$D$4:$D$503,(_calc!$E$145-500)))=0,"",INDEX('Vendor COIs'!$D$4:$D$503,(_calc!$E$145-500))))=0,"","Policy no.: "&amp;IF(LEN(INDEX('Vendor COIs'!$D$4:$D$503,(_calc!$E$145-500)))=0,"",INDEX('Vendor COIs'!$D$4:$D$503,(_calc!$E$145-500)))&amp;". ")&amp;IF(LEN(IF(LEN(INDEX('Vendor COIs'!$F$4:$F$503,(_calc!$E$145-500)))=0,"",INDEX('Vendor COIs'!$F$4:$F$503,(_calc!$E$145-500))))=0,"","Meets minimum: "&amp;IF(LEN(INDEX('Vendor COIs'!$F$4:$F$503,(_calc!$E$145-500)))=0,"",INDEX('Vendor COIs'!$F$4:$F$503,(_calc!$E$145-500)))&amp;". ")&amp;IF(LEN(IF(LEN(INDEX('Vendor COIs'!$G$4:$G$503,(_calc!$E$145-500)))=0,"",INDEX('Vendor COIs'!$G$4:$G$503,(_calc!$E$145-500))))=0,"","Additional insured: "&amp;IF(LEN(INDEX('Vendor COIs'!$G$4:$G$503,(_calc!$E$145-500)))=0,"",INDEX('Vendor COIs'!$G$4:$G$503,(_calc!$E$145-500)))&amp;". ")&amp;IF(LEN(IF(LEN(INDEX('Vendor COIs'!$M$4:$M$503,(_calc!$E$145-500)))=0,"",INDEX('Vendor COIs'!$M$4:$M$503,(_calc!$E$145-500))))=0,"","Vendor contact: "&amp;IF(LEN(INDEX('Vendor COIs'!$M$4:$M$503,(_calc!$E$145-500)))=0,"",INDEX('Vendor COIs'!$M$4:$M$503,(_calc!$E$145-500)))&amp;". ")&amp;IF(LEN(IF(LEN(INDEX('Vendor COIs'!$P$4:$P$503,(_calc!$E$145-500)))=0,"",INDEX('Vendor COIs'!$P$4:$P$503,(_calc!$E$145-500))))=0,"",IF(LEN(INDEX('Vendor COIs'!$P$4:$P$503,(_calc!$E$145-500)))=0,"",INDEX('Vendor COIs'!$P$4:$P$503,(_calc!$E$145-500)))))))</f>
        <v/>
      </c>
      <c r="G143" s="46">
        <f>IF(_calc!$E$145="","",IF(_calc!$E$145&lt;=500,IF(LEN(INDEX('Our policies'!$R$4:$R$503,_calc!$E$145))=0,"",INDEX('Our policies'!$R$4:$R$503,_calc!$E$145)),IF(LEN(INDEX('Vendor COIs'!$O$4:$O$503,(_calc!$E$145-500)))=0,"",INDEX('Vendor COIs'!$O$4:$O$503,(_calc!$E$145-500)))))</f>
        <v/>
      </c>
      <c r="H143" s="46">
        <f>IF(_calc!$E$145="","",IF(_calc!$E$145&lt;=500,IF(LEN(INDEX('Our policies'!$G$4:$G$503,_calc!$E$145))=0,"",INDEX('Our policies'!$G$4:$G$503,_calc!$E$145)),""))</f>
        <v/>
      </c>
      <c r="I143" s="46">
        <f>IF(_calc!$E$145="","",IF(_calc!$E$145&lt;=500,IF(LEN(INDEX('Our policies'!$H$4:$H$503,_calc!$E$145))=0,"",INDEX('Our policies'!$H$4:$H$503,_calc!$E$145)),""))</f>
        <v/>
      </c>
      <c r="K143" s="46">
        <f>IF(_calc!$E$145="","",IF(_calc!$E$145&lt;=500,IF(LEN(INDEX('Our policies'!$P$4:$P$503,_calc!$E$145))=0,"",INDEX('Our policies'!$P$4:$P$503,_calc!$E$145)),IF(LEN(INDEX('Vendor COIs'!$N$4:$N$503,(_calc!$E$145-500)))=0,"",INDEX('Vendor COIs'!$N$4:$N$503,(_calc!$E$145-500)))))</f>
        <v/>
      </c>
    </row>
    <row r="144">
      <c r="A144" s="46">
        <f>IF(_calc!$E$146="","",IF(_calc!$E$146&lt;=500,IF(LEN(INDEX('Our policies'!$A$4:$A$503,_calc!$E$146))=0,"",INDEX('Our policies'!$A$4:$A$503,_calc!$E$146)),"COI – "&amp;IF(LEN(INDEX('Vendor COIs'!$A$4:$A$503,(_calc!$E$146-500)))=0,"",INDEX('Vendor COIs'!$A$4:$A$503,(_calc!$E$146-500)))&amp;" – "&amp;IF(LEN(INDEX('Vendor COIs'!$B$4:$B$503,(_calc!$E$146-500)))=0,"",INDEX('Vendor COIs'!$B$4:$B$503,(_calc!$E$146-500)))))</f>
        <v/>
      </c>
      <c r="B144" s="46">
        <f>IF(_calc!$E$146="","",IF(_calc!$E$146&lt;=500,IF(ISNUMBER(INDEX('Our policies'!$J$4:$J$503,_calc!$E$146)),TEXT(INDEX('Our policies'!$J$4:$J$503,_calc!$E$146),"yyyy-mm-dd"),""),IF(ISNUMBER(INDEX('Vendor COIs'!$H$4:$H$503,(_calc!$E$146-500))),TEXT(INDEX('Vendor COIs'!$H$4:$H$503,(_calc!$E$146-500)),"yyyy-mm-dd"),"")))</f>
        <v/>
      </c>
      <c r="C144" s="46">
        <f>IF(_calc!$E$146="","",IF(_calc!$E$146&lt;=500,"Insurance","Certificate of insurance"))</f>
        <v/>
      </c>
      <c r="D144" s="46">
        <f>IF(_calc!$E$146="","",IF(_calc!$E$146&lt;=500,IF(ISNUMBER(INDEX('Our policies'!$I$4:$I$503,_calc!$E$146)),TEXT(INDEX('Our policies'!$I$4:$I$503,_calc!$E$146),"yyyy-mm-dd"),""),""))</f>
        <v/>
      </c>
      <c r="E144" s="46">
        <f>IF(_calc!$E$146="","",IF(_calc!$E$146&lt;=500,IF(LEN(INDEX('Our policies'!$Q$4:$Q$503,_calc!$E$146))=0,"",INDEX('Our policies'!$Q$4:$Q$503,_calc!$E$146)),"Medium"))</f>
        <v/>
      </c>
      <c r="F144" s="46">
        <f>IF(_calc!$E$146="","",IF(_calc!$E$146&lt;=500,TRIM(IF(LEN(IF(LEN(INDEX('Our policies'!$B$4:$B$503,_calc!$E$146))=0,"",INDEX('Our policies'!$B$4:$B$503,_calc!$E$146)))=0,"","Cover: "&amp;IF(LEN(INDEX('Our policies'!$B$4:$B$503,_calc!$E$146))=0,"",INDEX('Our policies'!$B$4:$B$503,_calc!$E$146))&amp;". ")&amp;IF(LEN(IF(LEN(INDEX('Our policies'!$C$4:$C$503,_calc!$E$146))=0,"",INDEX('Our policies'!$C$4:$C$503,_calc!$E$146)))=0,"","Insurer: "&amp;IF(LEN(INDEX('Our policies'!$C$4:$C$503,_calc!$E$146))=0,"",INDEX('Our policies'!$C$4:$C$503,_calc!$E$146))&amp;". ")&amp;IF(LEN(IF(LEN(INDEX('Our policies'!$D$4:$D$503,_calc!$E$146))=0,"",INDEX('Our policies'!$D$4:$D$503,_calc!$E$146)))=0,"","Broker: "&amp;IF(LEN(INDEX('Our policies'!$D$4:$D$503,_calc!$E$146))=0,"",INDEX('Our policies'!$D$4:$D$503,_calc!$E$146))&amp;". ")&amp;IF(LEN(IF(LEN(INDEX('Our policies'!$E$4:$E$503,_calc!$E$146))=0,"",INDEX('Our policies'!$E$4:$E$503,_calc!$E$146)))=0,"","Policy no.: "&amp;IF(LEN(INDEX('Our policies'!$E$4:$E$503,_calc!$E$146))=0,"",INDEX('Our policies'!$E$4:$E$503,_calc!$E$146))&amp;". ")&amp;IF(LEN(IF(LEN(INDEX('Our policies'!$S$4:$S$503,_calc!$E$146))=0,"",INDEX('Our policies'!$S$4:$S$503,_calc!$E$146)))=0,"",IF(LEN(INDEX('Our policies'!$S$4:$S$503,_calc!$E$146))=0,"",INDEX('Our policies'!$S$4:$S$503,_calc!$E$146)))),TRIM(IF(LEN(IF(LEN(INDEX('Vendor COIs'!$C$4:$C$503,(_calc!$E$146-500)))=0,"",INDEX('Vendor COIs'!$C$4:$C$503,(_calc!$E$146-500))))=0,"","Insurer: "&amp;IF(LEN(INDEX('Vendor COIs'!$C$4:$C$503,(_calc!$E$146-500)))=0,"",INDEX('Vendor COIs'!$C$4:$C$503,(_calc!$E$146-500)))&amp;". ")&amp;IF(LEN(IF(LEN(INDEX('Vendor COIs'!$D$4:$D$503,(_calc!$E$146-500)))=0,"",INDEX('Vendor COIs'!$D$4:$D$503,(_calc!$E$146-500))))=0,"","Policy no.: "&amp;IF(LEN(INDEX('Vendor COIs'!$D$4:$D$503,(_calc!$E$146-500)))=0,"",INDEX('Vendor COIs'!$D$4:$D$503,(_calc!$E$146-500)))&amp;". ")&amp;IF(LEN(IF(LEN(INDEX('Vendor COIs'!$F$4:$F$503,(_calc!$E$146-500)))=0,"",INDEX('Vendor COIs'!$F$4:$F$503,(_calc!$E$146-500))))=0,"","Meets minimum: "&amp;IF(LEN(INDEX('Vendor COIs'!$F$4:$F$503,(_calc!$E$146-500)))=0,"",INDEX('Vendor COIs'!$F$4:$F$503,(_calc!$E$146-500)))&amp;". ")&amp;IF(LEN(IF(LEN(INDEX('Vendor COIs'!$G$4:$G$503,(_calc!$E$146-500)))=0,"",INDEX('Vendor COIs'!$G$4:$G$503,(_calc!$E$146-500))))=0,"","Additional insured: "&amp;IF(LEN(INDEX('Vendor COIs'!$G$4:$G$503,(_calc!$E$146-500)))=0,"",INDEX('Vendor COIs'!$G$4:$G$503,(_calc!$E$146-500)))&amp;". ")&amp;IF(LEN(IF(LEN(INDEX('Vendor COIs'!$M$4:$M$503,(_calc!$E$146-500)))=0,"",INDEX('Vendor COIs'!$M$4:$M$503,(_calc!$E$146-500))))=0,"","Vendor contact: "&amp;IF(LEN(INDEX('Vendor COIs'!$M$4:$M$503,(_calc!$E$146-500)))=0,"",INDEX('Vendor COIs'!$M$4:$M$503,(_calc!$E$146-500)))&amp;". ")&amp;IF(LEN(IF(LEN(INDEX('Vendor COIs'!$P$4:$P$503,(_calc!$E$146-500)))=0,"",INDEX('Vendor COIs'!$P$4:$P$503,(_calc!$E$146-500))))=0,"",IF(LEN(INDEX('Vendor COIs'!$P$4:$P$503,(_calc!$E$146-500)))=0,"",INDEX('Vendor COIs'!$P$4:$P$503,(_calc!$E$146-500)))))))</f>
        <v/>
      </c>
      <c r="G144" s="46">
        <f>IF(_calc!$E$146="","",IF(_calc!$E$146&lt;=500,IF(LEN(INDEX('Our policies'!$R$4:$R$503,_calc!$E$146))=0,"",INDEX('Our policies'!$R$4:$R$503,_calc!$E$146)),IF(LEN(INDEX('Vendor COIs'!$O$4:$O$503,(_calc!$E$146-500)))=0,"",INDEX('Vendor COIs'!$O$4:$O$503,(_calc!$E$146-500)))))</f>
        <v/>
      </c>
      <c r="H144" s="46">
        <f>IF(_calc!$E$146="","",IF(_calc!$E$146&lt;=500,IF(LEN(INDEX('Our policies'!$G$4:$G$503,_calc!$E$146))=0,"",INDEX('Our policies'!$G$4:$G$503,_calc!$E$146)),""))</f>
        <v/>
      </c>
      <c r="I144" s="46">
        <f>IF(_calc!$E$146="","",IF(_calc!$E$146&lt;=500,IF(LEN(INDEX('Our policies'!$H$4:$H$503,_calc!$E$146))=0,"",INDEX('Our policies'!$H$4:$H$503,_calc!$E$146)),""))</f>
        <v/>
      </c>
      <c r="K144" s="46">
        <f>IF(_calc!$E$146="","",IF(_calc!$E$146&lt;=500,IF(LEN(INDEX('Our policies'!$P$4:$P$503,_calc!$E$146))=0,"",INDEX('Our policies'!$P$4:$P$503,_calc!$E$146)),IF(LEN(INDEX('Vendor COIs'!$N$4:$N$503,(_calc!$E$146-500)))=0,"",INDEX('Vendor COIs'!$N$4:$N$503,(_calc!$E$146-500)))))</f>
        <v/>
      </c>
    </row>
    <row r="145">
      <c r="A145" s="46">
        <f>IF(_calc!$E$147="","",IF(_calc!$E$147&lt;=500,IF(LEN(INDEX('Our policies'!$A$4:$A$503,_calc!$E$147))=0,"",INDEX('Our policies'!$A$4:$A$503,_calc!$E$147)),"COI – "&amp;IF(LEN(INDEX('Vendor COIs'!$A$4:$A$503,(_calc!$E$147-500)))=0,"",INDEX('Vendor COIs'!$A$4:$A$503,(_calc!$E$147-500)))&amp;" – "&amp;IF(LEN(INDEX('Vendor COIs'!$B$4:$B$503,(_calc!$E$147-500)))=0,"",INDEX('Vendor COIs'!$B$4:$B$503,(_calc!$E$147-500)))))</f>
        <v/>
      </c>
      <c r="B145" s="46">
        <f>IF(_calc!$E$147="","",IF(_calc!$E$147&lt;=500,IF(ISNUMBER(INDEX('Our policies'!$J$4:$J$503,_calc!$E$147)),TEXT(INDEX('Our policies'!$J$4:$J$503,_calc!$E$147),"yyyy-mm-dd"),""),IF(ISNUMBER(INDEX('Vendor COIs'!$H$4:$H$503,(_calc!$E$147-500))),TEXT(INDEX('Vendor COIs'!$H$4:$H$503,(_calc!$E$147-500)),"yyyy-mm-dd"),"")))</f>
        <v/>
      </c>
      <c r="C145" s="46">
        <f>IF(_calc!$E$147="","",IF(_calc!$E$147&lt;=500,"Insurance","Certificate of insurance"))</f>
        <v/>
      </c>
      <c r="D145" s="46">
        <f>IF(_calc!$E$147="","",IF(_calc!$E$147&lt;=500,IF(ISNUMBER(INDEX('Our policies'!$I$4:$I$503,_calc!$E$147)),TEXT(INDEX('Our policies'!$I$4:$I$503,_calc!$E$147),"yyyy-mm-dd"),""),""))</f>
        <v/>
      </c>
      <c r="E145" s="46">
        <f>IF(_calc!$E$147="","",IF(_calc!$E$147&lt;=500,IF(LEN(INDEX('Our policies'!$Q$4:$Q$503,_calc!$E$147))=0,"",INDEX('Our policies'!$Q$4:$Q$503,_calc!$E$147)),"Medium"))</f>
        <v/>
      </c>
      <c r="F145" s="46">
        <f>IF(_calc!$E$147="","",IF(_calc!$E$147&lt;=500,TRIM(IF(LEN(IF(LEN(INDEX('Our policies'!$B$4:$B$503,_calc!$E$147))=0,"",INDEX('Our policies'!$B$4:$B$503,_calc!$E$147)))=0,"","Cover: "&amp;IF(LEN(INDEX('Our policies'!$B$4:$B$503,_calc!$E$147))=0,"",INDEX('Our policies'!$B$4:$B$503,_calc!$E$147))&amp;". ")&amp;IF(LEN(IF(LEN(INDEX('Our policies'!$C$4:$C$503,_calc!$E$147))=0,"",INDEX('Our policies'!$C$4:$C$503,_calc!$E$147)))=0,"","Insurer: "&amp;IF(LEN(INDEX('Our policies'!$C$4:$C$503,_calc!$E$147))=0,"",INDEX('Our policies'!$C$4:$C$503,_calc!$E$147))&amp;". ")&amp;IF(LEN(IF(LEN(INDEX('Our policies'!$D$4:$D$503,_calc!$E$147))=0,"",INDEX('Our policies'!$D$4:$D$503,_calc!$E$147)))=0,"","Broker: "&amp;IF(LEN(INDEX('Our policies'!$D$4:$D$503,_calc!$E$147))=0,"",INDEX('Our policies'!$D$4:$D$503,_calc!$E$147))&amp;". ")&amp;IF(LEN(IF(LEN(INDEX('Our policies'!$E$4:$E$503,_calc!$E$147))=0,"",INDEX('Our policies'!$E$4:$E$503,_calc!$E$147)))=0,"","Policy no.: "&amp;IF(LEN(INDEX('Our policies'!$E$4:$E$503,_calc!$E$147))=0,"",INDEX('Our policies'!$E$4:$E$503,_calc!$E$147))&amp;". ")&amp;IF(LEN(IF(LEN(INDEX('Our policies'!$S$4:$S$503,_calc!$E$147))=0,"",INDEX('Our policies'!$S$4:$S$503,_calc!$E$147)))=0,"",IF(LEN(INDEX('Our policies'!$S$4:$S$503,_calc!$E$147))=0,"",INDEX('Our policies'!$S$4:$S$503,_calc!$E$147)))),TRIM(IF(LEN(IF(LEN(INDEX('Vendor COIs'!$C$4:$C$503,(_calc!$E$147-500)))=0,"",INDEX('Vendor COIs'!$C$4:$C$503,(_calc!$E$147-500))))=0,"","Insurer: "&amp;IF(LEN(INDEX('Vendor COIs'!$C$4:$C$503,(_calc!$E$147-500)))=0,"",INDEX('Vendor COIs'!$C$4:$C$503,(_calc!$E$147-500)))&amp;". ")&amp;IF(LEN(IF(LEN(INDEX('Vendor COIs'!$D$4:$D$503,(_calc!$E$147-500)))=0,"",INDEX('Vendor COIs'!$D$4:$D$503,(_calc!$E$147-500))))=0,"","Policy no.: "&amp;IF(LEN(INDEX('Vendor COIs'!$D$4:$D$503,(_calc!$E$147-500)))=0,"",INDEX('Vendor COIs'!$D$4:$D$503,(_calc!$E$147-500)))&amp;". ")&amp;IF(LEN(IF(LEN(INDEX('Vendor COIs'!$F$4:$F$503,(_calc!$E$147-500)))=0,"",INDEX('Vendor COIs'!$F$4:$F$503,(_calc!$E$147-500))))=0,"","Meets minimum: "&amp;IF(LEN(INDEX('Vendor COIs'!$F$4:$F$503,(_calc!$E$147-500)))=0,"",INDEX('Vendor COIs'!$F$4:$F$503,(_calc!$E$147-500)))&amp;". ")&amp;IF(LEN(IF(LEN(INDEX('Vendor COIs'!$G$4:$G$503,(_calc!$E$147-500)))=0,"",INDEX('Vendor COIs'!$G$4:$G$503,(_calc!$E$147-500))))=0,"","Additional insured: "&amp;IF(LEN(INDEX('Vendor COIs'!$G$4:$G$503,(_calc!$E$147-500)))=0,"",INDEX('Vendor COIs'!$G$4:$G$503,(_calc!$E$147-500)))&amp;". ")&amp;IF(LEN(IF(LEN(INDEX('Vendor COIs'!$M$4:$M$503,(_calc!$E$147-500)))=0,"",INDEX('Vendor COIs'!$M$4:$M$503,(_calc!$E$147-500))))=0,"","Vendor contact: "&amp;IF(LEN(INDEX('Vendor COIs'!$M$4:$M$503,(_calc!$E$147-500)))=0,"",INDEX('Vendor COIs'!$M$4:$M$503,(_calc!$E$147-500)))&amp;". ")&amp;IF(LEN(IF(LEN(INDEX('Vendor COIs'!$P$4:$P$503,(_calc!$E$147-500)))=0,"",INDEX('Vendor COIs'!$P$4:$P$503,(_calc!$E$147-500))))=0,"",IF(LEN(INDEX('Vendor COIs'!$P$4:$P$503,(_calc!$E$147-500)))=0,"",INDEX('Vendor COIs'!$P$4:$P$503,(_calc!$E$147-500)))))))</f>
        <v/>
      </c>
      <c r="G145" s="46">
        <f>IF(_calc!$E$147="","",IF(_calc!$E$147&lt;=500,IF(LEN(INDEX('Our policies'!$R$4:$R$503,_calc!$E$147))=0,"",INDEX('Our policies'!$R$4:$R$503,_calc!$E$147)),IF(LEN(INDEX('Vendor COIs'!$O$4:$O$503,(_calc!$E$147-500)))=0,"",INDEX('Vendor COIs'!$O$4:$O$503,(_calc!$E$147-500)))))</f>
        <v/>
      </c>
      <c r="H145" s="46">
        <f>IF(_calc!$E$147="","",IF(_calc!$E$147&lt;=500,IF(LEN(INDEX('Our policies'!$G$4:$G$503,_calc!$E$147))=0,"",INDEX('Our policies'!$G$4:$G$503,_calc!$E$147)),""))</f>
        <v/>
      </c>
      <c r="I145" s="46">
        <f>IF(_calc!$E$147="","",IF(_calc!$E$147&lt;=500,IF(LEN(INDEX('Our policies'!$H$4:$H$503,_calc!$E$147))=0,"",INDEX('Our policies'!$H$4:$H$503,_calc!$E$147)),""))</f>
        <v/>
      </c>
      <c r="K145" s="46">
        <f>IF(_calc!$E$147="","",IF(_calc!$E$147&lt;=500,IF(LEN(INDEX('Our policies'!$P$4:$P$503,_calc!$E$147))=0,"",INDEX('Our policies'!$P$4:$P$503,_calc!$E$147)),IF(LEN(INDEX('Vendor COIs'!$N$4:$N$503,(_calc!$E$147-500)))=0,"",INDEX('Vendor COIs'!$N$4:$N$503,(_calc!$E$147-500)))))</f>
        <v/>
      </c>
    </row>
    <row r="146">
      <c r="A146" s="46">
        <f>IF(_calc!$E$148="","",IF(_calc!$E$148&lt;=500,IF(LEN(INDEX('Our policies'!$A$4:$A$503,_calc!$E$148))=0,"",INDEX('Our policies'!$A$4:$A$503,_calc!$E$148)),"COI – "&amp;IF(LEN(INDEX('Vendor COIs'!$A$4:$A$503,(_calc!$E$148-500)))=0,"",INDEX('Vendor COIs'!$A$4:$A$503,(_calc!$E$148-500)))&amp;" – "&amp;IF(LEN(INDEX('Vendor COIs'!$B$4:$B$503,(_calc!$E$148-500)))=0,"",INDEX('Vendor COIs'!$B$4:$B$503,(_calc!$E$148-500)))))</f>
        <v/>
      </c>
      <c r="B146" s="46">
        <f>IF(_calc!$E$148="","",IF(_calc!$E$148&lt;=500,IF(ISNUMBER(INDEX('Our policies'!$J$4:$J$503,_calc!$E$148)),TEXT(INDEX('Our policies'!$J$4:$J$503,_calc!$E$148),"yyyy-mm-dd"),""),IF(ISNUMBER(INDEX('Vendor COIs'!$H$4:$H$503,(_calc!$E$148-500))),TEXT(INDEX('Vendor COIs'!$H$4:$H$503,(_calc!$E$148-500)),"yyyy-mm-dd"),"")))</f>
        <v/>
      </c>
      <c r="C146" s="46">
        <f>IF(_calc!$E$148="","",IF(_calc!$E$148&lt;=500,"Insurance","Certificate of insurance"))</f>
        <v/>
      </c>
      <c r="D146" s="46">
        <f>IF(_calc!$E$148="","",IF(_calc!$E$148&lt;=500,IF(ISNUMBER(INDEX('Our policies'!$I$4:$I$503,_calc!$E$148)),TEXT(INDEX('Our policies'!$I$4:$I$503,_calc!$E$148),"yyyy-mm-dd"),""),""))</f>
        <v/>
      </c>
      <c r="E146" s="46">
        <f>IF(_calc!$E$148="","",IF(_calc!$E$148&lt;=500,IF(LEN(INDEX('Our policies'!$Q$4:$Q$503,_calc!$E$148))=0,"",INDEX('Our policies'!$Q$4:$Q$503,_calc!$E$148)),"Medium"))</f>
        <v/>
      </c>
      <c r="F146" s="46">
        <f>IF(_calc!$E$148="","",IF(_calc!$E$148&lt;=500,TRIM(IF(LEN(IF(LEN(INDEX('Our policies'!$B$4:$B$503,_calc!$E$148))=0,"",INDEX('Our policies'!$B$4:$B$503,_calc!$E$148)))=0,"","Cover: "&amp;IF(LEN(INDEX('Our policies'!$B$4:$B$503,_calc!$E$148))=0,"",INDEX('Our policies'!$B$4:$B$503,_calc!$E$148))&amp;". ")&amp;IF(LEN(IF(LEN(INDEX('Our policies'!$C$4:$C$503,_calc!$E$148))=0,"",INDEX('Our policies'!$C$4:$C$503,_calc!$E$148)))=0,"","Insurer: "&amp;IF(LEN(INDEX('Our policies'!$C$4:$C$503,_calc!$E$148))=0,"",INDEX('Our policies'!$C$4:$C$503,_calc!$E$148))&amp;". ")&amp;IF(LEN(IF(LEN(INDEX('Our policies'!$D$4:$D$503,_calc!$E$148))=0,"",INDEX('Our policies'!$D$4:$D$503,_calc!$E$148)))=0,"","Broker: "&amp;IF(LEN(INDEX('Our policies'!$D$4:$D$503,_calc!$E$148))=0,"",INDEX('Our policies'!$D$4:$D$503,_calc!$E$148))&amp;". ")&amp;IF(LEN(IF(LEN(INDEX('Our policies'!$E$4:$E$503,_calc!$E$148))=0,"",INDEX('Our policies'!$E$4:$E$503,_calc!$E$148)))=0,"","Policy no.: "&amp;IF(LEN(INDEX('Our policies'!$E$4:$E$503,_calc!$E$148))=0,"",INDEX('Our policies'!$E$4:$E$503,_calc!$E$148))&amp;". ")&amp;IF(LEN(IF(LEN(INDEX('Our policies'!$S$4:$S$503,_calc!$E$148))=0,"",INDEX('Our policies'!$S$4:$S$503,_calc!$E$148)))=0,"",IF(LEN(INDEX('Our policies'!$S$4:$S$503,_calc!$E$148))=0,"",INDEX('Our policies'!$S$4:$S$503,_calc!$E$148)))),TRIM(IF(LEN(IF(LEN(INDEX('Vendor COIs'!$C$4:$C$503,(_calc!$E$148-500)))=0,"",INDEX('Vendor COIs'!$C$4:$C$503,(_calc!$E$148-500))))=0,"","Insurer: "&amp;IF(LEN(INDEX('Vendor COIs'!$C$4:$C$503,(_calc!$E$148-500)))=0,"",INDEX('Vendor COIs'!$C$4:$C$503,(_calc!$E$148-500)))&amp;". ")&amp;IF(LEN(IF(LEN(INDEX('Vendor COIs'!$D$4:$D$503,(_calc!$E$148-500)))=0,"",INDEX('Vendor COIs'!$D$4:$D$503,(_calc!$E$148-500))))=0,"","Policy no.: "&amp;IF(LEN(INDEX('Vendor COIs'!$D$4:$D$503,(_calc!$E$148-500)))=0,"",INDEX('Vendor COIs'!$D$4:$D$503,(_calc!$E$148-500)))&amp;". ")&amp;IF(LEN(IF(LEN(INDEX('Vendor COIs'!$F$4:$F$503,(_calc!$E$148-500)))=0,"",INDEX('Vendor COIs'!$F$4:$F$503,(_calc!$E$148-500))))=0,"","Meets minimum: "&amp;IF(LEN(INDEX('Vendor COIs'!$F$4:$F$503,(_calc!$E$148-500)))=0,"",INDEX('Vendor COIs'!$F$4:$F$503,(_calc!$E$148-500)))&amp;". ")&amp;IF(LEN(IF(LEN(INDEX('Vendor COIs'!$G$4:$G$503,(_calc!$E$148-500)))=0,"",INDEX('Vendor COIs'!$G$4:$G$503,(_calc!$E$148-500))))=0,"","Additional insured: "&amp;IF(LEN(INDEX('Vendor COIs'!$G$4:$G$503,(_calc!$E$148-500)))=0,"",INDEX('Vendor COIs'!$G$4:$G$503,(_calc!$E$148-500)))&amp;". ")&amp;IF(LEN(IF(LEN(INDEX('Vendor COIs'!$M$4:$M$503,(_calc!$E$148-500)))=0,"",INDEX('Vendor COIs'!$M$4:$M$503,(_calc!$E$148-500))))=0,"","Vendor contact: "&amp;IF(LEN(INDEX('Vendor COIs'!$M$4:$M$503,(_calc!$E$148-500)))=0,"",INDEX('Vendor COIs'!$M$4:$M$503,(_calc!$E$148-500)))&amp;". ")&amp;IF(LEN(IF(LEN(INDEX('Vendor COIs'!$P$4:$P$503,(_calc!$E$148-500)))=0,"",INDEX('Vendor COIs'!$P$4:$P$503,(_calc!$E$148-500))))=0,"",IF(LEN(INDEX('Vendor COIs'!$P$4:$P$503,(_calc!$E$148-500)))=0,"",INDEX('Vendor COIs'!$P$4:$P$503,(_calc!$E$148-500)))))))</f>
        <v/>
      </c>
      <c r="G146" s="46">
        <f>IF(_calc!$E$148="","",IF(_calc!$E$148&lt;=500,IF(LEN(INDEX('Our policies'!$R$4:$R$503,_calc!$E$148))=0,"",INDEX('Our policies'!$R$4:$R$503,_calc!$E$148)),IF(LEN(INDEX('Vendor COIs'!$O$4:$O$503,(_calc!$E$148-500)))=0,"",INDEX('Vendor COIs'!$O$4:$O$503,(_calc!$E$148-500)))))</f>
        <v/>
      </c>
      <c r="H146" s="46">
        <f>IF(_calc!$E$148="","",IF(_calc!$E$148&lt;=500,IF(LEN(INDEX('Our policies'!$G$4:$G$503,_calc!$E$148))=0,"",INDEX('Our policies'!$G$4:$G$503,_calc!$E$148)),""))</f>
        <v/>
      </c>
      <c r="I146" s="46">
        <f>IF(_calc!$E$148="","",IF(_calc!$E$148&lt;=500,IF(LEN(INDEX('Our policies'!$H$4:$H$503,_calc!$E$148))=0,"",INDEX('Our policies'!$H$4:$H$503,_calc!$E$148)),""))</f>
        <v/>
      </c>
      <c r="K146" s="46">
        <f>IF(_calc!$E$148="","",IF(_calc!$E$148&lt;=500,IF(LEN(INDEX('Our policies'!$P$4:$P$503,_calc!$E$148))=0,"",INDEX('Our policies'!$P$4:$P$503,_calc!$E$148)),IF(LEN(INDEX('Vendor COIs'!$N$4:$N$503,(_calc!$E$148-500)))=0,"",INDEX('Vendor COIs'!$N$4:$N$503,(_calc!$E$148-500)))))</f>
        <v/>
      </c>
    </row>
    <row r="147">
      <c r="A147" s="46">
        <f>IF(_calc!$E$149="","",IF(_calc!$E$149&lt;=500,IF(LEN(INDEX('Our policies'!$A$4:$A$503,_calc!$E$149))=0,"",INDEX('Our policies'!$A$4:$A$503,_calc!$E$149)),"COI – "&amp;IF(LEN(INDEX('Vendor COIs'!$A$4:$A$503,(_calc!$E$149-500)))=0,"",INDEX('Vendor COIs'!$A$4:$A$503,(_calc!$E$149-500)))&amp;" – "&amp;IF(LEN(INDEX('Vendor COIs'!$B$4:$B$503,(_calc!$E$149-500)))=0,"",INDEX('Vendor COIs'!$B$4:$B$503,(_calc!$E$149-500)))))</f>
        <v/>
      </c>
      <c r="B147" s="46">
        <f>IF(_calc!$E$149="","",IF(_calc!$E$149&lt;=500,IF(ISNUMBER(INDEX('Our policies'!$J$4:$J$503,_calc!$E$149)),TEXT(INDEX('Our policies'!$J$4:$J$503,_calc!$E$149),"yyyy-mm-dd"),""),IF(ISNUMBER(INDEX('Vendor COIs'!$H$4:$H$503,(_calc!$E$149-500))),TEXT(INDEX('Vendor COIs'!$H$4:$H$503,(_calc!$E$149-500)),"yyyy-mm-dd"),"")))</f>
        <v/>
      </c>
      <c r="C147" s="46">
        <f>IF(_calc!$E$149="","",IF(_calc!$E$149&lt;=500,"Insurance","Certificate of insurance"))</f>
        <v/>
      </c>
      <c r="D147" s="46">
        <f>IF(_calc!$E$149="","",IF(_calc!$E$149&lt;=500,IF(ISNUMBER(INDEX('Our policies'!$I$4:$I$503,_calc!$E$149)),TEXT(INDEX('Our policies'!$I$4:$I$503,_calc!$E$149),"yyyy-mm-dd"),""),""))</f>
        <v/>
      </c>
      <c r="E147" s="46">
        <f>IF(_calc!$E$149="","",IF(_calc!$E$149&lt;=500,IF(LEN(INDEX('Our policies'!$Q$4:$Q$503,_calc!$E$149))=0,"",INDEX('Our policies'!$Q$4:$Q$503,_calc!$E$149)),"Medium"))</f>
        <v/>
      </c>
      <c r="F147" s="46">
        <f>IF(_calc!$E$149="","",IF(_calc!$E$149&lt;=500,TRIM(IF(LEN(IF(LEN(INDEX('Our policies'!$B$4:$B$503,_calc!$E$149))=0,"",INDEX('Our policies'!$B$4:$B$503,_calc!$E$149)))=0,"","Cover: "&amp;IF(LEN(INDEX('Our policies'!$B$4:$B$503,_calc!$E$149))=0,"",INDEX('Our policies'!$B$4:$B$503,_calc!$E$149))&amp;". ")&amp;IF(LEN(IF(LEN(INDEX('Our policies'!$C$4:$C$503,_calc!$E$149))=0,"",INDEX('Our policies'!$C$4:$C$503,_calc!$E$149)))=0,"","Insurer: "&amp;IF(LEN(INDEX('Our policies'!$C$4:$C$503,_calc!$E$149))=0,"",INDEX('Our policies'!$C$4:$C$503,_calc!$E$149))&amp;". ")&amp;IF(LEN(IF(LEN(INDEX('Our policies'!$D$4:$D$503,_calc!$E$149))=0,"",INDEX('Our policies'!$D$4:$D$503,_calc!$E$149)))=0,"","Broker: "&amp;IF(LEN(INDEX('Our policies'!$D$4:$D$503,_calc!$E$149))=0,"",INDEX('Our policies'!$D$4:$D$503,_calc!$E$149))&amp;". ")&amp;IF(LEN(IF(LEN(INDEX('Our policies'!$E$4:$E$503,_calc!$E$149))=0,"",INDEX('Our policies'!$E$4:$E$503,_calc!$E$149)))=0,"","Policy no.: "&amp;IF(LEN(INDEX('Our policies'!$E$4:$E$503,_calc!$E$149))=0,"",INDEX('Our policies'!$E$4:$E$503,_calc!$E$149))&amp;". ")&amp;IF(LEN(IF(LEN(INDEX('Our policies'!$S$4:$S$503,_calc!$E$149))=0,"",INDEX('Our policies'!$S$4:$S$503,_calc!$E$149)))=0,"",IF(LEN(INDEX('Our policies'!$S$4:$S$503,_calc!$E$149))=0,"",INDEX('Our policies'!$S$4:$S$503,_calc!$E$149)))),TRIM(IF(LEN(IF(LEN(INDEX('Vendor COIs'!$C$4:$C$503,(_calc!$E$149-500)))=0,"",INDEX('Vendor COIs'!$C$4:$C$503,(_calc!$E$149-500))))=0,"","Insurer: "&amp;IF(LEN(INDEX('Vendor COIs'!$C$4:$C$503,(_calc!$E$149-500)))=0,"",INDEX('Vendor COIs'!$C$4:$C$503,(_calc!$E$149-500)))&amp;". ")&amp;IF(LEN(IF(LEN(INDEX('Vendor COIs'!$D$4:$D$503,(_calc!$E$149-500)))=0,"",INDEX('Vendor COIs'!$D$4:$D$503,(_calc!$E$149-500))))=0,"","Policy no.: "&amp;IF(LEN(INDEX('Vendor COIs'!$D$4:$D$503,(_calc!$E$149-500)))=0,"",INDEX('Vendor COIs'!$D$4:$D$503,(_calc!$E$149-500)))&amp;". ")&amp;IF(LEN(IF(LEN(INDEX('Vendor COIs'!$F$4:$F$503,(_calc!$E$149-500)))=0,"",INDEX('Vendor COIs'!$F$4:$F$503,(_calc!$E$149-500))))=0,"","Meets minimum: "&amp;IF(LEN(INDEX('Vendor COIs'!$F$4:$F$503,(_calc!$E$149-500)))=0,"",INDEX('Vendor COIs'!$F$4:$F$503,(_calc!$E$149-500)))&amp;". ")&amp;IF(LEN(IF(LEN(INDEX('Vendor COIs'!$G$4:$G$503,(_calc!$E$149-500)))=0,"",INDEX('Vendor COIs'!$G$4:$G$503,(_calc!$E$149-500))))=0,"","Additional insured: "&amp;IF(LEN(INDEX('Vendor COIs'!$G$4:$G$503,(_calc!$E$149-500)))=0,"",INDEX('Vendor COIs'!$G$4:$G$503,(_calc!$E$149-500)))&amp;". ")&amp;IF(LEN(IF(LEN(INDEX('Vendor COIs'!$M$4:$M$503,(_calc!$E$149-500)))=0,"",INDEX('Vendor COIs'!$M$4:$M$503,(_calc!$E$149-500))))=0,"","Vendor contact: "&amp;IF(LEN(INDEX('Vendor COIs'!$M$4:$M$503,(_calc!$E$149-500)))=0,"",INDEX('Vendor COIs'!$M$4:$M$503,(_calc!$E$149-500)))&amp;". ")&amp;IF(LEN(IF(LEN(INDEX('Vendor COIs'!$P$4:$P$503,(_calc!$E$149-500)))=0,"",INDEX('Vendor COIs'!$P$4:$P$503,(_calc!$E$149-500))))=0,"",IF(LEN(INDEX('Vendor COIs'!$P$4:$P$503,(_calc!$E$149-500)))=0,"",INDEX('Vendor COIs'!$P$4:$P$503,(_calc!$E$149-500)))))))</f>
        <v/>
      </c>
      <c r="G147" s="46">
        <f>IF(_calc!$E$149="","",IF(_calc!$E$149&lt;=500,IF(LEN(INDEX('Our policies'!$R$4:$R$503,_calc!$E$149))=0,"",INDEX('Our policies'!$R$4:$R$503,_calc!$E$149)),IF(LEN(INDEX('Vendor COIs'!$O$4:$O$503,(_calc!$E$149-500)))=0,"",INDEX('Vendor COIs'!$O$4:$O$503,(_calc!$E$149-500)))))</f>
        <v/>
      </c>
      <c r="H147" s="46">
        <f>IF(_calc!$E$149="","",IF(_calc!$E$149&lt;=500,IF(LEN(INDEX('Our policies'!$G$4:$G$503,_calc!$E$149))=0,"",INDEX('Our policies'!$G$4:$G$503,_calc!$E$149)),""))</f>
        <v/>
      </c>
      <c r="I147" s="46">
        <f>IF(_calc!$E$149="","",IF(_calc!$E$149&lt;=500,IF(LEN(INDEX('Our policies'!$H$4:$H$503,_calc!$E$149))=0,"",INDEX('Our policies'!$H$4:$H$503,_calc!$E$149)),""))</f>
        <v/>
      </c>
      <c r="K147" s="46">
        <f>IF(_calc!$E$149="","",IF(_calc!$E$149&lt;=500,IF(LEN(INDEX('Our policies'!$P$4:$P$503,_calc!$E$149))=0,"",INDEX('Our policies'!$P$4:$P$503,_calc!$E$149)),IF(LEN(INDEX('Vendor COIs'!$N$4:$N$503,(_calc!$E$149-500)))=0,"",INDEX('Vendor COIs'!$N$4:$N$503,(_calc!$E$149-500)))))</f>
        <v/>
      </c>
    </row>
    <row r="148">
      <c r="A148" s="46">
        <f>IF(_calc!$E$150="","",IF(_calc!$E$150&lt;=500,IF(LEN(INDEX('Our policies'!$A$4:$A$503,_calc!$E$150))=0,"",INDEX('Our policies'!$A$4:$A$503,_calc!$E$150)),"COI – "&amp;IF(LEN(INDEX('Vendor COIs'!$A$4:$A$503,(_calc!$E$150-500)))=0,"",INDEX('Vendor COIs'!$A$4:$A$503,(_calc!$E$150-500)))&amp;" – "&amp;IF(LEN(INDEX('Vendor COIs'!$B$4:$B$503,(_calc!$E$150-500)))=0,"",INDEX('Vendor COIs'!$B$4:$B$503,(_calc!$E$150-500)))))</f>
        <v/>
      </c>
      <c r="B148" s="46">
        <f>IF(_calc!$E$150="","",IF(_calc!$E$150&lt;=500,IF(ISNUMBER(INDEX('Our policies'!$J$4:$J$503,_calc!$E$150)),TEXT(INDEX('Our policies'!$J$4:$J$503,_calc!$E$150),"yyyy-mm-dd"),""),IF(ISNUMBER(INDEX('Vendor COIs'!$H$4:$H$503,(_calc!$E$150-500))),TEXT(INDEX('Vendor COIs'!$H$4:$H$503,(_calc!$E$150-500)),"yyyy-mm-dd"),"")))</f>
        <v/>
      </c>
      <c r="C148" s="46">
        <f>IF(_calc!$E$150="","",IF(_calc!$E$150&lt;=500,"Insurance","Certificate of insurance"))</f>
        <v/>
      </c>
      <c r="D148" s="46">
        <f>IF(_calc!$E$150="","",IF(_calc!$E$150&lt;=500,IF(ISNUMBER(INDEX('Our policies'!$I$4:$I$503,_calc!$E$150)),TEXT(INDEX('Our policies'!$I$4:$I$503,_calc!$E$150),"yyyy-mm-dd"),""),""))</f>
        <v/>
      </c>
      <c r="E148" s="46">
        <f>IF(_calc!$E$150="","",IF(_calc!$E$150&lt;=500,IF(LEN(INDEX('Our policies'!$Q$4:$Q$503,_calc!$E$150))=0,"",INDEX('Our policies'!$Q$4:$Q$503,_calc!$E$150)),"Medium"))</f>
        <v/>
      </c>
      <c r="F148" s="46">
        <f>IF(_calc!$E$150="","",IF(_calc!$E$150&lt;=500,TRIM(IF(LEN(IF(LEN(INDEX('Our policies'!$B$4:$B$503,_calc!$E$150))=0,"",INDEX('Our policies'!$B$4:$B$503,_calc!$E$150)))=0,"","Cover: "&amp;IF(LEN(INDEX('Our policies'!$B$4:$B$503,_calc!$E$150))=0,"",INDEX('Our policies'!$B$4:$B$503,_calc!$E$150))&amp;". ")&amp;IF(LEN(IF(LEN(INDEX('Our policies'!$C$4:$C$503,_calc!$E$150))=0,"",INDEX('Our policies'!$C$4:$C$503,_calc!$E$150)))=0,"","Insurer: "&amp;IF(LEN(INDEX('Our policies'!$C$4:$C$503,_calc!$E$150))=0,"",INDEX('Our policies'!$C$4:$C$503,_calc!$E$150))&amp;". ")&amp;IF(LEN(IF(LEN(INDEX('Our policies'!$D$4:$D$503,_calc!$E$150))=0,"",INDEX('Our policies'!$D$4:$D$503,_calc!$E$150)))=0,"","Broker: "&amp;IF(LEN(INDEX('Our policies'!$D$4:$D$503,_calc!$E$150))=0,"",INDEX('Our policies'!$D$4:$D$503,_calc!$E$150))&amp;". ")&amp;IF(LEN(IF(LEN(INDEX('Our policies'!$E$4:$E$503,_calc!$E$150))=0,"",INDEX('Our policies'!$E$4:$E$503,_calc!$E$150)))=0,"","Policy no.: "&amp;IF(LEN(INDEX('Our policies'!$E$4:$E$503,_calc!$E$150))=0,"",INDEX('Our policies'!$E$4:$E$503,_calc!$E$150))&amp;". ")&amp;IF(LEN(IF(LEN(INDEX('Our policies'!$S$4:$S$503,_calc!$E$150))=0,"",INDEX('Our policies'!$S$4:$S$503,_calc!$E$150)))=0,"",IF(LEN(INDEX('Our policies'!$S$4:$S$503,_calc!$E$150))=0,"",INDEX('Our policies'!$S$4:$S$503,_calc!$E$150)))),TRIM(IF(LEN(IF(LEN(INDEX('Vendor COIs'!$C$4:$C$503,(_calc!$E$150-500)))=0,"",INDEX('Vendor COIs'!$C$4:$C$503,(_calc!$E$150-500))))=0,"","Insurer: "&amp;IF(LEN(INDEX('Vendor COIs'!$C$4:$C$503,(_calc!$E$150-500)))=0,"",INDEX('Vendor COIs'!$C$4:$C$503,(_calc!$E$150-500)))&amp;". ")&amp;IF(LEN(IF(LEN(INDEX('Vendor COIs'!$D$4:$D$503,(_calc!$E$150-500)))=0,"",INDEX('Vendor COIs'!$D$4:$D$503,(_calc!$E$150-500))))=0,"","Policy no.: "&amp;IF(LEN(INDEX('Vendor COIs'!$D$4:$D$503,(_calc!$E$150-500)))=0,"",INDEX('Vendor COIs'!$D$4:$D$503,(_calc!$E$150-500)))&amp;". ")&amp;IF(LEN(IF(LEN(INDEX('Vendor COIs'!$F$4:$F$503,(_calc!$E$150-500)))=0,"",INDEX('Vendor COIs'!$F$4:$F$503,(_calc!$E$150-500))))=0,"","Meets minimum: "&amp;IF(LEN(INDEX('Vendor COIs'!$F$4:$F$503,(_calc!$E$150-500)))=0,"",INDEX('Vendor COIs'!$F$4:$F$503,(_calc!$E$150-500)))&amp;". ")&amp;IF(LEN(IF(LEN(INDEX('Vendor COIs'!$G$4:$G$503,(_calc!$E$150-500)))=0,"",INDEX('Vendor COIs'!$G$4:$G$503,(_calc!$E$150-500))))=0,"","Additional insured: "&amp;IF(LEN(INDEX('Vendor COIs'!$G$4:$G$503,(_calc!$E$150-500)))=0,"",INDEX('Vendor COIs'!$G$4:$G$503,(_calc!$E$150-500)))&amp;". ")&amp;IF(LEN(IF(LEN(INDEX('Vendor COIs'!$M$4:$M$503,(_calc!$E$150-500)))=0,"",INDEX('Vendor COIs'!$M$4:$M$503,(_calc!$E$150-500))))=0,"","Vendor contact: "&amp;IF(LEN(INDEX('Vendor COIs'!$M$4:$M$503,(_calc!$E$150-500)))=0,"",INDEX('Vendor COIs'!$M$4:$M$503,(_calc!$E$150-500)))&amp;". ")&amp;IF(LEN(IF(LEN(INDEX('Vendor COIs'!$P$4:$P$503,(_calc!$E$150-500)))=0,"",INDEX('Vendor COIs'!$P$4:$P$503,(_calc!$E$150-500))))=0,"",IF(LEN(INDEX('Vendor COIs'!$P$4:$P$503,(_calc!$E$150-500)))=0,"",INDEX('Vendor COIs'!$P$4:$P$503,(_calc!$E$150-500)))))))</f>
        <v/>
      </c>
      <c r="G148" s="46">
        <f>IF(_calc!$E$150="","",IF(_calc!$E$150&lt;=500,IF(LEN(INDEX('Our policies'!$R$4:$R$503,_calc!$E$150))=0,"",INDEX('Our policies'!$R$4:$R$503,_calc!$E$150)),IF(LEN(INDEX('Vendor COIs'!$O$4:$O$503,(_calc!$E$150-500)))=0,"",INDEX('Vendor COIs'!$O$4:$O$503,(_calc!$E$150-500)))))</f>
        <v/>
      </c>
      <c r="H148" s="46">
        <f>IF(_calc!$E$150="","",IF(_calc!$E$150&lt;=500,IF(LEN(INDEX('Our policies'!$G$4:$G$503,_calc!$E$150))=0,"",INDEX('Our policies'!$G$4:$G$503,_calc!$E$150)),""))</f>
        <v/>
      </c>
      <c r="I148" s="46">
        <f>IF(_calc!$E$150="","",IF(_calc!$E$150&lt;=500,IF(LEN(INDEX('Our policies'!$H$4:$H$503,_calc!$E$150))=0,"",INDEX('Our policies'!$H$4:$H$503,_calc!$E$150)),""))</f>
        <v/>
      </c>
      <c r="K148" s="46">
        <f>IF(_calc!$E$150="","",IF(_calc!$E$150&lt;=500,IF(LEN(INDEX('Our policies'!$P$4:$P$503,_calc!$E$150))=0,"",INDEX('Our policies'!$P$4:$P$503,_calc!$E$150)),IF(LEN(INDEX('Vendor COIs'!$N$4:$N$503,(_calc!$E$150-500)))=0,"",INDEX('Vendor COIs'!$N$4:$N$503,(_calc!$E$150-500)))))</f>
        <v/>
      </c>
    </row>
    <row r="149">
      <c r="A149" s="46">
        <f>IF(_calc!$E$151="","",IF(_calc!$E$151&lt;=500,IF(LEN(INDEX('Our policies'!$A$4:$A$503,_calc!$E$151))=0,"",INDEX('Our policies'!$A$4:$A$503,_calc!$E$151)),"COI – "&amp;IF(LEN(INDEX('Vendor COIs'!$A$4:$A$503,(_calc!$E$151-500)))=0,"",INDEX('Vendor COIs'!$A$4:$A$503,(_calc!$E$151-500)))&amp;" – "&amp;IF(LEN(INDEX('Vendor COIs'!$B$4:$B$503,(_calc!$E$151-500)))=0,"",INDEX('Vendor COIs'!$B$4:$B$503,(_calc!$E$151-500)))))</f>
        <v/>
      </c>
      <c r="B149" s="46">
        <f>IF(_calc!$E$151="","",IF(_calc!$E$151&lt;=500,IF(ISNUMBER(INDEX('Our policies'!$J$4:$J$503,_calc!$E$151)),TEXT(INDEX('Our policies'!$J$4:$J$503,_calc!$E$151),"yyyy-mm-dd"),""),IF(ISNUMBER(INDEX('Vendor COIs'!$H$4:$H$503,(_calc!$E$151-500))),TEXT(INDEX('Vendor COIs'!$H$4:$H$503,(_calc!$E$151-500)),"yyyy-mm-dd"),"")))</f>
        <v/>
      </c>
      <c r="C149" s="46">
        <f>IF(_calc!$E$151="","",IF(_calc!$E$151&lt;=500,"Insurance","Certificate of insurance"))</f>
        <v/>
      </c>
      <c r="D149" s="46">
        <f>IF(_calc!$E$151="","",IF(_calc!$E$151&lt;=500,IF(ISNUMBER(INDEX('Our policies'!$I$4:$I$503,_calc!$E$151)),TEXT(INDEX('Our policies'!$I$4:$I$503,_calc!$E$151),"yyyy-mm-dd"),""),""))</f>
        <v/>
      </c>
      <c r="E149" s="46">
        <f>IF(_calc!$E$151="","",IF(_calc!$E$151&lt;=500,IF(LEN(INDEX('Our policies'!$Q$4:$Q$503,_calc!$E$151))=0,"",INDEX('Our policies'!$Q$4:$Q$503,_calc!$E$151)),"Medium"))</f>
        <v/>
      </c>
      <c r="F149" s="46">
        <f>IF(_calc!$E$151="","",IF(_calc!$E$151&lt;=500,TRIM(IF(LEN(IF(LEN(INDEX('Our policies'!$B$4:$B$503,_calc!$E$151))=0,"",INDEX('Our policies'!$B$4:$B$503,_calc!$E$151)))=0,"","Cover: "&amp;IF(LEN(INDEX('Our policies'!$B$4:$B$503,_calc!$E$151))=0,"",INDEX('Our policies'!$B$4:$B$503,_calc!$E$151))&amp;". ")&amp;IF(LEN(IF(LEN(INDEX('Our policies'!$C$4:$C$503,_calc!$E$151))=0,"",INDEX('Our policies'!$C$4:$C$503,_calc!$E$151)))=0,"","Insurer: "&amp;IF(LEN(INDEX('Our policies'!$C$4:$C$503,_calc!$E$151))=0,"",INDEX('Our policies'!$C$4:$C$503,_calc!$E$151))&amp;". ")&amp;IF(LEN(IF(LEN(INDEX('Our policies'!$D$4:$D$503,_calc!$E$151))=0,"",INDEX('Our policies'!$D$4:$D$503,_calc!$E$151)))=0,"","Broker: "&amp;IF(LEN(INDEX('Our policies'!$D$4:$D$503,_calc!$E$151))=0,"",INDEX('Our policies'!$D$4:$D$503,_calc!$E$151))&amp;". ")&amp;IF(LEN(IF(LEN(INDEX('Our policies'!$E$4:$E$503,_calc!$E$151))=0,"",INDEX('Our policies'!$E$4:$E$503,_calc!$E$151)))=0,"","Policy no.: "&amp;IF(LEN(INDEX('Our policies'!$E$4:$E$503,_calc!$E$151))=0,"",INDEX('Our policies'!$E$4:$E$503,_calc!$E$151))&amp;". ")&amp;IF(LEN(IF(LEN(INDEX('Our policies'!$S$4:$S$503,_calc!$E$151))=0,"",INDEX('Our policies'!$S$4:$S$503,_calc!$E$151)))=0,"",IF(LEN(INDEX('Our policies'!$S$4:$S$503,_calc!$E$151))=0,"",INDEX('Our policies'!$S$4:$S$503,_calc!$E$151)))),TRIM(IF(LEN(IF(LEN(INDEX('Vendor COIs'!$C$4:$C$503,(_calc!$E$151-500)))=0,"",INDEX('Vendor COIs'!$C$4:$C$503,(_calc!$E$151-500))))=0,"","Insurer: "&amp;IF(LEN(INDEX('Vendor COIs'!$C$4:$C$503,(_calc!$E$151-500)))=0,"",INDEX('Vendor COIs'!$C$4:$C$503,(_calc!$E$151-500)))&amp;". ")&amp;IF(LEN(IF(LEN(INDEX('Vendor COIs'!$D$4:$D$503,(_calc!$E$151-500)))=0,"",INDEX('Vendor COIs'!$D$4:$D$503,(_calc!$E$151-500))))=0,"","Policy no.: "&amp;IF(LEN(INDEX('Vendor COIs'!$D$4:$D$503,(_calc!$E$151-500)))=0,"",INDEX('Vendor COIs'!$D$4:$D$503,(_calc!$E$151-500)))&amp;". ")&amp;IF(LEN(IF(LEN(INDEX('Vendor COIs'!$F$4:$F$503,(_calc!$E$151-500)))=0,"",INDEX('Vendor COIs'!$F$4:$F$503,(_calc!$E$151-500))))=0,"","Meets minimum: "&amp;IF(LEN(INDEX('Vendor COIs'!$F$4:$F$503,(_calc!$E$151-500)))=0,"",INDEX('Vendor COIs'!$F$4:$F$503,(_calc!$E$151-500)))&amp;". ")&amp;IF(LEN(IF(LEN(INDEX('Vendor COIs'!$G$4:$G$503,(_calc!$E$151-500)))=0,"",INDEX('Vendor COIs'!$G$4:$G$503,(_calc!$E$151-500))))=0,"","Additional insured: "&amp;IF(LEN(INDEX('Vendor COIs'!$G$4:$G$503,(_calc!$E$151-500)))=0,"",INDEX('Vendor COIs'!$G$4:$G$503,(_calc!$E$151-500)))&amp;". ")&amp;IF(LEN(IF(LEN(INDEX('Vendor COIs'!$M$4:$M$503,(_calc!$E$151-500)))=0,"",INDEX('Vendor COIs'!$M$4:$M$503,(_calc!$E$151-500))))=0,"","Vendor contact: "&amp;IF(LEN(INDEX('Vendor COIs'!$M$4:$M$503,(_calc!$E$151-500)))=0,"",INDEX('Vendor COIs'!$M$4:$M$503,(_calc!$E$151-500)))&amp;". ")&amp;IF(LEN(IF(LEN(INDEX('Vendor COIs'!$P$4:$P$503,(_calc!$E$151-500)))=0,"",INDEX('Vendor COIs'!$P$4:$P$503,(_calc!$E$151-500))))=0,"",IF(LEN(INDEX('Vendor COIs'!$P$4:$P$503,(_calc!$E$151-500)))=0,"",INDEX('Vendor COIs'!$P$4:$P$503,(_calc!$E$151-500)))))))</f>
        <v/>
      </c>
      <c r="G149" s="46">
        <f>IF(_calc!$E$151="","",IF(_calc!$E$151&lt;=500,IF(LEN(INDEX('Our policies'!$R$4:$R$503,_calc!$E$151))=0,"",INDEX('Our policies'!$R$4:$R$503,_calc!$E$151)),IF(LEN(INDEX('Vendor COIs'!$O$4:$O$503,(_calc!$E$151-500)))=0,"",INDEX('Vendor COIs'!$O$4:$O$503,(_calc!$E$151-500)))))</f>
        <v/>
      </c>
      <c r="H149" s="46">
        <f>IF(_calc!$E$151="","",IF(_calc!$E$151&lt;=500,IF(LEN(INDEX('Our policies'!$G$4:$G$503,_calc!$E$151))=0,"",INDEX('Our policies'!$G$4:$G$503,_calc!$E$151)),""))</f>
        <v/>
      </c>
      <c r="I149" s="46">
        <f>IF(_calc!$E$151="","",IF(_calc!$E$151&lt;=500,IF(LEN(INDEX('Our policies'!$H$4:$H$503,_calc!$E$151))=0,"",INDEX('Our policies'!$H$4:$H$503,_calc!$E$151)),""))</f>
        <v/>
      </c>
      <c r="K149" s="46">
        <f>IF(_calc!$E$151="","",IF(_calc!$E$151&lt;=500,IF(LEN(INDEX('Our policies'!$P$4:$P$503,_calc!$E$151))=0,"",INDEX('Our policies'!$P$4:$P$503,_calc!$E$151)),IF(LEN(INDEX('Vendor COIs'!$N$4:$N$503,(_calc!$E$151-500)))=0,"",INDEX('Vendor COIs'!$N$4:$N$503,(_calc!$E$151-500)))))</f>
        <v/>
      </c>
    </row>
    <row r="150">
      <c r="A150" s="46">
        <f>IF(_calc!$E$152="","",IF(_calc!$E$152&lt;=500,IF(LEN(INDEX('Our policies'!$A$4:$A$503,_calc!$E$152))=0,"",INDEX('Our policies'!$A$4:$A$503,_calc!$E$152)),"COI – "&amp;IF(LEN(INDEX('Vendor COIs'!$A$4:$A$503,(_calc!$E$152-500)))=0,"",INDEX('Vendor COIs'!$A$4:$A$503,(_calc!$E$152-500)))&amp;" – "&amp;IF(LEN(INDEX('Vendor COIs'!$B$4:$B$503,(_calc!$E$152-500)))=0,"",INDEX('Vendor COIs'!$B$4:$B$503,(_calc!$E$152-500)))))</f>
        <v/>
      </c>
      <c r="B150" s="46">
        <f>IF(_calc!$E$152="","",IF(_calc!$E$152&lt;=500,IF(ISNUMBER(INDEX('Our policies'!$J$4:$J$503,_calc!$E$152)),TEXT(INDEX('Our policies'!$J$4:$J$503,_calc!$E$152),"yyyy-mm-dd"),""),IF(ISNUMBER(INDEX('Vendor COIs'!$H$4:$H$503,(_calc!$E$152-500))),TEXT(INDEX('Vendor COIs'!$H$4:$H$503,(_calc!$E$152-500)),"yyyy-mm-dd"),"")))</f>
        <v/>
      </c>
      <c r="C150" s="46">
        <f>IF(_calc!$E$152="","",IF(_calc!$E$152&lt;=500,"Insurance","Certificate of insurance"))</f>
        <v/>
      </c>
      <c r="D150" s="46">
        <f>IF(_calc!$E$152="","",IF(_calc!$E$152&lt;=500,IF(ISNUMBER(INDEX('Our policies'!$I$4:$I$503,_calc!$E$152)),TEXT(INDEX('Our policies'!$I$4:$I$503,_calc!$E$152),"yyyy-mm-dd"),""),""))</f>
        <v/>
      </c>
      <c r="E150" s="46">
        <f>IF(_calc!$E$152="","",IF(_calc!$E$152&lt;=500,IF(LEN(INDEX('Our policies'!$Q$4:$Q$503,_calc!$E$152))=0,"",INDEX('Our policies'!$Q$4:$Q$503,_calc!$E$152)),"Medium"))</f>
        <v/>
      </c>
      <c r="F150" s="46">
        <f>IF(_calc!$E$152="","",IF(_calc!$E$152&lt;=500,TRIM(IF(LEN(IF(LEN(INDEX('Our policies'!$B$4:$B$503,_calc!$E$152))=0,"",INDEX('Our policies'!$B$4:$B$503,_calc!$E$152)))=0,"","Cover: "&amp;IF(LEN(INDEX('Our policies'!$B$4:$B$503,_calc!$E$152))=0,"",INDEX('Our policies'!$B$4:$B$503,_calc!$E$152))&amp;". ")&amp;IF(LEN(IF(LEN(INDEX('Our policies'!$C$4:$C$503,_calc!$E$152))=0,"",INDEX('Our policies'!$C$4:$C$503,_calc!$E$152)))=0,"","Insurer: "&amp;IF(LEN(INDEX('Our policies'!$C$4:$C$503,_calc!$E$152))=0,"",INDEX('Our policies'!$C$4:$C$503,_calc!$E$152))&amp;". ")&amp;IF(LEN(IF(LEN(INDEX('Our policies'!$D$4:$D$503,_calc!$E$152))=0,"",INDEX('Our policies'!$D$4:$D$503,_calc!$E$152)))=0,"","Broker: "&amp;IF(LEN(INDEX('Our policies'!$D$4:$D$503,_calc!$E$152))=0,"",INDEX('Our policies'!$D$4:$D$503,_calc!$E$152))&amp;". ")&amp;IF(LEN(IF(LEN(INDEX('Our policies'!$E$4:$E$503,_calc!$E$152))=0,"",INDEX('Our policies'!$E$4:$E$503,_calc!$E$152)))=0,"","Policy no.: "&amp;IF(LEN(INDEX('Our policies'!$E$4:$E$503,_calc!$E$152))=0,"",INDEX('Our policies'!$E$4:$E$503,_calc!$E$152))&amp;". ")&amp;IF(LEN(IF(LEN(INDEX('Our policies'!$S$4:$S$503,_calc!$E$152))=0,"",INDEX('Our policies'!$S$4:$S$503,_calc!$E$152)))=0,"",IF(LEN(INDEX('Our policies'!$S$4:$S$503,_calc!$E$152))=0,"",INDEX('Our policies'!$S$4:$S$503,_calc!$E$152)))),TRIM(IF(LEN(IF(LEN(INDEX('Vendor COIs'!$C$4:$C$503,(_calc!$E$152-500)))=0,"",INDEX('Vendor COIs'!$C$4:$C$503,(_calc!$E$152-500))))=0,"","Insurer: "&amp;IF(LEN(INDEX('Vendor COIs'!$C$4:$C$503,(_calc!$E$152-500)))=0,"",INDEX('Vendor COIs'!$C$4:$C$503,(_calc!$E$152-500)))&amp;". ")&amp;IF(LEN(IF(LEN(INDEX('Vendor COIs'!$D$4:$D$503,(_calc!$E$152-500)))=0,"",INDEX('Vendor COIs'!$D$4:$D$503,(_calc!$E$152-500))))=0,"","Policy no.: "&amp;IF(LEN(INDEX('Vendor COIs'!$D$4:$D$503,(_calc!$E$152-500)))=0,"",INDEX('Vendor COIs'!$D$4:$D$503,(_calc!$E$152-500)))&amp;". ")&amp;IF(LEN(IF(LEN(INDEX('Vendor COIs'!$F$4:$F$503,(_calc!$E$152-500)))=0,"",INDEX('Vendor COIs'!$F$4:$F$503,(_calc!$E$152-500))))=0,"","Meets minimum: "&amp;IF(LEN(INDEX('Vendor COIs'!$F$4:$F$503,(_calc!$E$152-500)))=0,"",INDEX('Vendor COIs'!$F$4:$F$503,(_calc!$E$152-500)))&amp;". ")&amp;IF(LEN(IF(LEN(INDEX('Vendor COIs'!$G$4:$G$503,(_calc!$E$152-500)))=0,"",INDEX('Vendor COIs'!$G$4:$G$503,(_calc!$E$152-500))))=0,"","Additional insured: "&amp;IF(LEN(INDEX('Vendor COIs'!$G$4:$G$503,(_calc!$E$152-500)))=0,"",INDEX('Vendor COIs'!$G$4:$G$503,(_calc!$E$152-500)))&amp;". ")&amp;IF(LEN(IF(LEN(INDEX('Vendor COIs'!$M$4:$M$503,(_calc!$E$152-500)))=0,"",INDEX('Vendor COIs'!$M$4:$M$503,(_calc!$E$152-500))))=0,"","Vendor contact: "&amp;IF(LEN(INDEX('Vendor COIs'!$M$4:$M$503,(_calc!$E$152-500)))=0,"",INDEX('Vendor COIs'!$M$4:$M$503,(_calc!$E$152-500)))&amp;". ")&amp;IF(LEN(IF(LEN(INDEX('Vendor COIs'!$P$4:$P$503,(_calc!$E$152-500)))=0,"",INDEX('Vendor COIs'!$P$4:$P$503,(_calc!$E$152-500))))=0,"",IF(LEN(INDEX('Vendor COIs'!$P$4:$P$503,(_calc!$E$152-500)))=0,"",INDEX('Vendor COIs'!$P$4:$P$503,(_calc!$E$152-500)))))))</f>
        <v/>
      </c>
      <c r="G150" s="46">
        <f>IF(_calc!$E$152="","",IF(_calc!$E$152&lt;=500,IF(LEN(INDEX('Our policies'!$R$4:$R$503,_calc!$E$152))=0,"",INDEX('Our policies'!$R$4:$R$503,_calc!$E$152)),IF(LEN(INDEX('Vendor COIs'!$O$4:$O$503,(_calc!$E$152-500)))=0,"",INDEX('Vendor COIs'!$O$4:$O$503,(_calc!$E$152-500)))))</f>
        <v/>
      </c>
      <c r="H150" s="46">
        <f>IF(_calc!$E$152="","",IF(_calc!$E$152&lt;=500,IF(LEN(INDEX('Our policies'!$G$4:$G$503,_calc!$E$152))=0,"",INDEX('Our policies'!$G$4:$G$503,_calc!$E$152)),""))</f>
        <v/>
      </c>
      <c r="I150" s="46">
        <f>IF(_calc!$E$152="","",IF(_calc!$E$152&lt;=500,IF(LEN(INDEX('Our policies'!$H$4:$H$503,_calc!$E$152))=0,"",INDEX('Our policies'!$H$4:$H$503,_calc!$E$152)),""))</f>
        <v/>
      </c>
      <c r="K150" s="46">
        <f>IF(_calc!$E$152="","",IF(_calc!$E$152&lt;=500,IF(LEN(INDEX('Our policies'!$P$4:$P$503,_calc!$E$152))=0,"",INDEX('Our policies'!$P$4:$P$503,_calc!$E$152)),IF(LEN(INDEX('Vendor COIs'!$N$4:$N$503,(_calc!$E$152-500)))=0,"",INDEX('Vendor COIs'!$N$4:$N$503,(_calc!$E$152-500)))))</f>
        <v/>
      </c>
    </row>
    <row r="151">
      <c r="A151" s="46">
        <f>IF(_calc!$E$153="","",IF(_calc!$E$153&lt;=500,IF(LEN(INDEX('Our policies'!$A$4:$A$503,_calc!$E$153))=0,"",INDEX('Our policies'!$A$4:$A$503,_calc!$E$153)),"COI – "&amp;IF(LEN(INDEX('Vendor COIs'!$A$4:$A$503,(_calc!$E$153-500)))=0,"",INDEX('Vendor COIs'!$A$4:$A$503,(_calc!$E$153-500)))&amp;" – "&amp;IF(LEN(INDEX('Vendor COIs'!$B$4:$B$503,(_calc!$E$153-500)))=0,"",INDEX('Vendor COIs'!$B$4:$B$503,(_calc!$E$153-500)))))</f>
        <v/>
      </c>
      <c r="B151" s="46">
        <f>IF(_calc!$E$153="","",IF(_calc!$E$153&lt;=500,IF(ISNUMBER(INDEX('Our policies'!$J$4:$J$503,_calc!$E$153)),TEXT(INDEX('Our policies'!$J$4:$J$503,_calc!$E$153),"yyyy-mm-dd"),""),IF(ISNUMBER(INDEX('Vendor COIs'!$H$4:$H$503,(_calc!$E$153-500))),TEXT(INDEX('Vendor COIs'!$H$4:$H$503,(_calc!$E$153-500)),"yyyy-mm-dd"),"")))</f>
        <v/>
      </c>
      <c r="C151" s="46">
        <f>IF(_calc!$E$153="","",IF(_calc!$E$153&lt;=500,"Insurance","Certificate of insurance"))</f>
        <v/>
      </c>
      <c r="D151" s="46">
        <f>IF(_calc!$E$153="","",IF(_calc!$E$153&lt;=500,IF(ISNUMBER(INDEX('Our policies'!$I$4:$I$503,_calc!$E$153)),TEXT(INDEX('Our policies'!$I$4:$I$503,_calc!$E$153),"yyyy-mm-dd"),""),""))</f>
        <v/>
      </c>
      <c r="E151" s="46">
        <f>IF(_calc!$E$153="","",IF(_calc!$E$153&lt;=500,IF(LEN(INDEX('Our policies'!$Q$4:$Q$503,_calc!$E$153))=0,"",INDEX('Our policies'!$Q$4:$Q$503,_calc!$E$153)),"Medium"))</f>
        <v/>
      </c>
      <c r="F151" s="46">
        <f>IF(_calc!$E$153="","",IF(_calc!$E$153&lt;=500,TRIM(IF(LEN(IF(LEN(INDEX('Our policies'!$B$4:$B$503,_calc!$E$153))=0,"",INDEX('Our policies'!$B$4:$B$503,_calc!$E$153)))=0,"","Cover: "&amp;IF(LEN(INDEX('Our policies'!$B$4:$B$503,_calc!$E$153))=0,"",INDEX('Our policies'!$B$4:$B$503,_calc!$E$153))&amp;". ")&amp;IF(LEN(IF(LEN(INDEX('Our policies'!$C$4:$C$503,_calc!$E$153))=0,"",INDEX('Our policies'!$C$4:$C$503,_calc!$E$153)))=0,"","Insurer: "&amp;IF(LEN(INDEX('Our policies'!$C$4:$C$503,_calc!$E$153))=0,"",INDEX('Our policies'!$C$4:$C$503,_calc!$E$153))&amp;". ")&amp;IF(LEN(IF(LEN(INDEX('Our policies'!$D$4:$D$503,_calc!$E$153))=0,"",INDEX('Our policies'!$D$4:$D$503,_calc!$E$153)))=0,"","Broker: "&amp;IF(LEN(INDEX('Our policies'!$D$4:$D$503,_calc!$E$153))=0,"",INDEX('Our policies'!$D$4:$D$503,_calc!$E$153))&amp;". ")&amp;IF(LEN(IF(LEN(INDEX('Our policies'!$E$4:$E$503,_calc!$E$153))=0,"",INDEX('Our policies'!$E$4:$E$503,_calc!$E$153)))=0,"","Policy no.: "&amp;IF(LEN(INDEX('Our policies'!$E$4:$E$503,_calc!$E$153))=0,"",INDEX('Our policies'!$E$4:$E$503,_calc!$E$153))&amp;". ")&amp;IF(LEN(IF(LEN(INDEX('Our policies'!$S$4:$S$503,_calc!$E$153))=0,"",INDEX('Our policies'!$S$4:$S$503,_calc!$E$153)))=0,"",IF(LEN(INDEX('Our policies'!$S$4:$S$503,_calc!$E$153))=0,"",INDEX('Our policies'!$S$4:$S$503,_calc!$E$153)))),TRIM(IF(LEN(IF(LEN(INDEX('Vendor COIs'!$C$4:$C$503,(_calc!$E$153-500)))=0,"",INDEX('Vendor COIs'!$C$4:$C$503,(_calc!$E$153-500))))=0,"","Insurer: "&amp;IF(LEN(INDEX('Vendor COIs'!$C$4:$C$503,(_calc!$E$153-500)))=0,"",INDEX('Vendor COIs'!$C$4:$C$503,(_calc!$E$153-500)))&amp;". ")&amp;IF(LEN(IF(LEN(INDEX('Vendor COIs'!$D$4:$D$503,(_calc!$E$153-500)))=0,"",INDEX('Vendor COIs'!$D$4:$D$503,(_calc!$E$153-500))))=0,"","Policy no.: "&amp;IF(LEN(INDEX('Vendor COIs'!$D$4:$D$503,(_calc!$E$153-500)))=0,"",INDEX('Vendor COIs'!$D$4:$D$503,(_calc!$E$153-500)))&amp;". ")&amp;IF(LEN(IF(LEN(INDEX('Vendor COIs'!$F$4:$F$503,(_calc!$E$153-500)))=0,"",INDEX('Vendor COIs'!$F$4:$F$503,(_calc!$E$153-500))))=0,"","Meets minimum: "&amp;IF(LEN(INDEX('Vendor COIs'!$F$4:$F$503,(_calc!$E$153-500)))=0,"",INDEX('Vendor COIs'!$F$4:$F$503,(_calc!$E$153-500)))&amp;". ")&amp;IF(LEN(IF(LEN(INDEX('Vendor COIs'!$G$4:$G$503,(_calc!$E$153-500)))=0,"",INDEX('Vendor COIs'!$G$4:$G$503,(_calc!$E$153-500))))=0,"","Additional insured: "&amp;IF(LEN(INDEX('Vendor COIs'!$G$4:$G$503,(_calc!$E$153-500)))=0,"",INDEX('Vendor COIs'!$G$4:$G$503,(_calc!$E$153-500)))&amp;". ")&amp;IF(LEN(IF(LEN(INDEX('Vendor COIs'!$M$4:$M$503,(_calc!$E$153-500)))=0,"",INDEX('Vendor COIs'!$M$4:$M$503,(_calc!$E$153-500))))=0,"","Vendor contact: "&amp;IF(LEN(INDEX('Vendor COIs'!$M$4:$M$503,(_calc!$E$153-500)))=0,"",INDEX('Vendor COIs'!$M$4:$M$503,(_calc!$E$153-500)))&amp;". ")&amp;IF(LEN(IF(LEN(INDEX('Vendor COIs'!$P$4:$P$503,(_calc!$E$153-500)))=0,"",INDEX('Vendor COIs'!$P$4:$P$503,(_calc!$E$153-500))))=0,"",IF(LEN(INDEX('Vendor COIs'!$P$4:$P$503,(_calc!$E$153-500)))=0,"",INDEX('Vendor COIs'!$P$4:$P$503,(_calc!$E$153-500)))))))</f>
        <v/>
      </c>
      <c r="G151" s="46">
        <f>IF(_calc!$E$153="","",IF(_calc!$E$153&lt;=500,IF(LEN(INDEX('Our policies'!$R$4:$R$503,_calc!$E$153))=0,"",INDEX('Our policies'!$R$4:$R$503,_calc!$E$153)),IF(LEN(INDEX('Vendor COIs'!$O$4:$O$503,(_calc!$E$153-500)))=0,"",INDEX('Vendor COIs'!$O$4:$O$503,(_calc!$E$153-500)))))</f>
        <v/>
      </c>
      <c r="H151" s="46">
        <f>IF(_calc!$E$153="","",IF(_calc!$E$153&lt;=500,IF(LEN(INDEX('Our policies'!$G$4:$G$503,_calc!$E$153))=0,"",INDEX('Our policies'!$G$4:$G$503,_calc!$E$153)),""))</f>
        <v/>
      </c>
      <c r="I151" s="46">
        <f>IF(_calc!$E$153="","",IF(_calc!$E$153&lt;=500,IF(LEN(INDEX('Our policies'!$H$4:$H$503,_calc!$E$153))=0,"",INDEX('Our policies'!$H$4:$H$503,_calc!$E$153)),""))</f>
        <v/>
      </c>
      <c r="K151" s="46">
        <f>IF(_calc!$E$153="","",IF(_calc!$E$153&lt;=500,IF(LEN(INDEX('Our policies'!$P$4:$P$503,_calc!$E$153))=0,"",INDEX('Our policies'!$P$4:$P$503,_calc!$E$153)),IF(LEN(INDEX('Vendor COIs'!$N$4:$N$503,(_calc!$E$153-500)))=0,"",INDEX('Vendor COIs'!$N$4:$N$503,(_calc!$E$153-500)))))</f>
        <v/>
      </c>
    </row>
    <row r="152">
      <c r="A152" s="46">
        <f>IF(_calc!$E$154="","",IF(_calc!$E$154&lt;=500,IF(LEN(INDEX('Our policies'!$A$4:$A$503,_calc!$E$154))=0,"",INDEX('Our policies'!$A$4:$A$503,_calc!$E$154)),"COI – "&amp;IF(LEN(INDEX('Vendor COIs'!$A$4:$A$503,(_calc!$E$154-500)))=0,"",INDEX('Vendor COIs'!$A$4:$A$503,(_calc!$E$154-500)))&amp;" – "&amp;IF(LEN(INDEX('Vendor COIs'!$B$4:$B$503,(_calc!$E$154-500)))=0,"",INDEX('Vendor COIs'!$B$4:$B$503,(_calc!$E$154-500)))))</f>
        <v/>
      </c>
      <c r="B152" s="46">
        <f>IF(_calc!$E$154="","",IF(_calc!$E$154&lt;=500,IF(ISNUMBER(INDEX('Our policies'!$J$4:$J$503,_calc!$E$154)),TEXT(INDEX('Our policies'!$J$4:$J$503,_calc!$E$154),"yyyy-mm-dd"),""),IF(ISNUMBER(INDEX('Vendor COIs'!$H$4:$H$503,(_calc!$E$154-500))),TEXT(INDEX('Vendor COIs'!$H$4:$H$503,(_calc!$E$154-500)),"yyyy-mm-dd"),"")))</f>
        <v/>
      </c>
      <c r="C152" s="46">
        <f>IF(_calc!$E$154="","",IF(_calc!$E$154&lt;=500,"Insurance","Certificate of insurance"))</f>
        <v/>
      </c>
      <c r="D152" s="46">
        <f>IF(_calc!$E$154="","",IF(_calc!$E$154&lt;=500,IF(ISNUMBER(INDEX('Our policies'!$I$4:$I$503,_calc!$E$154)),TEXT(INDEX('Our policies'!$I$4:$I$503,_calc!$E$154),"yyyy-mm-dd"),""),""))</f>
        <v/>
      </c>
      <c r="E152" s="46">
        <f>IF(_calc!$E$154="","",IF(_calc!$E$154&lt;=500,IF(LEN(INDEX('Our policies'!$Q$4:$Q$503,_calc!$E$154))=0,"",INDEX('Our policies'!$Q$4:$Q$503,_calc!$E$154)),"Medium"))</f>
        <v/>
      </c>
      <c r="F152" s="46">
        <f>IF(_calc!$E$154="","",IF(_calc!$E$154&lt;=500,TRIM(IF(LEN(IF(LEN(INDEX('Our policies'!$B$4:$B$503,_calc!$E$154))=0,"",INDEX('Our policies'!$B$4:$B$503,_calc!$E$154)))=0,"","Cover: "&amp;IF(LEN(INDEX('Our policies'!$B$4:$B$503,_calc!$E$154))=0,"",INDEX('Our policies'!$B$4:$B$503,_calc!$E$154))&amp;". ")&amp;IF(LEN(IF(LEN(INDEX('Our policies'!$C$4:$C$503,_calc!$E$154))=0,"",INDEX('Our policies'!$C$4:$C$503,_calc!$E$154)))=0,"","Insurer: "&amp;IF(LEN(INDEX('Our policies'!$C$4:$C$503,_calc!$E$154))=0,"",INDEX('Our policies'!$C$4:$C$503,_calc!$E$154))&amp;". ")&amp;IF(LEN(IF(LEN(INDEX('Our policies'!$D$4:$D$503,_calc!$E$154))=0,"",INDEX('Our policies'!$D$4:$D$503,_calc!$E$154)))=0,"","Broker: "&amp;IF(LEN(INDEX('Our policies'!$D$4:$D$503,_calc!$E$154))=0,"",INDEX('Our policies'!$D$4:$D$503,_calc!$E$154))&amp;". ")&amp;IF(LEN(IF(LEN(INDEX('Our policies'!$E$4:$E$503,_calc!$E$154))=0,"",INDEX('Our policies'!$E$4:$E$503,_calc!$E$154)))=0,"","Policy no.: "&amp;IF(LEN(INDEX('Our policies'!$E$4:$E$503,_calc!$E$154))=0,"",INDEX('Our policies'!$E$4:$E$503,_calc!$E$154))&amp;". ")&amp;IF(LEN(IF(LEN(INDEX('Our policies'!$S$4:$S$503,_calc!$E$154))=0,"",INDEX('Our policies'!$S$4:$S$503,_calc!$E$154)))=0,"",IF(LEN(INDEX('Our policies'!$S$4:$S$503,_calc!$E$154))=0,"",INDEX('Our policies'!$S$4:$S$503,_calc!$E$154)))),TRIM(IF(LEN(IF(LEN(INDEX('Vendor COIs'!$C$4:$C$503,(_calc!$E$154-500)))=0,"",INDEX('Vendor COIs'!$C$4:$C$503,(_calc!$E$154-500))))=0,"","Insurer: "&amp;IF(LEN(INDEX('Vendor COIs'!$C$4:$C$503,(_calc!$E$154-500)))=0,"",INDEX('Vendor COIs'!$C$4:$C$503,(_calc!$E$154-500)))&amp;". ")&amp;IF(LEN(IF(LEN(INDEX('Vendor COIs'!$D$4:$D$503,(_calc!$E$154-500)))=0,"",INDEX('Vendor COIs'!$D$4:$D$503,(_calc!$E$154-500))))=0,"","Policy no.: "&amp;IF(LEN(INDEX('Vendor COIs'!$D$4:$D$503,(_calc!$E$154-500)))=0,"",INDEX('Vendor COIs'!$D$4:$D$503,(_calc!$E$154-500)))&amp;". ")&amp;IF(LEN(IF(LEN(INDEX('Vendor COIs'!$F$4:$F$503,(_calc!$E$154-500)))=0,"",INDEX('Vendor COIs'!$F$4:$F$503,(_calc!$E$154-500))))=0,"","Meets minimum: "&amp;IF(LEN(INDEX('Vendor COIs'!$F$4:$F$503,(_calc!$E$154-500)))=0,"",INDEX('Vendor COIs'!$F$4:$F$503,(_calc!$E$154-500)))&amp;". ")&amp;IF(LEN(IF(LEN(INDEX('Vendor COIs'!$G$4:$G$503,(_calc!$E$154-500)))=0,"",INDEX('Vendor COIs'!$G$4:$G$503,(_calc!$E$154-500))))=0,"","Additional insured: "&amp;IF(LEN(INDEX('Vendor COIs'!$G$4:$G$503,(_calc!$E$154-500)))=0,"",INDEX('Vendor COIs'!$G$4:$G$503,(_calc!$E$154-500)))&amp;". ")&amp;IF(LEN(IF(LEN(INDEX('Vendor COIs'!$M$4:$M$503,(_calc!$E$154-500)))=0,"",INDEX('Vendor COIs'!$M$4:$M$503,(_calc!$E$154-500))))=0,"","Vendor contact: "&amp;IF(LEN(INDEX('Vendor COIs'!$M$4:$M$503,(_calc!$E$154-500)))=0,"",INDEX('Vendor COIs'!$M$4:$M$503,(_calc!$E$154-500)))&amp;". ")&amp;IF(LEN(IF(LEN(INDEX('Vendor COIs'!$P$4:$P$503,(_calc!$E$154-500)))=0,"",INDEX('Vendor COIs'!$P$4:$P$503,(_calc!$E$154-500))))=0,"",IF(LEN(INDEX('Vendor COIs'!$P$4:$P$503,(_calc!$E$154-500)))=0,"",INDEX('Vendor COIs'!$P$4:$P$503,(_calc!$E$154-500)))))))</f>
        <v/>
      </c>
      <c r="G152" s="46">
        <f>IF(_calc!$E$154="","",IF(_calc!$E$154&lt;=500,IF(LEN(INDEX('Our policies'!$R$4:$R$503,_calc!$E$154))=0,"",INDEX('Our policies'!$R$4:$R$503,_calc!$E$154)),IF(LEN(INDEX('Vendor COIs'!$O$4:$O$503,(_calc!$E$154-500)))=0,"",INDEX('Vendor COIs'!$O$4:$O$503,(_calc!$E$154-500)))))</f>
        <v/>
      </c>
      <c r="H152" s="46">
        <f>IF(_calc!$E$154="","",IF(_calc!$E$154&lt;=500,IF(LEN(INDEX('Our policies'!$G$4:$G$503,_calc!$E$154))=0,"",INDEX('Our policies'!$G$4:$G$503,_calc!$E$154)),""))</f>
        <v/>
      </c>
      <c r="I152" s="46">
        <f>IF(_calc!$E$154="","",IF(_calc!$E$154&lt;=500,IF(LEN(INDEX('Our policies'!$H$4:$H$503,_calc!$E$154))=0,"",INDEX('Our policies'!$H$4:$H$503,_calc!$E$154)),""))</f>
        <v/>
      </c>
      <c r="K152" s="46">
        <f>IF(_calc!$E$154="","",IF(_calc!$E$154&lt;=500,IF(LEN(INDEX('Our policies'!$P$4:$P$503,_calc!$E$154))=0,"",INDEX('Our policies'!$P$4:$P$503,_calc!$E$154)),IF(LEN(INDEX('Vendor COIs'!$N$4:$N$503,(_calc!$E$154-500)))=0,"",INDEX('Vendor COIs'!$N$4:$N$503,(_calc!$E$154-500)))))</f>
        <v/>
      </c>
    </row>
    <row r="153">
      <c r="A153" s="46">
        <f>IF(_calc!$E$155="","",IF(_calc!$E$155&lt;=500,IF(LEN(INDEX('Our policies'!$A$4:$A$503,_calc!$E$155))=0,"",INDEX('Our policies'!$A$4:$A$503,_calc!$E$155)),"COI – "&amp;IF(LEN(INDEX('Vendor COIs'!$A$4:$A$503,(_calc!$E$155-500)))=0,"",INDEX('Vendor COIs'!$A$4:$A$503,(_calc!$E$155-500)))&amp;" – "&amp;IF(LEN(INDEX('Vendor COIs'!$B$4:$B$503,(_calc!$E$155-500)))=0,"",INDEX('Vendor COIs'!$B$4:$B$503,(_calc!$E$155-500)))))</f>
        <v/>
      </c>
      <c r="B153" s="46">
        <f>IF(_calc!$E$155="","",IF(_calc!$E$155&lt;=500,IF(ISNUMBER(INDEX('Our policies'!$J$4:$J$503,_calc!$E$155)),TEXT(INDEX('Our policies'!$J$4:$J$503,_calc!$E$155),"yyyy-mm-dd"),""),IF(ISNUMBER(INDEX('Vendor COIs'!$H$4:$H$503,(_calc!$E$155-500))),TEXT(INDEX('Vendor COIs'!$H$4:$H$503,(_calc!$E$155-500)),"yyyy-mm-dd"),"")))</f>
        <v/>
      </c>
      <c r="C153" s="46">
        <f>IF(_calc!$E$155="","",IF(_calc!$E$155&lt;=500,"Insurance","Certificate of insurance"))</f>
        <v/>
      </c>
      <c r="D153" s="46">
        <f>IF(_calc!$E$155="","",IF(_calc!$E$155&lt;=500,IF(ISNUMBER(INDEX('Our policies'!$I$4:$I$503,_calc!$E$155)),TEXT(INDEX('Our policies'!$I$4:$I$503,_calc!$E$155),"yyyy-mm-dd"),""),""))</f>
        <v/>
      </c>
      <c r="E153" s="46">
        <f>IF(_calc!$E$155="","",IF(_calc!$E$155&lt;=500,IF(LEN(INDEX('Our policies'!$Q$4:$Q$503,_calc!$E$155))=0,"",INDEX('Our policies'!$Q$4:$Q$503,_calc!$E$155)),"Medium"))</f>
        <v/>
      </c>
      <c r="F153" s="46">
        <f>IF(_calc!$E$155="","",IF(_calc!$E$155&lt;=500,TRIM(IF(LEN(IF(LEN(INDEX('Our policies'!$B$4:$B$503,_calc!$E$155))=0,"",INDEX('Our policies'!$B$4:$B$503,_calc!$E$155)))=0,"","Cover: "&amp;IF(LEN(INDEX('Our policies'!$B$4:$B$503,_calc!$E$155))=0,"",INDEX('Our policies'!$B$4:$B$503,_calc!$E$155))&amp;". ")&amp;IF(LEN(IF(LEN(INDEX('Our policies'!$C$4:$C$503,_calc!$E$155))=0,"",INDEX('Our policies'!$C$4:$C$503,_calc!$E$155)))=0,"","Insurer: "&amp;IF(LEN(INDEX('Our policies'!$C$4:$C$503,_calc!$E$155))=0,"",INDEX('Our policies'!$C$4:$C$503,_calc!$E$155))&amp;". ")&amp;IF(LEN(IF(LEN(INDEX('Our policies'!$D$4:$D$503,_calc!$E$155))=0,"",INDEX('Our policies'!$D$4:$D$503,_calc!$E$155)))=0,"","Broker: "&amp;IF(LEN(INDEX('Our policies'!$D$4:$D$503,_calc!$E$155))=0,"",INDEX('Our policies'!$D$4:$D$503,_calc!$E$155))&amp;". ")&amp;IF(LEN(IF(LEN(INDEX('Our policies'!$E$4:$E$503,_calc!$E$155))=0,"",INDEX('Our policies'!$E$4:$E$503,_calc!$E$155)))=0,"","Policy no.: "&amp;IF(LEN(INDEX('Our policies'!$E$4:$E$503,_calc!$E$155))=0,"",INDEX('Our policies'!$E$4:$E$503,_calc!$E$155))&amp;". ")&amp;IF(LEN(IF(LEN(INDEX('Our policies'!$S$4:$S$503,_calc!$E$155))=0,"",INDEX('Our policies'!$S$4:$S$503,_calc!$E$155)))=0,"",IF(LEN(INDEX('Our policies'!$S$4:$S$503,_calc!$E$155))=0,"",INDEX('Our policies'!$S$4:$S$503,_calc!$E$155)))),TRIM(IF(LEN(IF(LEN(INDEX('Vendor COIs'!$C$4:$C$503,(_calc!$E$155-500)))=0,"",INDEX('Vendor COIs'!$C$4:$C$503,(_calc!$E$155-500))))=0,"","Insurer: "&amp;IF(LEN(INDEX('Vendor COIs'!$C$4:$C$503,(_calc!$E$155-500)))=0,"",INDEX('Vendor COIs'!$C$4:$C$503,(_calc!$E$155-500)))&amp;". ")&amp;IF(LEN(IF(LEN(INDEX('Vendor COIs'!$D$4:$D$503,(_calc!$E$155-500)))=0,"",INDEX('Vendor COIs'!$D$4:$D$503,(_calc!$E$155-500))))=0,"","Policy no.: "&amp;IF(LEN(INDEX('Vendor COIs'!$D$4:$D$503,(_calc!$E$155-500)))=0,"",INDEX('Vendor COIs'!$D$4:$D$503,(_calc!$E$155-500)))&amp;". ")&amp;IF(LEN(IF(LEN(INDEX('Vendor COIs'!$F$4:$F$503,(_calc!$E$155-500)))=0,"",INDEX('Vendor COIs'!$F$4:$F$503,(_calc!$E$155-500))))=0,"","Meets minimum: "&amp;IF(LEN(INDEX('Vendor COIs'!$F$4:$F$503,(_calc!$E$155-500)))=0,"",INDEX('Vendor COIs'!$F$4:$F$503,(_calc!$E$155-500)))&amp;". ")&amp;IF(LEN(IF(LEN(INDEX('Vendor COIs'!$G$4:$G$503,(_calc!$E$155-500)))=0,"",INDEX('Vendor COIs'!$G$4:$G$503,(_calc!$E$155-500))))=0,"","Additional insured: "&amp;IF(LEN(INDEX('Vendor COIs'!$G$4:$G$503,(_calc!$E$155-500)))=0,"",INDEX('Vendor COIs'!$G$4:$G$503,(_calc!$E$155-500)))&amp;". ")&amp;IF(LEN(IF(LEN(INDEX('Vendor COIs'!$M$4:$M$503,(_calc!$E$155-500)))=0,"",INDEX('Vendor COIs'!$M$4:$M$503,(_calc!$E$155-500))))=0,"","Vendor contact: "&amp;IF(LEN(INDEX('Vendor COIs'!$M$4:$M$503,(_calc!$E$155-500)))=0,"",INDEX('Vendor COIs'!$M$4:$M$503,(_calc!$E$155-500)))&amp;". ")&amp;IF(LEN(IF(LEN(INDEX('Vendor COIs'!$P$4:$P$503,(_calc!$E$155-500)))=0,"",INDEX('Vendor COIs'!$P$4:$P$503,(_calc!$E$155-500))))=0,"",IF(LEN(INDEX('Vendor COIs'!$P$4:$P$503,(_calc!$E$155-500)))=0,"",INDEX('Vendor COIs'!$P$4:$P$503,(_calc!$E$155-500)))))))</f>
        <v/>
      </c>
      <c r="G153" s="46">
        <f>IF(_calc!$E$155="","",IF(_calc!$E$155&lt;=500,IF(LEN(INDEX('Our policies'!$R$4:$R$503,_calc!$E$155))=0,"",INDEX('Our policies'!$R$4:$R$503,_calc!$E$155)),IF(LEN(INDEX('Vendor COIs'!$O$4:$O$503,(_calc!$E$155-500)))=0,"",INDEX('Vendor COIs'!$O$4:$O$503,(_calc!$E$155-500)))))</f>
        <v/>
      </c>
      <c r="H153" s="46">
        <f>IF(_calc!$E$155="","",IF(_calc!$E$155&lt;=500,IF(LEN(INDEX('Our policies'!$G$4:$G$503,_calc!$E$155))=0,"",INDEX('Our policies'!$G$4:$G$503,_calc!$E$155)),""))</f>
        <v/>
      </c>
      <c r="I153" s="46">
        <f>IF(_calc!$E$155="","",IF(_calc!$E$155&lt;=500,IF(LEN(INDEX('Our policies'!$H$4:$H$503,_calc!$E$155))=0,"",INDEX('Our policies'!$H$4:$H$503,_calc!$E$155)),""))</f>
        <v/>
      </c>
      <c r="K153" s="46">
        <f>IF(_calc!$E$155="","",IF(_calc!$E$155&lt;=500,IF(LEN(INDEX('Our policies'!$P$4:$P$503,_calc!$E$155))=0,"",INDEX('Our policies'!$P$4:$P$503,_calc!$E$155)),IF(LEN(INDEX('Vendor COIs'!$N$4:$N$503,(_calc!$E$155-500)))=0,"",INDEX('Vendor COIs'!$N$4:$N$503,(_calc!$E$155-500)))))</f>
        <v/>
      </c>
    </row>
    <row r="154">
      <c r="A154" s="46">
        <f>IF(_calc!$E$156="","",IF(_calc!$E$156&lt;=500,IF(LEN(INDEX('Our policies'!$A$4:$A$503,_calc!$E$156))=0,"",INDEX('Our policies'!$A$4:$A$503,_calc!$E$156)),"COI – "&amp;IF(LEN(INDEX('Vendor COIs'!$A$4:$A$503,(_calc!$E$156-500)))=0,"",INDEX('Vendor COIs'!$A$4:$A$503,(_calc!$E$156-500)))&amp;" – "&amp;IF(LEN(INDEX('Vendor COIs'!$B$4:$B$503,(_calc!$E$156-500)))=0,"",INDEX('Vendor COIs'!$B$4:$B$503,(_calc!$E$156-500)))))</f>
        <v/>
      </c>
      <c r="B154" s="46">
        <f>IF(_calc!$E$156="","",IF(_calc!$E$156&lt;=500,IF(ISNUMBER(INDEX('Our policies'!$J$4:$J$503,_calc!$E$156)),TEXT(INDEX('Our policies'!$J$4:$J$503,_calc!$E$156),"yyyy-mm-dd"),""),IF(ISNUMBER(INDEX('Vendor COIs'!$H$4:$H$503,(_calc!$E$156-500))),TEXT(INDEX('Vendor COIs'!$H$4:$H$503,(_calc!$E$156-500)),"yyyy-mm-dd"),"")))</f>
        <v/>
      </c>
      <c r="C154" s="46">
        <f>IF(_calc!$E$156="","",IF(_calc!$E$156&lt;=500,"Insurance","Certificate of insurance"))</f>
        <v/>
      </c>
      <c r="D154" s="46">
        <f>IF(_calc!$E$156="","",IF(_calc!$E$156&lt;=500,IF(ISNUMBER(INDEX('Our policies'!$I$4:$I$503,_calc!$E$156)),TEXT(INDEX('Our policies'!$I$4:$I$503,_calc!$E$156),"yyyy-mm-dd"),""),""))</f>
        <v/>
      </c>
      <c r="E154" s="46">
        <f>IF(_calc!$E$156="","",IF(_calc!$E$156&lt;=500,IF(LEN(INDEX('Our policies'!$Q$4:$Q$503,_calc!$E$156))=0,"",INDEX('Our policies'!$Q$4:$Q$503,_calc!$E$156)),"Medium"))</f>
        <v/>
      </c>
      <c r="F154" s="46">
        <f>IF(_calc!$E$156="","",IF(_calc!$E$156&lt;=500,TRIM(IF(LEN(IF(LEN(INDEX('Our policies'!$B$4:$B$503,_calc!$E$156))=0,"",INDEX('Our policies'!$B$4:$B$503,_calc!$E$156)))=0,"","Cover: "&amp;IF(LEN(INDEX('Our policies'!$B$4:$B$503,_calc!$E$156))=0,"",INDEX('Our policies'!$B$4:$B$503,_calc!$E$156))&amp;". ")&amp;IF(LEN(IF(LEN(INDEX('Our policies'!$C$4:$C$503,_calc!$E$156))=0,"",INDEX('Our policies'!$C$4:$C$503,_calc!$E$156)))=0,"","Insurer: "&amp;IF(LEN(INDEX('Our policies'!$C$4:$C$503,_calc!$E$156))=0,"",INDEX('Our policies'!$C$4:$C$503,_calc!$E$156))&amp;". ")&amp;IF(LEN(IF(LEN(INDEX('Our policies'!$D$4:$D$503,_calc!$E$156))=0,"",INDEX('Our policies'!$D$4:$D$503,_calc!$E$156)))=0,"","Broker: "&amp;IF(LEN(INDEX('Our policies'!$D$4:$D$503,_calc!$E$156))=0,"",INDEX('Our policies'!$D$4:$D$503,_calc!$E$156))&amp;". ")&amp;IF(LEN(IF(LEN(INDEX('Our policies'!$E$4:$E$503,_calc!$E$156))=0,"",INDEX('Our policies'!$E$4:$E$503,_calc!$E$156)))=0,"","Policy no.: "&amp;IF(LEN(INDEX('Our policies'!$E$4:$E$503,_calc!$E$156))=0,"",INDEX('Our policies'!$E$4:$E$503,_calc!$E$156))&amp;". ")&amp;IF(LEN(IF(LEN(INDEX('Our policies'!$S$4:$S$503,_calc!$E$156))=0,"",INDEX('Our policies'!$S$4:$S$503,_calc!$E$156)))=0,"",IF(LEN(INDEX('Our policies'!$S$4:$S$503,_calc!$E$156))=0,"",INDEX('Our policies'!$S$4:$S$503,_calc!$E$156)))),TRIM(IF(LEN(IF(LEN(INDEX('Vendor COIs'!$C$4:$C$503,(_calc!$E$156-500)))=0,"",INDEX('Vendor COIs'!$C$4:$C$503,(_calc!$E$156-500))))=0,"","Insurer: "&amp;IF(LEN(INDEX('Vendor COIs'!$C$4:$C$503,(_calc!$E$156-500)))=0,"",INDEX('Vendor COIs'!$C$4:$C$503,(_calc!$E$156-500)))&amp;". ")&amp;IF(LEN(IF(LEN(INDEX('Vendor COIs'!$D$4:$D$503,(_calc!$E$156-500)))=0,"",INDEX('Vendor COIs'!$D$4:$D$503,(_calc!$E$156-500))))=0,"","Policy no.: "&amp;IF(LEN(INDEX('Vendor COIs'!$D$4:$D$503,(_calc!$E$156-500)))=0,"",INDEX('Vendor COIs'!$D$4:$D$503,(_calc!$E$156-500)))&amp;". ")&amp;IF(LEN(IF(LEN(INDEX('Vendor COIs'!$F$4:$F$503,(_calc!$E$156-500)))=0,"",INDEX('Vendor COIs'!$F$4:$F$503,(_calc!$E$156-500))))=0,"","Meets minimum: "&amp;IF(LEN(INDEX('Vendor COIs'!$F$4:$F$503,(_calc!$E$156-500)))=0,"",INDEX('Vendor COIs'!$F$4:$F$503,(_calc!$E$156-500)))&amp;". ")&amp;IF(LEN(IF(LEN(INDEX('Vendor COIs'!$G$4:$G$503,(_calc!$E$156-500)))=0,"",INDEX('Vendor COIs'!$G$4:$G$503,(_calc!$E$156-500))))=0,"","Additional insured: "&amp;IF(LEN(INDEX('Vendor COIs'!$G$4:$G$503,(_calc!$E$156-500)))=0,"",INDEX('Vendor COIs'!$G$4:$G$503,(_calc!$E$156-500)))&amp;". ")&amp;IF(LEN(IF(LEN(INDEX('Vendor COIs'!$M$4:$M$503,(_calc!$E$156-500)))=0,"",INDEX('Vendor COIs'!$M$4:$M$503,(_calc!$E$156-500))))=0,"","Vendor contact: "&amp;IF(LEN(INDEX('Vendor COIs'!$M$4:$M$503,(_calc!$E$156-500)))=0,"",INDEX('Vendor COIs'!$M$4:$M$503,(_calc!$E$156-500)))&amp;". ")&amp;IF(LEN(IF(LEN(INDEX('Vendor COIs'!$P$4:$P$503,(_calc!$E$156-500)))=0,"",INDEX('Vendor COIs'!$P$4:$P$503,(_calc!$E$156-500))))=0,"",IF(LEN(INDEX('Vendor COIs'!$P$4:$P$503,(_calc!$E$156-500)))=0,"",INDEX('Vendor COIs'!$P$4:$P$503,(_calc!$E$156-500)))))))</f>
        <v/>
      </c>
      <c r="G154" s="46">
        <f>IF(_calc!$E$156="","",IF(_calc!$E$156&lt;=500,IF(LEN(INDEX('Our policies'!$R$4:$R$503,_calc!$E$156))=0,"",INDEX('Our policies'!$R$4:$R$503,_calc!$E$156)),IF(LEN(INDEX('Vendor COIs'!$O$4:$O$503,(_calc!$E$156-500)))=0,"",INDEX('Vendor COIs'!$O$4:$O$503,(_calc!$E$156-500)))))</f>
        <v/>
      </c>
      <c r="H154" s="46">
        <f>IF(_calc!$E$156="","",IF(_calc!$E$156&lt;=500,IF(LEN(INDEX('Our policies'!$G$4:$G$503,_calc!$E$156))=0,"",INDEX('Our policies'!$G$4:$G$503,_calc!$E$156)),""))</f>
        <v/>
      </c>
      <c r="I154" s="46">
        <f>IF(_calc!$E$156="","",IF(_calc!$E$156&lt;=500,IF(LEN(INDEX('Our policies'!$H$4:$H$503,_calc!$E$156))=0,"",INDEX('Our policies'!$H$4:$H$503,_calc!$E$156)),""))</f>
        <v/>
      </c>
      <c r="K154" s="46">
        <f>IF(_calc!$E$156="","",IF(_calc!$E$156&lt;=500,IF(LEN(INDEX('Our policies'!$P$4:$P$503,_calc!$E$156))=0,"",INDEX('Our policies'!$P$4:$P$503,_calc!$E$156)),IF(LEN(INDEX('Vendor COIs'!$N$4:$N$503,(_calc!$E$156-500)))=0,"",INDEX('Vendor COIs'!$N$4:$N$503,(_calc!$E$156-500)))))</f>
        <v/>
      </c>
    </row>
    <row r="155">
      <c r="A155" s="46">
        <f>IF(_calc!$E$157="","",IF(_calc!$E$157&lt;=500,IF(LEN(INDEX('Our policies'!$A$4:$A$503,_calc!$E$157))=0,"",INDEX('Our policies'!$A$4:$A$503,_calc!$E$157)),"COI – "&amp;IF(LEN(INDEX('Vendor COIs'!$A$4:$A$503,(_calc!$E$157-500)))=0,"",INDEX('Vendor COIs'!$A$4:$A$503,(_calc!$E$157-500)))&amp;" – "&amp;IF(LEN(INDEX('Vendor COIs'!$B$4:$B$503,(_calc!$E$157-500)))=0,"",INDEX('Vendor COIs'!$B$4:$B$503,(_calc!$E$157-500)))))</f>
        <v/>
      </c>
      <c r="B155" s="46">
        <f>IF(_calc!$E$157="","",IF(_calc!$E$157&lt;=500,IF(ISNUMBER(INDEX('Our policies'!$J$4:$J$503,_calc!$E$157)),TEXT(INDEX('Our policies'!$J$4:$J$503,_calc!$E$157),"yyyy-mm-dd"),""),IF(ISNUMBER(INDEX('Vendor COIs'!$H$4:$H$503,(_calc!$E$157-500))),TEXT(INDEX('Vendor COIs'!$H$4:$H$503,(_calc!$E$157-500)),"yyyy-mm-dd"),"")))</f>
        <v/>
      </c>
      <c r="C155" s="46">
        <f>IF(_calc!$E$157="","",IF(_calc!$E$157&lt;=500,"Insurance","Certificate of insurance"))</f>
        <v/>
      </c>
      <c r="D155" s="46">
        <f>IF(_calc!$E$157="","",IF(_calc!$E$157&lt;=500,IF(ISNUMBER(INDEX('Our policies'!$I$4:$I$503,_calc!$E$157)),TEXT(INDEX('Our policies'!$I$4:$I$503,_calc!$E$157),"yyyy-mm-dd"),""),""))</f>
        <v/>
      </c>
      <c r="E155" s="46">
        <f>IF(_calc!$E$157="","",IF(_calc!$E$157&lt;=500,IF(LEN(INDEX('Our policies'!$Q$4:$Q$503,_calc!$E$157))=0,"",INDEX('Our policies'!$Q$4:$Q$503,_calc!$E$157)),"Medium"))</f>
        <v/>
      </c>
      <c r="F155" s="46">
        <f>IF(_calc!$E$157="","",IF(_calc!$E$157&lt;=500,TRIM(IF(LEN(IF(LEN(INDEX('Our policies'!$B$4:$B$503,_calc!$E$157))=0,"",INDEX('Our policies'!$B$4:$B$503,_calc!$E$157)))=0,"","Cover: "&amp;IF(LEN(INDEX('Our policies'!$B$4:$B$503,_calc!$E$157))=0,"",INDEX('Our policies'!$B$4:$B$503,_calc!$E$157))&amp;". ")&amp;IF(LEN(IF(LEN(INDEX('Our policies'!$C$4:$C$503,_calc!$E$157))=0,"",INDEX('Our policies'!$C$4:$C$503,_calc!$E$157)))=0,"","Insurer: "&amp;IF(LEN(INDEX('Our policies'!$C$4:$C$503,_calc!$E$157))=0,"",INDEX('Our policies'!$C$4:$C$503,_calc!$E$157))&amp;". ")&amp;IF(LEN(IF(LEN(INDEX('Our policies'!$D$4:$D$503,_calc!$E$157))=0,"",INDEX('Our policies'!$D$4:$D$503,_calc!$E$157)))=0,"","Broker: "&amp;IF(LEN(INDEX('Our policies'!$D$4:$D$503,_calc!$E$157))=0,"",INDEX('Our policies'!$D$4:$D$503,_calc!$E$157))&amp;". ")&amp;IF(LEN(IF(LEN(INDEX('Our policies'!$E$4:$E$503,_calc!$E$157))=0,"",INDEX('Our policies'!$E$4:$E$503,_calc!$E$157)))=0,"","Policy no.: "&amp;IF(LEN(INDEX('Our policies'!$E$4:$E$503,_calc!$E$157))=0,"",INDEX('Our policies'!$E$4:$E$503,_calc!$E$157))&amp;". ")&amp;IF(LEN(IF(LEN(INDEX('Our policies'!$S$4:$S$503,_calc!$E$157))=0,"",INDEX('Our policies'!$S$4:$S$503,_calc!$E$157)))=0,"",IF(LEN(INDEX('Our policies'!$S$4:$S$503,_calc!$E$157))=0,"",INDEX('Our policies'!$S$4:$S$503,_calc!$E$157)))),TRIM(IF(LEN(IF(LEN(INDEX('Vendor COIs'!$C$4:$C$503,(_calc!$E$157-500)))=0,"",INDEX('Vendor COIs'!$C$4:$C$503,(_calc!$E$157-500))))=0,"","Insurer: "&amp;IF(LEN(INDEX('Vendor COIs'!$C$4:$C$503,(_calc!$E$157-500)))=0,"",INDEX('Vendor COIs'!$C$4:$C$503,(_calc!$E$157-500)))&amp;". ")&amp;IF(LEN(IF(LEN(INDEX('Vendor COIs'!$D$4:$D$503,(_calc!$E$157-500)))=0,"",INDEX('Vendor COIs'!$D$4:$D$503,(_calc!$E$157-500))))=0,"","Policy no.: "&amp;IF(LEN(INDEX('Vendor COIs'!$D$4:$D$503,(_calc!$E$157-500)))=0,"",INDEX('Vendor COIs'!$D$4:$D$503,(_calc!$E$157-500)))&amp;". ")&amp;IF(LEN(IF(LEN(INDEX('Vendor COIs'!$F$4:$F$503,(_calc!$E$157-500)))=0,"",INDEX('Vendor COIs'!$F$4:$F$503,(_calc!$E$157-500))))=0,"","Meets minimum: "&amp;IF(LEN(INDEX('Vendor COIs'!$F$4:$F$503,(_calc!$E$157-500)))=0,"",INDEX('Vendor COIs'!$F$4:$F$503,(_calc!$E$157-500)))&amp;". ")&amp;IF(LEN(IF(LEN(INDEX('Vendor COIs'!$G$4:$G$503,(_calc!$E$157-500)))=0,"",INDEX('Vendor COIs'!$G$4:$G$503,(_calc!$E$157-500))))=0,"","Additional insured: "&amp;IF(LEN(INDEX('Vendor COIs'!$G$4:$G$503,(_calc!$E$157-500)))=0,"",INDEX('Vendor COIs'!$G$4:$G$503,(_calc!$E$157-500)))&amp;". ")&amp;IF(LEN(IF(LEN(INDEX('Vendor COIs'!$M$4:$M$503,(_calc!$E$157-500)))=0,"",INDEX('Vendor COIs'!$M$4:$M$503,(_calc!$E$157-500))))=0,"","Vendor contact: "&amp;IF(LEN(INDEX('Vendor COIs'!$M$4:$M$503,(_calc!$E$157-500)))=0,"",INDEX('Vendor COIs'!$M$4:$M$503,(_calc!$E$157-500)))&amp;". ")&amp;IF(LEN(IF(LEN(INDEX('Vendor COIs'!$P$4:$P$503,(_calc!$E$157-500)))=0,"",INDEX('Vendor COIs'!$P$4:$P$503,(_calc!$E$157-500))))=0,"",IF(LEN(INDEX('Vendor COIs'!$P$4:$P$503,(_calc!$E$157-500)))=0,"",INDEX('Vendor COIs'!$P$4:$P$503,(_calc!$E$157-500)))))))</f>
        <v/>
      </c>
      <c r="G155" s="46">
        <f>IF(_calc!$E$157="","",IF(_calc!$E$157&lt;=500,IF(LEN(INDEX('Our policies'!$R$4:$R$503,_calc!$E$157))=0,"",INDEX('Our policies'!$R$4:$R$503,_calc!$E$157)),IF(LEN(INDEX('Vendor COIs'!$O$4:$O$503,(_calc!$E$157-500)))=0,"",INDEX('Vendor COIs'!$O$4:$O$503,(_calc!$E$157-500)))))</f>
        <v/>
      </c>
      <c r="H155" s="46">
        <f>IF(_calc!$E$157="","",IF(_calc!$E$157&lt;=500,IF(LEN(INDEX('Our policies'!$G$4:$G$503,_calc!$E$157))=0,"",INDEX('Our policies'!$G$4:$G$503,_calc!$E$157)),""))</f>
        <v/>
      </c>
      <c r="I155" s="46">
        <f>IF(_calc!$E$157="","",IF(_calc!$E$157&lt;=500,IF(LEN(INDEX('Our policies'!$H$4:$H$503,_calc!$E$157))=0,"",INDEX('Our policies'!$H$4:$H$503,_calc!$E$157)),""))</f>
        <v/>
      </c>
      <c r="K155" s="46">
        <f>IF(_calc!$E$157="","",IF(_calc!$E$157&lt;=500,IF(LEN(INDEX('Our policies'!$P$4:$P$503,_calc!$E$157))=0,"",INDEX('Our policies'!$P$4:$P$503,_calc!$E$157)),IF(LEN(INDEX('Vendor COIs'!$N$4:$N$503,(_calc!$E$157-500)))=0,"",INDEX('Vendor COIs'!$N$4:$N$503,(_calc!$E$157-500)))))</f>
        <v/>
      </c>
    </row>
    <row r="156">
      <c r="A156" s="46">
        <f>IF(_calc!$E$158="","",IF(_calc!$E$158&lt;=500,IF(LEN(INDEX('Our policies'!$A$4:$A$503,_calc!$E$158))=0,"",INDEX('Our policies'!$A$4:$A$503,_calc!$E$158)),"COI – "&amp;IF(LEN(INDEX('Vendor COIs'!$A$4:$A$503,(_calc!$E$158-500)))=0,"",INDEX('Vendor COIs'!$A$4:$A$503,(_calc!$E$158-500)))&amp;" – "&amp;IF(LEN(INDEX('Vendor COIs'!$B$4:$B$503,(_calc!$E$158-500)))=0,"",INDEX('Vendor COIs'!$B$4:$B$503,(_calc!$E$158-500)))))</f>
        <v/>
      </c>
      <c r="B156" s="46">
        <f>IF(_calc!$E$158="","",IF(_calc!$E$158&lt;=500,IF(ISNUMBER(INDEX('Our policies'!$J$4:$J$503,_calc!$E$158)),TEXT(INDEX('Our policies'!$J$4:$J$503,_calc!$E$158),"yyyy-mm-dd"),""),IF(ISNUMBER(INDEX('Vendor COIs'!$H$4:$H$503,(_calc!$E$158-500))),TEXT(INDEX('Vendor COIs'!$H$4:$H$503,(_calc!$E$158-500)),"yyyy-mm-dd"),"")))</f>
        <v/>
      </c>
      <c r="C156" s="46">
        <f>IF(_calc!$E$158="","",IF(_calc!$E$158&lt;=500,"Insurance","Certificate of insurance"))</f>
        <v/>
      </c>
      <c r="D156" s="46">
        <f>IF(_calc!$E$158="","",IF(_calc!$E$158&lt;=500,IF(ISNUMBER(INDEX('Our policies'!$I$4:$I$503,_calc!$E$158)),TEXT(INDEX('Our policies'!$I$4:$I$503,_calc!$E$158),"yyyy-mm-dd"),""),""))</f>
        <v/>
      </c>
      <c r="E156" s="46">
        <f>IF(_calc!$E$158="","",IF(_calc!$E$158&lt;=500,IF(LEN(INDEX('Our policies'!$Q$4:$Q$503,_calc!$E$158))=0,"",INDEX('Our policies'!$Q$4:$Q$503,_calc!$E$158)),"Medium"))</f>
        <v/>
      </c>
      <c r="F156" s="46">
        <f>IF(_calc!$E$158="","",IF(_calc!$E$158&lt;=500,TRIM(IF(LEN(IF(LEN(INDEX('Our policies'!$B$4:$B$503,_calc!$E$158))=0,"",INDEX('Our policies'!$B$4:$B$503,_calc!$E$158)))=0,"","Cover: "&amp;IF(LEN(INDEX('Our policies'!$B$4:$B$503,_calc!$E$158))=0,"",INDEX('Our policies'!$B$4:$B$503,_calc!$E$158))&amp;". ")&amp;IF(LEN(IF(LEN(INDEX('Our policies'!$C$4:$C$503,_calc!$E$158))=0,"",INDEX('Our policies'!$C$4:$C$503,_calc!$E$158)))=0,"","Insurer: "&amp;IF(LEN(INDEX('Our policies'!$C$4:$C$503,_calc!$E$158))=0,"",INDEX('Our policies'!$C$4:$C$503,_calc!$E$158))&amp;". ")&amp;IF(LEN(IF(LEN(INDEX('Our policies'!$D$4:$D$503,_calc!$E$158))=0,"",INDEX('Our policies'!$D$4:$D$503,_calc!$E$158)))=0,"","Broker: "&amp;IF(LEN(INDEX('Our policies'!$D$4:$D$503,_calc!$E$158))=0,"",INDEX('Our policies'!$D$4:$D$503,_calc!$E$158))&amp;". ")&amp;IF(LEN(IF(LEN(INDEX('Our policies'!$E$4:$E$503,_calc!$E$158))=0,"",INDEX('Our policies'!$E$4:$E$503,_calc!$E$158)))=0,"","Policy no.: "&amp;IF(LEN(INDEX('Our policies'!$E$4:$E$503,_calc!$E$158))=0,"",INDEX('Our policies'!$E$4:$E$503,_calc!$E$158))&amp;". ")&amp;IF(LEN(IF(LEN(INDEX('Our policies'!$S$4:$S$503,_calc!$E$158))=0,"",INDEX('Our policies'!$S$4:$S$503,_calc!$E$158)))=0,"",IF(LEN(INDEX('Our policies'!$S$4:$S$503,_calc!$E$158))=0,"",INDEX('Our policies'!$S$4:$S$503,_calc!$E$158)))),TRIM(IF(LEN(IF(LEN(INDEX('Vendor COIs'!$C$4:$C$503,(_calc!$E$158-500)))=0,"",INDEX('Vendor COIs'!$C$4:$C$503,(_calc!$E$158-500))))=0,"","Insurer: "&amp;IF(LEN(INDEX('Vendor COIs'!$C$4:$C$503,(_calc!$E$158-500)))=0,"",INDEX('Vendor COIs'!$C$4:$C$503,(_calc!$E$158-500)))&amp;". ")&amp;IF(LEN(IF(LEN(INDEX('Vendor COIs'!$D$4:$D$503,(_calc!$E$158-500)))=0,"",INDEX('Vendor COIs'!$D$4:$D$503,(_calc!$E$158-500))))=0,"","Policy no.: "&amp;IF(LEN(INDEX('Vendor COIs'!$D$4:$D$503,(_calc!$E$158-500)))=0,"",INDEX('Vendor COIs'!$D$4:$D$503,(_calc!$E$158-500)))&amp;". ")&amp;IF(LEN(IF(LEN(INDEX('Vendor COIs'!$F$4:$F$503,(_calc!$E$158-500)))=0,"",INDEX('Vendor COIs'!$F$4:$F$503,(_calc!$E$158-500))))=0,"","Meets minimum: "&amp;IF(LEN(INDEX('Vendor COIs'!$F$4:$F$503,(_calc!$E$158-500)))=0,"",INDEX('Vendor COIs'!$F$4:$F$503,(_calc!$E$158-500)))&amp;". ")&amp;IF(LEN(IF(LEN(INDEX('Vendor COIs'!$G$4:$G$503,(_calc!$E$158-500)))=0,"",INDEX('Vendor COIs'!$G$4:$G$503,(_calc!$E$158-500))))=0,"","Additional insured: "&amp;IF(LEN(INDEX('Vendor COIs'!$G$4:$G$503,(_calc!$E$158-500)))=0,"",INDEX('Vendor COIs'!$G$4:$G$503,(_calc!$E$158-500)))&amp;". ")&amp;IF(LEN(IF(LEN(INDEX('Vendor COIs'!$M$4:$M$503,(_calc!$E$158-500)))=0,"",INDEX('Vendor COIs'!$M$4:$M$503,(_calc!$E$158-500))))=0,"","Vendor contact: "&amp;IF(LEN(INDEX('Vendor COIs'!$M$4:$M$503,(_calc!$E$158-500)))=0,"",INDEX('Vendor COIs'!$M$4:$M$503,(_calc!$E$158-500)))&amp;". ")&amp;IF(LEN(IF(LEN(INDEX('Vendor COIs'!$P$4:$P$503,(_calc!$E$158-500)))=0,"",INDEX('Vendor COIs'!$P$4:$P$503,(_calc!$E$158-500))))=0,"",IF(LEN(INDEX('Vendor COIs'!$P$4:$P$503,(_calc!$E$158-500)))=0,"",INDEX('Vendor COIs'!$P$4:$P$503,(_calc!$E$158-500)))))))</f>
        <v/>
      </c>
      <c r="G156" s="46">
        <f>IF(_calc!$E$158="","",IF(_calc!$E$158&lt;=500,IF(LEN(INDEX('Our policies'!$R$4:$R$503,_calc!$E$158))=0,"",INDEX('Our policies'!$R$4:$R$503,_calc!$E$158)),IF(LEN(INDEX('Vendor COIs'!$O$4:$O$503,(_calc!$E$158-500)))=0,"",INDEX('Vendor COIs'!$O$4:$O$503,(_calc!$E$158-500)))))</f>
        <v/>
      </c>
      <c r="H156" s="46">
        <f>IF(_calc!$E$158="","",IF(_calc!$E$158&lt;=500,IF(LEN(INDEX('Our policies'!$G$4:$G$503,_calc!$E$158))=0,"",INDEX('Our policies'!$G$4:$G$503,_calc!$E$158)),""))</f>
        <v/>
      </c>
      <c r="I156" s="46">
        <f>IF(_calc!$E$158="","",IF(_calc!$E$158&lt;=500,IF(LEN(INDEX('Our policies'!$H$4:$H$503,_calc!$E$158))=0,"",INDEX('Our policies'!$H$4:$H$503,_calc!$E$158)),""))</f>
        <v/>
      </c>
      <c r="K156" s="46">
        <f>IF(_calc!$E$158="","",IF(_calc!$E$158&lt;=500,IF(LEN(INDEX('Our policies'!$P$4:$P$503,_calc!$E$158))=0,"",INDEX('Our policies'!$P$4:$P$503,_calc!$E$158)),IF(LEN(INDEX('Vendor COIs'!$N$4:$N$503,(_calc!$E$158-500)))=0,"",INDEX('Vendor COIs'!$N$4:$N$503,(_calc!$E$158-500)))))</f>
        <v/>
      </c>
    </row>
    <row r="157">
      <c r="A157" s="46">
        <f>IF(_calc!$E$159="","",IF(_calc!$E$159&lt;=500,IF(LEN(INDEX('Our policies'!$A$4:$A$503,_calc!$E$159))=0,"",INDEX('Our policies'!$A$4:$A$503,_calc!$E$159)),"COI – "&amp;IF(LEN(INDEX('Vendor COIs'!$A$4:$A$503,(_calc!$E$159-500)))=0,"",INDEX('Vendor COIs'!$A$4:$A$503,(_calc!$E$159-500)))&amp;" – "&amp;IF(LEN(INDEX('Vendor COIs'!$B$4:$B$503,(_calc!$E$159-500)))=0,"",INDEX('Vendor COIs'!$B$4:$B$503,(_calc!$E$159-500)))))</f>
        <v/>
      </c>
      <c r="B157" s="46">
        <f>IF(_calc!$E$159="","",IF(_calc!$E$159&lt;=500,IF(ISNUMBER(INDEX('Our policies'!$J$4:$J$503,_calc!$E$159)),TEXT(INDEX('Our policies'!$J$4:$J$503,_calc!$E$159),"yyyy-mm-dd"),""),IF(ISNUMBER(INDEX('Vendor COIs'!$H$4:$H$503,(_calc!$E$159-500))),TEXT(INDEX('Vendor COIs'!$H$4:$H$503,(_calc!$E$159-500)),"yyyy-mm-dd"),"")))</f>
        <v/>
      </c>
      <c r="C157" s="46">
        <f>IF(_calc!$E$159="","",IF(_calc!$E$159&lt;=500,"Insurance","Certificate of insurance"))</f>
        <v/>
      </c>
      <c r="D157" s="46">
        <f>IF(_calc!$E$159="","",IF(_calc!$E$159&lt;=500,IF(ISNUMBER(INDEX('Our policies'!$I$4:$I$503,_calc!$E$159)),TEXT(INDEX('Our policies'!$I$4:$I$503,_calc!$E$159),"yyyy-mm-dd"),""),""))</f>
        <v/>
      </c>
      <c r="E157" s="46">
        <f>IF(_calc!$E$159="","",IF(_calc!$E$159&lt;=500,IF(LEN(INDEX('Our policies'!$Q$4:$Q$503,_calc!$E$159))=0,"",INDEX('Our policies'!$Q$4:$Q$503,_calc!$E$159)),"Medium"))</f>
        <v/>
      </c>
      <c r="F157" s="46">
        <f>IF(_calc!$E$159="","",IF(_calc!$E$159&lt;=500,TRIM(IF(LEN(IF(LEN(INDEX('Our policies'!$B$4:$B$503,_calc!$E$159))=0,"",INDEX('Our policies'!$B$4:$B$503,_calc!$E$159)))=0,"","Cover: "&amp;IF(LEN(INDEX('Our policies'!$B$4:$B$503,_calc!$E$159))=0,"",INDEX('Our policies'!$B$4:$B$503,_calc!$E$159))&amp;". ")&amp;IF(LEN(IF(LEN(INDEX('Our policies'!$C$4:$C$503,_calc!$E$159))=0,"",INDEX('Our policies'!$C$4:$C$503,_calc!$E$159)))=0,"","Insurer: "&amp;IF(LEN(INDEX('Our policies'!$C$4:$C$503,_calc!$E$159))=0,"",INDEX('Our policies'!$C$4:$C$503,_calc!$E$159))&amp;". ")&amp;IF(LEN(IF(LEN(INDEX('Our policies'!$D$4:$D$503,_calc!$E$159))=0,"",INDEX('Our policies'!$D$4:$D$503,_calc!$E$159)))=0,"","Broker: "&amp;IF(LEN(INDEX('Our policies'!$D$4:$D$503,_calc!$E$159))=0,"",INDEX('Our policies'!$D$4:$D$503,_calc!$E$159))&amp;". ")&amp;IF(LEN(IF(LEN(INDEX('Our policies'!$E$4:$E$503,_calc!$E$159))=0,"",INDEX('Our policies'!$E$4:$E$503,_calc!$E$159)))=0,"","Policy no.: "&amp;IF(LEN(INDEX('Our policies'!$E$4:$E$503,_calc!$E$159))=0,"",INDEX('Our policies'!$E$4:$E$503,_calc!$E$159))&amp;". ")&amp;IF(LEN(IF(LEN(INDEX('Our policies'!$S$4:$S$503,_calc!$E$159))=0,"",INDEX('Our policies'!$S$4:$S$503,_calc!$E$159)))=0,"",IF(LEN(INDEX('Our policies'!$S$4:$S$503,_calc!$E$159))=0,"",INDEX('Our policies'!$S$4:$S$503,_calc!$E$159)))),TRIM(IF(LEN(IF(LEN(INDEX('Vendor COIs'!$C$4:$C$503,(_calc!$E$159-500)))=0,"",INDEX('Vendor COIs'!$C$4:$C$503,(_calc!$E$159-500))))=0,"","Insurer: "&amp;IF(LEN(INDEX('Vendor COIs'!$C$4:$C$503,(_calc!$E$159-500)))=0,"",INDEX('Vendor COIs'!$C$4:$C$503,(_calc!$E$159-500)))&amp;". ")&amp;IF(LEN(IF(LEN(INDEX('Vendor COIs'!$D$4:$D$503,(_calc!$E$159-500)))=0,"",INDEX('Vendor COIs'!$D$4:$D$503,(_calc!$E$159-500))))=0,"","Policy no.: "&amp;IF(LEN(INDEX('Vendor COIs'!$D$4:$D$503,(_calc!$E$159-500)))=0,"",INDEX('Vendor COIs'!$D$4:$D$503,(_calc!$E$159-500)))&amp;". ")&amp;IF(LEN(IF(LEN(INDEX('Vendor COIs'!$F$4:$F$503,(_calc!$E$159-500)))=0,"",INDEX('Vendor COIs'!$F$4:$F$503,(_calc!$E$159-500))))=0,"","Meets minimum: "&amp;IF(LEN(INDEX('Vendor COIs'!$F$4:$F$503,(_calc!$E$159-500)))=0,"",INDEX('Vendor COIs'!$F$4:$F$503,(_calc!$E$159-500)))&amp;". ")&amp;IF(LEN(IF(LEN(INDEX('Vendor COIs'!$G$4:$G$503,(_calc!$E$159-500)))=0,"",INDEX('Vendor COIs'!$G$4:$G$503,(_calc!$E$159-500))))=0,"","Additional insured: "&amp;IF(LEN(INDEX('Vendor COIs'!$G$4:$G$503,(_calc!$E$159-500)))=0,"",INDEX('Vendor COIs'!$G$4:$G$503,(_calc!$E$159-500)))&amp;". ")&amp;IF(LEN(IF(LEN(INDEX('Vendor COIs'!$M$4:$M$503,(_calc!$E$159-500)))=0,"",INDEX('Vendor COIs'!$M$4:$M$503,(_calc!$E$159-500))))=0,"","Vendor contact: "&amp;IF(LEN(INDEX('Vendor COIs'!$M$4:$M$503,(_calc!$E$159-500)))=0,"",INDEX('Vendor COIs'!$M$4:$M$503,(_calc!$E$159-500)))&amp;". ")&amp;IF(LEN(IF(LEN(INDEX('Vendor COIs'!$P$4:$P$503,(_calc!$E$159-500)))=0,"",INDEX('Vendor COIs'!$P$4:$P$503,(_calc!$E$159-500))))=0,"",IF(LEN(INDEX('Vendor COIs'!$P$4:$P$503,(_calc!$E$159-500)))=0,"",INDEX('Vendor COIs'!$P$4:$P$503,(_calc!$E$159-500)))))))</f>
        <v/>
      </c>
      <c r="G157" s="46">
        <f>IF(_calc!$E$159="","",IF(_calc!$E$159&lt;=500,IF(LEN(INDEX('Our policies'!$R$4:$R$503,_calc!$E$159))=0,"",INDEX('Our policies'!$R$4:$R$503,_calc!$E$159)),IF(LEN(INDEX('Vendor COIs'!$O$4:$O$503,(_calc!$E$159-500)))=0,"",INDEX('Vendor COIs'!$O$4:$O$503,(_calc!$E$159-500)))))</f>
        <v/>
      </c>
      <c r="H157" s="46">
        <f>IF(_calc!$E$159="","",IF(_calc!$E$159&lt;=500,IF(LEN(INDEX('Our policies'!$G$4:$G$503,_calc!$E$159))=0,"",INDEX('Our policies'!$G$4:$G$503,_calc!$E$159)),""))</f>
        <v/>
      </c>
      <c r="I157" s="46">
        <f>IF(_calc!$E$159="","",IF(_calc!$E$159&lt;=500,IF(LEN(INDEX('Our policies'!$H$4:$H$503,_calc!$E$159))=0,"",INDEX('Our policies'!$H$4:$H$503,_calc!$E$159)),""))</f>
        <v/>
      </c>
      <c r="K157" s="46">
        <f>IF(_calc!$E$159="","",IF(_calc!$E$159&lt;=500,IF(LEN(INDEX('Our policies'!$P$4:$P$503,_calc!$E$159))=0,"",INDEX('Our policies'!$P$4:$P$503,_calc!$E$159)),IF(LEN(INDEX('Vendor COIs'!$N$4:$N$503,(_calc!$E$159-500)))=0,"",INDEX('Vendor COIs'!$N$4:$N$503,(_calc!$E$159-500)))))</f>
        <v/>
      </c>
    </row>
    <row r="158">
      <c r="A158" s="46">
        <f>IF(_calc!$E$160="","",IF(_calc!$E$160&lt;=500,IF(LEN(INDEX('Our policies'!$A$4:$A$503,_calc!$E$160))=0,"",INDEX('Our policies'!$A$4:$A$503,_calc!$E$160)),"COI – "&amp;IF(LEN(INDEX('Vendor COIs'!$A$4:$A$503,(_calc!$E$160-500)))=0,"",INDEX('Vendor COIs'!$A$4:$A$503,(_calc!$E$160-500)))&amp;" – "&amp;IF(LEN(INDEX('Vendor COIs'!$B$4:$B$503,(_calc!$E$160-500)))=0,"",INDEX('Vendor COIs'!$B$4:$B$503,(_calc!$E$160-500)))))</f>
        <v/>
      </c>
      <c r="B158" s="46">
        <f>IF(_calc!$E$160="","",IF(_calc!$E$160&lt;=500,IF(ISNUMBER(INDEX('Our policies'!$J$4:$J$503,_calc!$E$160)),TEXT(INDEX('Our policies'!$J$4:$J$503,_calc!$E$160),"yyyy-mm-dd"),""),IF(ISNUMBER(INDEX('Vendor COIs'!$H$4:$H$503,(_calc!$E$160-500))),TEXT(INDEX('Vendor COIs'!$H$4:$H$503,(_calc!$E$160-500)),"yyyy-mm-dd"),"")))</f>
        <v/>
      </c>
      <c r="C158" s="46">
        <f>IF(_calc!$E$160="","",IF(_calc!$E$160&lt;=500,"Insurance","Certificate of insurance"))</f>
        <v/>
      </c>
      <c r="D158" s="46">
        <f>IF(_calc!$E$160="","",IF(_calc!$E$160&lt;=500,IF(ISNUMBER(INDEX('Our policies'!$I$4:$I$503,_calc!$E$160)),TEXT(INDEX('Our policies'!$I$4:$I$503,_calc!$E$160),"yyyy-mm-dd"),""),""))</f>
        <v/>
      </c>
      <c r="E158" s="46">
        <f>IF(_calc!$E$160="","",IF(_calc!$E$160&lt;=500,IF(LEN(INDEX('Our policies'!$Q$4:$Q$503,_calc!$E$160))=0,"",INDEX('Our policies'!$Q$4:$Q$503,_calc!$E$160)),"Medium"))</f>
        <v/>
      </c>
      <c r="F158" s="46">
        <f>IF(_calc!$E$160="","",IF(_calc!$E$160&lt;=500,TRIM(IF(LEN(IF(LEN(INDEX('Our policies'!$B$4:$B$503,_calc!$E$160))=0,"",INDEX('Our policies'!$B$4:$B$503,_calc!$E$160)))=0,"","Cover: "&amp;IF(LEN(INDEX('Our policies'!$B$4:$B$503,_calc!$E$160))=0,"",INDEX('Our policies'!$B$4:$B$503,_calc!$E$160))&amp;". ")&amp;IF(LEN(IF(LEN(INDEX('Our policies'!$C$4:$C$503,_calc!$E$160))=0,"",INDEX('Our policies'!$C$4:$C$503,_calc!$E$160)))=0,"","Insurer: "&amp;IF(LEN(INDEX('Our policies'!$C$4:$C$503,_calc!$E$160))=0,"",INDEX('Our policies'!$C$4:$C$503,_calc!$E$160))&amp;". ")&amp;IF(LEN(IF(LEN(INDEX('Our policies'!$D$4:$D$503,_calc!$E$160))=0,"",INDEX('Our policies'!$D$4:$D$503,_calc!$E$160)))=0,"","Broker: "&amp;IF(LEN(INDEX('Our policies'!$D$4:$D$503,_calc!$E$160))=0,"",INDEX('Our policies'!$D$4:$D$503,_calc!$E$160))&amp;". ")&amp;IF(LEN(IF(LEN(INDEX('Our policies'!$E$4:$E$503,_calc!$E$160))=0,"",INDEX('Our policies'!$E$4:$E$503,_calc!$E$160)))=0,"","Policy no.: "&amp;IF(LEN(INDEX('Our policies'!$E$4:$E$503,_calc!$E$160))=0,"",INDEX('Our policies'!$E$4:$E$503,_calc!$E$160))&amp;". ")&amp;IF(LEN(IF(LEN(INDEX('Our policies'!$S$4:$S$503,_calc!$E$160))=0,"",INDEX('Our policies'!$S$4:$S$503,_calc!$E$160)))=0,"",IF(LEN(INDEX('Our policies'!$S$4:$S$503,_calc!$E$160))=0,"",INDEX('Our policies'!$S$4:$S$503,_calc!$E$160)))),TRIM(IF(LEN(IF(LEN(INDEX('Vendor COIs'!$C$4:$C$503,(_calc!$E$160-500)))=0,"",INDEX('Vendor COIs'!$C$4:$C$503,(_calc!$E$160-500))))=0,"","Insurer: "&amp;IF(LEN(INDEX('Vendor COIs'!$C$4:$C$503,(_calc!$E$160-500)))=0,"",INDEX('Vendor COIs'!$C$4:$C$503,(_calc!$E$160-500)))&amp;". ")&amp;IF(LEN(IF(LEN(INDEX('Vendor COIs'!$D$4:$D$503,(_calc!$E$160-500)))=0,"",INDEX('Vendor COIs'!$D$4:$D$503,(_calc!$E$160-500))))=0,"","Policy no.: "&amp;IF(LEN(INDEX('Vendor COIs'!$D$4:$D$503,(_calc!$E$160-500)))=0,"",INDEX('Vendor COIs'!$D$4:$D$503,(_calc!$E$160-500)))&amp;". ")&amp;IF(LEN(IF(LEN(INDEX('Vendor COIs'!$F$4:$F$503,(_calc!$E$160-500)))=0,"",INDEX('Vendor COIs'!$F$4:$F$503,(_calc!$E$160-500))))=0,"","Meets minimum: "&amp;IF(LEN(INDEX('Vendor COIs'!$F$4:$F$503,(_calc!$E$160-500)))=0,"",INDEX('Vendor COIs'!$F$4:$F$503,(_calc!$E$160-500)))&amp;". ")&amp;IF(LEN(IF(LEN(INDEX('Vendor COIs'!$G$4:$G$503,(_calc!$E$160-500)))=0,"",INDEX('Vendor COIs'!$G$4:$G$503,(_calc!$E$160-500))))=0,"","Additional insured: "&amp;IF(LEN(INDEX('Vendor COIs'!$G$4:$G$503,(_calc!$E$160-500)))=0,"",INDEX('Vendor COIs'!$G$4:$G$503,(_calc!$E$160-500)))&amp;". ")&amp;IF(LEN(IF(LEN(INDEX('Vendor COIs'!$M$4:$M$503,(_calc!$E$160-500)))=0,"",INDEX('Vendor COIs'!$M$4:$M$503,(_calc!$E$160-500))))=0,"","Vendor contact: "&amp;IF(LEN(INDEX('Vendor COIs'!$M$4:$M$503,(_calc!$E$160-500)))=0,"",INDEX('Vendor COIs'!$M$4:$M$503,(_calc!$E$160-500)))&amp;". ")&amp;IF(LEN(IF(LEN(INDEX('Vendor COIs'!$P$4:$P$503,(_calc!$E$160-500)))=0,"",INDEX('Vendor COIs'!$P$4:$P$503,(_calc!$E$160-500))))=0,"",IF(LEN(INDEX('Vendor COIs'!$P$4:$P$503,(_calc!$E$160-500)))=0,"",INDEX('Vendor COIs'!$P$4:$P$503,(_calc!$E$160-500)))))))</f>
        <v/>
      </c>
      <c r="G158" s="46">
        <f>IF(_calc!$E$160="","",IF(_calc!$E$160&lt;=500,IF(LEN(INDEX('Our policies'!$R$4:$R$503,_calc!$E$160))=0,"",INDEX('Our policies'!$R$4:$R$503,_calc!$E$160)),IF(LEN(INDEX('Vendor COIs'!$O$4:$O$503,(_calc!$E$160-500)))=0,"",INDEX('Vendor COIs'!$O$4:$O$503,(_calc!$E$160-500)))))</f>
        <v/>
      </c>
      <c r="H158" s="46">
        <f>IF(_calc!$E$160="","",IF(_calc!$E$160&lt;=500,IF(LEN(INDEX('Our policies'!$G$4:$G$503,_calc!$E$160))=0,"",INDEX('Our policies'!$G$4:$G$503,_calc!$E$160)),""))</f>
        <v/>
      </c>
      <c r="I158" s="46">
        <f>IF(_calc!$E$160="","",IF(_calc!$E$160&lt;=500,IF(LEN(INDEX('Our policies'!$H$4:$H$503,_calc!$E$160))=0,"",INDEX('Our policies'!$H$4:$H$503,_calc!$E$160)),""))</f>
        <v/>
      </c>
      <c r="K158" s="46">
        <f>IF(_calc!$E$160="","",IF(_calc!$E$160&lt;=500,IF(LEN(INDEX('Our policies'!$P$4:$P$503,_calc!$E$160))=0,"",INDEX('Our policies'!$P$4:$P$503,_calc!$E$160)),IF(LEN(INDEX('Vendor COIs'!$N$4:$N$503,(_calc!$E$160-500)))=0,"",INDEX('Vendor COIs'!$N$4:$N$503,(_calc!$E$160-500)))))</f>
        <v/>
      </c>
    </row>
    <row r="159">
      <c r="A159" s="46">
        <f>IF(_calc!$E$161="","",IF(_calc!$E$161&lt;=500,IF(LEN(INDEX('Our policies'!$A$4:$A$503,_calc!$E$161))=0,"",INDEX('Our policies'!$A$4:$A$503,_calc!$E$161)),"COI – "&amp;IF(LEN(INDEX('Vendor COIs'!$A$4:$A$503,(_calc!$E$161-500)))=0,"",INDEX('Vendor COIs'!$A$4:$A$503,(_calc!$E$161-500)))&amp;" – "&amp;IF(LEN(INDEX('Vendor COIs'!$B$4:$B$503,(_calc!$E$161-500)))=0,"",INDEX('Vendor COIs'!$B$4:$B$503,(_calc!$E$161-500)))))</f>
        <v/>
      </c>
      <c r="B159" s="46">
        <f>IF(_calc!$E$161="","",IF(_calc!$E$161&lt;=500,IF(ISNUMBER(INDEX('Our policies'!$J$4:$J$503,_calc!$E$161)),TEXT(INDEX('Our policies'!$J$4:$J$503,_calc!$E$161),"yyyy-mm-dd"),""),IF(ISNUMBER(INDEX('Vendor COIs'!$H$4:$H$503,(_calc!$E$161-500))),TEXT(INDEX('Vendor COIs'!$H$4:$H$503,(_calc!$E$161-500)),"yyyy-mm-dd"),"")))</f>
        <v/>
      </c>
      <c r="C159" s="46">
        <f>IF(_calc!$E$161="","",IF(_calc!$E$161&lt;=500,"Insurance","Certificate of insurance"))</f>
        <v/>
      </c>
      <c r="D159" s="46">
        <f>IF(_calc!$E$161="","",IF(_calc!$E$161&lt;=500,IF(ISNUMBER(INDEX('Our policies'!$I$4:$I$503,_calc!$E$161)),TEXT(INDEX('Our policies'!$I$4:$I$503,_calc!$E$161),"yyyy-mm-dd"),""),""))</f>
        <v/>
      </c>
      <c r="E159" s="46">
        <f>IF(_calc!$E$161="","",IF(_calc!$E$161&lt;=500,IF(LEN(INDEX('Our policies'!$Q$4:$Q$503,_calc!$E$161))=0,"",INDEX('Our policies'!$Q$4:$Q$503,_calc!$E$161)),"Medium"))</f>
        <v/>
      </c>
      <c r="F159" s="46">
        <f>IF(_calc!$E$161="","",IF(_calc!$E$161&lt;=500,TRIM(IF(LEN(IF(LEN(INDEX('Our policies'!$B$4:$B$503,_calc!$E$161))=0,"",INDEX('Our policies'!$B$4:$B$503,_calc!$E$161)))=0,"","Cover: "&amp;IF(LEN(INDEX('Our policies'!$B$4:$B$503,_calc!$E$161))=0,"",INDEX('Our policies'!$B$4:$B$503,_calc!$E$161))&amp;". ")&amp;IF(LEN(IF(LEN(INDEX('Our policies'!$C$4:$C$503,_calc!$E$161))=0,"",INDEX('Our policies'!$C$4:$C$503,_calc!$E$161)))=0,"","Insurer: "&amp;IF(LEN(INDEX('Our policies'!$C$4:$C$503,_calc!$E$161))=0,"",INDEX('Our policies'!$C$4:$C$503,_calc!$E$161))&amp;". ")&amp;IF(LEN(IF(LEN(INDEX('Our policies'!$D$4:$D$503,_calc!$E$161))=0,"",INDEX('Our policies'!$D$4:$D$503,_calc!$E$161)))=0,"","Broker: "&amp;IF(LEN(INDEX('Our policies'!$D$4:$D$503,_calc!$E$161))=0,"",INDEX('Our policies'!$D$4:$D$503,_calc!$E$161))&amp;". ")&amp;IF(LEN(IF(LEN(INDEX('Our policies'!$E$4:$E$503,_calc!$E$161))=0,"",INDEX('Our policies'!$E$4:$E$503,_calc!$E$161)))=0,"","Policy no.: "&amp;IF(LEN(INDEX('Our policies'!$E$4:$E$503,_calc!$E$161))=0,"",INDEX('Our policies'!$E$4:$E$503,_calc!$E$161))&amp;". ")&amp;IF(LEN(IF(LEN(INDEX('Our policies'!$S$4:$S$503,_calc!$E$161))=0,"",INDEX('Our policies'!$S$4:$S$503,_calc!$E$161)))=0,"",IF(LEN(INDEX('Our policies'!$S$4:$S$503,_calc!$E$161))=0,"",INDEX('Our policies'!$S$4:$S$503,_calc!$E$161)))),TRIM(IF(LEN(IF(LEN(INDEX('Vendor COIs'!$C$4:$C$503,(_calc!$E$161-500)))=0,"",INDEX('Vendor COIs'!$C$4:$C$503,(_calc!$E$161-500))))=0,"","Insurer: "&amp;IF(LEN(INDEX('Vendor COIs'!$C$4:$C$503,(_calc!$E$161-500)))=0,"",INDEX('Vendor COIs'!$C$4:$C$503,(_calc!$E$161-500)))&amp;". ")&amp;IF(LEN(IF(LEN(INDEX('Vendor COIs'!$D$4:$D$503,(_calc!$E$161-500)))=0,"",INDEX('Vendor COIs'!$D$4:$D$503,(_calc!$E$161-500))))=0,"","Policy no.: "&amp;IF(LEN(INDEX('Vendor COIs'!$D$4:$D$503,(_calc!$E$161-500)))=0,"",INDEX('Vendor COIs'!$D$4:$D$503,(_calc!$E$161-500)))&amp;". ")&amp;IF(LEN(IF(LEN(INDEX('Vendor COIs'!$F$4:$F$503,(_calc!$E$161-500)))=0,"",INDEX('Vendor COIs'!$F$4:$F$503,(_calc!$E$161-500))))=0,"","Meets minimum: "&amp;IF(LEN(INDEX('Vendor COIs'!$F$4:$F$503,(_calc!$E$161-500)))=0,"",INDEX('Vendor COIs'!$F$4:$F$503,(_calc!$E$161-500)))&amp;". ")&amp;IF(LEN(IF(LEN(INDEX('Vendor COIs'!$G$4:$G$503,(_calc!$E$161-500)))=0,"",INDEX('Vendor COIs'!$G$4:$G$503,(_calc!$E$161-500))))=0,"","Additional insured: "&amp;IF(LEN(INDEX('Vendor COIs'!$G$4:$G$503,(_calc!$E$161-500)))=0,"",INDEX('Vendor COIs'!$G$4:$G$503,(_calc!$E$161-500)))&amp;". ")&amp;IF(LEN(IF(LEN(INDEX('Vendor COIs'!$M$4:$M$503,(_calc!$E$161-500)))=0,"",INDEX('Vendor COIs'!$M$4:$M$503,(_calc!$E$161-500))))=0,"","Vendor contact: "&amp;IF(LEN(INDEX('Vendor COIs'!$M$4:$M$503,(_calc!$E$161-500)))=0,"",INDEX('Vendor COIs'!$M$4:$M$503,(_calc!$E$161-500)))&amp;". ")&amp;IF(LEN(IF(LEN(INDEX('Vendor COIs'!$P$4:$P$503,(_calc!$E$161-500)))=0,"",INDEX('Vendor COIs'!$P$4:$P$503,(_calc!$E$161-500))))=0,"",IF(LEN(INDEX('Vendor COIs'!$P$4:$P$503,(_calc!$E$161-500)))=0,"",INDEX('Vendor COIs'!$P$4:$P$503,(_calc!$E$161-500)))))))</f>
        <v/>
      </c>
      <c r="G159" s="46">
        <f>IF(_calc!$E$161="","",IF(_calc!$E$161&lt;=500,IF(LEN(INDEX('Our policies'!$R$4:$R$503,_calc!$E$161))=0,"",INDEX('Our policies'!$R$4:$R$503,_calc!$E$161)),IF(LEN(INDEX('Vendor COIs'!$O$4:$O$503,(_calc!$E$161-500)))=0,"",INDEX('Vendor COIs'!$O$4:$O$503,(_calc!$E$161-500)))))</f>
        <v/>
      </c>
      <c r="H159" s="46">
        <f>IF(_calc!$E$161="","",IF(_calc!$E$161&lt;=500,IF(LEN(INDEX('Our policies'!$G$4:$G$503,_calc!$E$161))=0,"",INDEX('Our policies'!$G$4:$G$503,_calc!$E$161)),""))</f>
        <v/>
      </c>
      <c r="I159" s="46">
        <f>IF(_calc!$E$161="","",IF(_calc!$E$161&lt;=500,IF(LEN(INDEX('Our policies'!$H$4:$H$503,_calc!$E$161))=0,"",INDEX('Our policies'!$H$4:$H$503,_calc!$E$161)),""))</f>
        <v/>
      </c>
      <c r="K159" s="46">
        <f>IF(_calc!$E$161="","",IF(_calc!$E$161&lt;=500,IF(LEN(INDEX('Our policies'!$P$4:$P$503,_calc!$E$161))=0,"",INDEX('Our policies'!$P$4:$P$503,_calc!$E$161)),IF(LEN(INDEX('Vendor COIs'!$N$4:$N$503,(_calc!$E$161-500)))=0,"",INDEX('Vendor COIs'!$N$4:$N$503,(_calc!$E$161-500)))))</f>
        <v/>
      </c>
    </row>
    <row r="160">
      <c r="A160" s="46">
        <f>IF(_calc!$E$162="","",IF(_calc!$E$162&lt;=500,IF(LEN(INDEX('Our policies'!$A$4:$A$503,_calc!$E$162))=0,"",INDEX('Our policies'!$A$4:$A$503,_calc!$E$162)),"COI – "&amp;IF(LEN(INDEX('Vendor COIs'!$A$4:$A$503,(_calc!$E$162-500)))=0,"",INDEX('Vendor COIs'!$A$4:$A$503,(_calc!$E$162-500)))&amp;" – "&amp;IF(LEN(INDEX('Vendor COIs'!$B$4:$B$503,(_calc!$E$162-500)))=0,"",INDEX('Vendor COIs'!$B$4:$B$503,(_calc!$E$162-500)))))</f>
        <v/>
      </c>
      <c r="B160" s="46">
        <f>IF(_calc!$E$162="","",IF(_calc!$E$162&lt;=500,IF(ISNUMBER(INDEX('Our policies'!$J$4:$J$503,_calc!$E$162)),TEXT(INDEX('Our policies'!$J$4:$J$503,_calc!$E$162),"yyyy-mm-dd"),""),IF(ISNUMBER(INDEX('Vendor COIs'!$H$4:$H$503,(_calc!$E$162-500))),TEXT(INDEX('Vendor COIs'!$H$4:$H$503,(_calc!$E$162-500)),"yyyy-mm-dd"),"")))</f>
        <v/>
      </c>
      <c r="C160" s="46">
        <f>IF(_calc!$E$162="","",IF(_calc!$E$162&lt;=500,"Insurance","Certificate of insurance"))</f>
        <v/>
      </c>
      <c r="D160" s="46">
        <f>IF(_calc!$E$162="","",IF(_calc!$E$162&lt;=500,IF(ISNUMBER(INDEX('Our policies'!$I$4:$I$503,_calc!$E$162)),TEXT(INDEX('Our policies'!$I$4:$I$503,_calc!$E$162),"yyyy-mm-dd"),""),""))</f>
        <v/>
      </c>
      <c r="E160" s="46">
        <f>IF(_calc!$E$162="","",IF(_calc!$E$162&lt;=500,IF(LEN(INDEX('Our policies'!$Q$4:$Q$503,_calc!$E$162))=0,"",INDEX('Our policies'!$Q$4:$Q$503,_calc!$E$162)),"Medium"))</f>
        <v/>
      </c>
      <c r="F160" s="46">
        <f>IF(_calc!$E$162="","",IF(_calc!$E$162&lt;=500,TRIM(IF(LEN(IF(LEN(INDEX('Our policies'!$B$4:$B$503,_calc!$E$162))=0,"",INDEX('Our policies'!$B$4:$B$503,_calc!$E$162)))=0,"","Cover: "&amp;IF(LEN(INDEX('Our policies'!$B$4:$B$503,_calc!$E$162))=0,"",INDEX('Our policies'!$B$4:$B$503,_calc!$E$162))&amp;". ")&amp;IF(LEN(IF(LEN(INDEX('Our policies'!$C$4:$C$503,_calc!$E$162))=0,"",INDEX('Our policies'!$C$4:$C$503,_calc!$E$162)))=0,"","Insurer: "&amp;IF(LEN(INDEX('Our policies'!$C$4:$C$503,_calc!$E$162))=0,"",INDEX('Our policies'!$C$4:$C$503,_calc!$E$162))&amp;". ")&amp;IF(LEN(IF(LEN(INDEX('Our policies'!$D$4:$D$503,_calc!$E$162))=0,"",INDEX('Our policies'!$D$4:$D$503,_calc!$E$162)))=0,"","Broker: "&amp;IF(LEN(INDEX('Our policies'!$D$4:$D$503,_calc!$E$162))=0,"",INDEX('Our policies'!$D$4:$D$503,_calc!$E$162))&amp;". ")&amp;IF(LEN(IF(LEN(INDEX('Our policies'!$E$4:$E$503,_calc!$E$162))=0,"",INDEX('Our policies'!$E$4:$E$503,_calc!$E$162)))=0,"","Policy no.: "&amp;IF(LEN(INDEX('Our policies'!$E$4:$E$503,_calc!$E$162))=0,"",INDEX('Our policies'!$E$4:$E$503,_calc!$E$162))&amp;". ")&amp;IF(LEN(IF(LEN(INDEX('Our policies'!$S$4:$S$503,_calc!$E$162))=0,"",INDEX('Our policies'!$S$4:$S$503,_calc!$E$162)))=0,"",IF(LEN(INDEX('Our policies'!$S$4:$S$503,_calc!$E$162))=0,"",INDEX('Our policies'!$S$4:$S$503,_calc!$E$162)))),TRIM(IF(LEN(IF(LEN(INDEX('Vendor COIs'!$C$4:$C$503,(_calc!$E$162-500)))=0,"",INDEX('Vendor COIs'!$C$4:$C$503,(_calc!$E$162-500))))=0,"","Insurer: "&amp;IF(LEN(INDEX('Vendor COIs'!$C$4:$C$503,(_calc!$E$162-500)))=0,"",INDEX('Vendor COIs'!$C$4:$C$503,(_calc!$E$162-500)))&amp;". ")&amp;IF(LEN(IF(LEN(INDEX('Vendor COIs'!$D$4:$D$503,(_calc!$E$162-500)))=0,"",INDEX('Vendor COIs'!$D$4:$D$503,(_calc!$E$162-500))))=0,"","Policy no.: "&amp;IF(LEN(INDEX('Vendor COIs'!$D$4:$D$503,(_calc!$E$162-500)))=0,"",INDEX('Vendor COIs'!$D$4:$D$503,(_calc!$E$162-500)))&amp;". ")&amp;IF(LEN(IF(LEN(INDEX('Vendor COIs'!$F$4:$F$503,(_calc!$E$162-500)))=0,"",INDEX('Vendor COIs'!$F$4:$F$503,(_calc!$E$162-500))))=0,"","Meets minimum: "&amp;IF(LEN(INDEX('Vendor COIs'!$F$4:$F$503,(_calc!$E$162-500)))=0,"",INDEX('Vendor COIs'!$F$4:$F$503,(_calc!$E$162-500)))&amp;". ")&amp;IF(LEN(IF(LEN(INDEX('Vendor COIs'!$G$4:$G$503,(_calc!$E$162-500)))=0,"",INDEX('Vendor COIs'!$G$4:$G$503,(_calc!$E$162-500))))=0,"","Additional insured: "&amp;IF(LEN(INDEX('Vendor COIs'!$G$4:$G$503,(_calc!$E$162-500)))=0,"",INDEX('Vendor COIs'!$G$4:$G$503,(_calc!$E$162-500)))&amp;". ")&amp;IF(LEN(IF(LEN(INDEX('Vendor COIs'!$M$4:$M$503,(_calc!$E$162-500)))=0,"",INDEX('Vendor COIs'!$M$4:$M$503,(_calc!$E$162-500))))=0,"","Vendor contact: "&amp;IF(LEN(INDEX('Vendor COIs'!$M$4:$M$503,(_calc!$E$162-500)))=0,"",INDEX('Vendor COIs'!$M$4:$M$503,(_calc!$E$162-500)))&amp;". ")&amp;IF(LEN(IF(LEN(INDEX('Vendor COIs'!$P$4:$P$503,(_calc!$E$162-500)))=0,"",INDEX('Vendor COIs'!$P$4:$P$503,(_calc!$E$162-500))))=0,"",IF(LEN(INDEX('Vendor COIs'!$P$4:$P$503,(_calc!$E$162-500)))=0,"",INDEX('Vendor COIs'!$P$4:$P$503,(_calc!$E$162-500)))))))</f>
        <v/>
      </c>
      <c r="G160" s="46">
        <f>IF(_calc!$E$162="","",IF(_calc!$E$162&lt;=500,IF(LEN(INDEX('Our policies'!$R$4:$R$503,_calc!$E$162))=0,"",INDEX('Our policies'!$R$4:$R$503,_calc!$E$162)),IF(LEN(INDEX('Vendor COIs'!$O$4:$O$503,(_calc!$E$162-500)))=0,"",INDEX('Vendor COIs'!$O$4:$O$503,(_calc!$E$162-500)))))</f>
        <v/>
      </c>
      <c r="H160" s="46">
        <f>IF(_calc!$E$162="","",IF(_calc!$E$162&lt;=500,IF(LEN(INDEX('Our policies'!$G$4:$G$503,_calc!$E$162))=0,"",INDEX('Our policies'!$G$4:$G$503,_calc!$E$162)),""))</f>
        <v/>
      </c>
      <c r="I160" s="46">
        <f>IF(_calc!$E$162="","",IF(_calc!$E$162&lt;=500,IF(LEN(INDEX('Our policies'!$H$4:$H$503,_calc!$E$162))=0,"",INDEX('Our policies'!$H$4:$H$503,_calc!$E$162)),""))</f>
        <v/>
      </c>
      <c r="K160" s="46">
        <f>IF(_calc!$E$162="","",IF(_calc!$E$162&lt;=500,IF(LEN(INDEX('Our policies'!$P$4:$P$503,_calc!$E$162))=0,"",INDEX('Our policies'!$P$4:$P$503,_calc!$E$162)),IF(LEN(INDEX('Vendor COIs'!$N$4:$N$503,(_calc!$E$162-500)))=0,"",INDEX('Vendor COIs'!$N$4:$N$503,(_calc!$E$162-500)))))</f>
        <v/>
      </c>
    </row>
    <row r="161">
      <c r="A161" s="46">
        <f>IF(_calc!$E$163="","",IF(_calc!$E$163&lt;=500,IF(LEN(INDEX('Our policies'!$A$4:$A$503,_calc!$E$163))=0,"",INDEX('Our policies'!$A$4:$A$503,_calc!$E$163)),"COI – "&amp;IF(LEN(INDEX('Vendor COIs'!$A$4:$A$503,(_calc!$E$163-500)))=0,"",INDEX('Vendor COIs'!$A$4:$A$503,(_calc!$E$163-500)))&amp;" – "&amp;IF(LEN(INDEX('Vendor COIs'!$B$4:$B$503,(_calc!$E$163-500)))=0,"",INDEX('Vendor COIs'!$B$4:$B$503,(_calc!$E$163-500)))))</f>
        <v/>
      </c>
      <c r="B161" s="46">
        <f>IF(_calc!$E$163="","",IF(_calc!$E$163&lt;=500,IF(ISNUMBER(INDEX('Our policies'!$J$4:$J$503,_calc!$E$163)),TEXT(INDEX('Our policies'!$J$4:$J$503,_calc!$E$163),"yyyy-mm-dd"),""),IF(ISNUMBER(INDEX('Vendor COIs'!$H$4:$H$503,(_calc!$E$163-500))),TEXT(INDEX('Vendor COIs'!$H$4:$H$503,(_calc!$E$163-500)),"yyyy-mm-dd"),"")))</f>
        <v/>
      </c>
      <c r="C161" s="46">
        <f>IF(_calc!$E$163="","",IF(_calc!$E$163&lt;=500,"Insurance","Certificate of insurance"))</f>
        <v/>
      </c>
      <c r="D161" s="46">
        <f>IF(_calc!$E$163="","",IF(_calc!$E$163&lt;=500,IF(ISNUMBER(INDEX('Our policies'!$I$4:$I$503,_calc!$E$163)),TEXT(INDEX('Our policies'!$I$4:$I$503,_calc!$E$163),"yyyy-mm-dd"),""),""))</f>
        <v/>
      </c>
      <c r="E161" s="46">
        <f>IF(_calc!$E$163="","",IF(_calc!$E$163&lt;=500,IF(LEN(INDEX('Our policies'!$Q$4:$Q$503,_calc!$E$163))=0,"",INDEX('Our policies'!$Q$4:$Q$503,_calc!$E$163)),"Medium"))</f>
        <v/>
      </c>
      <c r="F161" s="46">
        <f>IF(_calc!$E$163="","",IF(_calc!$E$163&lt;=500,TRIM(IF(LEN(IF(LEN(INDEX('Our policies'!$B$4:$B$503,_calc!$E$163))=0,"",INDEX('Our policies'!$B$4:$B$503,_calc!$E$163)))=0,"","Cover: "&amp;IF(LEN(INDEX('Our policies'!$B$4:$B$503,_calc!$E$163))=0,"",INDEX('Our policies'!$B$4:$B$503,_calc!$E$163))&amp;". ")&amp;IF(LEN(IF(LEN(INDEX('Our policies'!$C$4:$C$503,_calc!$E$163))=0,"",INDEX('Our policies'!$C$4:$C$503,_calc!$E$163)))=0,"","Insurer: "&amp;IF(LEN(INDEX('Our policies'!$C$4:$C$503,_calc!$E$163))=0,"",INDEX('Our policies'!$C$4:$C$503,_calc!$E$163))&amp;". ")&amp;IF(LEN(IF(LEN(INDEX('Our policies'!$D$4:$D$503,_calc!$E$163))=0,"",INDEX('Our policies'!$D$4:$D$503,_calc!$E$163)))=0,"","Broker: "&amp;IF(LEN(INDEX('Our policies'!$D$4:$D$503,_calc!$E$163))=0,"",INDEX('Our policies'!$D$4:$D$503,_calc!$E$163))&amp;". ")&amp;IF(LEN(IF(LEN(INDEX('Our policies'!$E$4:$E$503,_calc!$E$163))=0,"",INDEX('Our policies'!$E$4:$E$503,_calc!$E$163)))=0,"","Policy no.: "&amp;IF(LEN(INDEX('Our policies'!$E$4:$E$503,_calc!$E$163))=0,"",INDEX('Our policies'!$E$4:$E$503,_calc!$E$163))&amp;". ")&amp;IF(LEN(IF(LEN(INDEX('Our policies'!$S$4:$S$503,_calc!$E$163))=0,"",INDEX('Our policies'!$S$4:$S$503,_calc!$E$163)))=0,"",IF(LEN(INDEX('Our policies'!$S$4:$S$503,_calc!$E$163))=0,"",INDEX('Our policies'!$S$4:$S$503,_calc!$E$163)))),TRIM(IF(LEN(IF(LEN(INDEX('Vendor COIs'!$C$4:$C$503,(_calc!$E$163-500)))=0,"",INDEX('Vendor COIs'!$C$4:$C$503,(_calc!$E$163-500))))=0,"","Insurer: "&amp;IF(LEN(INDEX('Vendor COIs'!$C$4:$C$503,(_calc!$E$163-500)))=0,"",INDEX('Vendor COIs'!$C$4:$C$503,(_calc!$E$163-500)))&amp;". ")&amp;IF(LEN(IF(LEN(INDEX('Vendor COIs'!$D$4:$D$503,(_calc!$E$163-500)))=0,"",INDEX('Vendor COIs'!$D$4:$D$503,(_calc!$E$163-500))))=0,"","Policy no.: "&amp;IF(LEN(INDEX('Vendor COIs'!$D$4:$D$503,(_calc!$E$163-500)))=0,"",INDEX('Vendor COIs'!$D$4:$D$503,(_calc!$E$163-500)))&amp;". ")&amp;IF(LEN(IF(LEN(INDEX('Vendor COIs'!$F$4:$F$503,(_calc!$E$163-500)))=0,"",INDEX('Vendor COIs'!$F$4:$F$503,(_calc!$E$163-500))))=0,"","Meets minimum: "&amp;IF(LEN(INDEX('Vendor COIs'!$F$4:$F$503,(_calc!$E$163-500)))=0,"",INDEX('Vendor COIs'!$F$4:$F$503,(_calc!$E$163-500)))&amp;". ")&amp;IF(LEN(IF(LEN(INDEX('Vendor COIs'!$G$4:$G$503,(_calc!$E$163-500)))=0,"",INDEX('Vendor COIs'!$G$4:$G$503,(_calc!$E$163-500))))=0,"","Additional insured: "&amp;IF(LEN(INDEX('Vendor COIs'!$G$4:$G$503,(_calc!$E$163-500)))=0,"",INDEX('Vendor COIs'!$G$4:$G$503,(_calc!$E$163-500)))&amp;". ")&amp;IF(LEN(IF(LEN(INDEX('Vendor COIs'!$M$4:$M$503,(_calc!$E$163-500)))=0,"",INDEX('Vendor COIs'!$M$4:$M$503,(_calc!$E$163-500))))=0,"","Vendor contact: "&amp;IF(LEN(INDEX('Vendor COIs'!$M$4:$M$503,(_calc!$E$163-500)))=0,"",INDEX('Vendor COIs'!$M$4:$M$503,(_calc!$E$163-500)))&amp;". ")&amp;IF(LEN(IF(LEN(INDEX('Vendor COIs'!$P$4:$P$503,(_calc!$E$163-500)))=0,"",INDEX('Vendor COIs'!$P$4:$P$503,(_calc!$E$163-500))))=0,"",IF(LEN(INDEX('Vendor COIs'!$P$4:$P$503,(_calc!$E$163-500)))=0,"",INDEX('Vendor COIs'!$P$4:$P$503,(_calc!$E$163-500)))))))</f>
        <v/>
      </c>
      <c r="G161" s="46">
        <f>IF(_calc!$E$163="","",IF(_calc!$E$163&lt;=500,IF(LEN(INDEX('Our policies'!$R$4:$R$503,_calc!$E$163))=0,"",INDEX('Our policies'!$R$4:$R$503,_calc!$E$163)),IF(LEN(INDEX('Vendor COIs'!$O$4:$O$503,(_calc!$E$163-500)))=0,"",INDEX('Vendor COIs'!$O$4:$O$503,(_calc!$E$163-500)))))</f>
        <v/>
      </c>
      <c r="H161" s="46">
        <f>IF(_calc!$E$163="","",IF(_calc!$E$163&lt;=500,IF(LEN(INDEX('Our policies'!$G$4:$G$503,_calc!$E$163))=0,"",INDEX('Our policies'!$G$4:$G$503,_calc!$E$163)),""))</f>
        <v/>
      </c>
      <c r="I161" s="46">
        <f>IF(_calc!$E$163="","",IF(_calc!$E$163&lt;=500,IF(LEN(INDEX('Our policies'!$H$4:$H$503,_calc!$E$163))=0,"",INDEX('Our policies'!$H$4:$H$503,_calc!$E$163)),""))</f>
        <v/>
      </c>
      <c r="K161" s="46">
        <f>IF(_calc!$E$163="","",IF(_calc!$E$163&lt;=500,IF(LEN(INDEX('Our policies'!$P$4:$P$503,_calc!$E$163))=0,"",INDEX('Our policies'!$P$4:$P$503,_calc!$E$163)),IF(LEN(INDEX('Vendor COIs'!$N$4:$N$503,(_calc!$E$163-500)))=0,"",INDEX('Vendor COIs'!$N$4:$N$503,(_calc!$E$163-500)))))</f>
        <v/>
      </c>
    </row>
    <row r="162">
      <c r="A162" s="46">
        <f>IF(_calc!$E$164="","",IF(_calc!$E$164&lt;=500,IF(LEN(INDEX('Our policies'!$A$4:$A$503,_calc!$E$164))=0,"",INDEX('Our policies'!$A$4:$A$503,_calc!$E$164)),"COI – "&amp;IF(LEN(INDEX('Vendor COIs'!$A$4:$A$503,(_calc!$E$164-500)))=0,"",INDEX('Vendor COIs'!$A$4:$A$503,(_calc!$E$164-500)))&amp;" – "&amp;IF(LEN(INDEX('Vendor COIs'!$B$4:$B$503,(_calc!$E$164-500)))=0,"",INDEX('Vendor COIs'!$B$4:$B$503,(_calc!$E$164-500)))))</f>
        <v/>
      </c>
      <c r="B162" s="46">
        <f>IF(_calc!$E$164="","",IF(_calc!$E$164&lt;=500,IF(ISNUMBER(INDEX('Our policies'!$J$4:$J$503,_calc!$E$164)),TEXT(INDEX('Our policies'!$J$4:$J$503,_calc!$E$164),"yyyy-mm-dd"),""),IF(ISNUMBER(INDEX('Vendor COIs'!$H$4:$H$503,(_calc!$E$164-500))),TEXT(INDEX('Vendor COIs'!$H$4:$H$503,(_calc!$E$164-500)),"yyyy-mm-dd"),"")))</f>
        <v/>
      </c>
      <c r="C162" s="46">
        <f>IF(_calc!$E$164="","",IF(_calc!$E$164&lt;=500,"Insurance","Certificate of insurance"))</f>
        <v/>
      </c>
      <c r="D162" s="46">
        <f>IF(_calc!$E$164="","",IF(_calc!$E$164&lt;=500,IF(ISNUMBER(INDEX('Our policies'!$I$4:$I$503,_calc!$E$164)),TEXT(INDEX('Our policies'!$I$4:$I$503,_calc!$E$164),"yyyy-mm-dd"),""),""))</f>
        <v/>
      </c>
      <c r="E162" s="46">
        <f>IF(_calc!$E$164="","",IF(_calc!$E$164&lt;=500,IF(LEN(INDEX('Our policies'!$Q$4:$Q$503,_calc!$E$164))=0,"",INDEX('Our policies'!$Q$4:$Q$503,_calc!$E$164)),"Medium"))</f>
        <v/>
      </c>
      <c r="F162" s="46">
        <f>IF(_calc!$E$164="","",IF(_calc!$E$164&lt;=500,TRIM(IF(LEN(IF(LEN(INDEX('Our policies'!$B$4:$B$503,_calc!$E$164))=0,"",INDEX('Our policies'!$B$4:$B$503,_calc!$E$164)))=0,"","Cover: "&amp;IF(LEN(INDEX('Our policies'!$B$4:$B$503,_calc!$E$164))=0,"",INDEX('Our policies'!$B$4:$B$503,_calc!$E$164))&amp;". ")&amp;IF(LEN(IF(LEN(INDEX('Our policies'!$C$4:$C$503,_calc!$E$164))=0,"",INDEX('Our policies'!$C$4:$C$503,_calc!$E$164)))=0,"","Insurer: "&amp;IF(LEN(INDEX('Our policies'!$C$4:$C$503,_calc!$E$164))=0,"",INDEX('Our policies'!$C$4:$C$503,_calc!$E$164))&amp;". ")&amp;IF(LEN(IF(LEN(INDEX('Our policies'!$D$4:$D$503,_calc!$E$164))=0,"",INDEX('Our policies'!$D$4:$D$503,_calc!$E$164)))=0,"","Broker: "&amp;IF(LEN(INDEX('Our policies'!$D$4:$D$503,_calc!$E$164))=0,"",INDEX('Our policies'!$D$4:$D$503,_calc!$E$164))&amp;". ")&amp;IF(LEN(IF(LEN(INDEX('Our policies'!$E$4:$E$503,_calc!$E$164))=0,"",INDEX('Our policies'!$E$4:$E$503,_calc!$E$164)))=0,"","Policy no.: "&amp;IF(LEN(INDEX('Our policies'!$E$4:$E$503,_calc!$E$164))=0,"",INDEX('Our policies'!$E$4:$E$503,_calc!$E$164))&amp;". ")&amp;IF(LEN(IF(LEN(INDEX('Our policies'!$S$4:$S$503,_calc!$E$164))=0,"",INDEX('Our policies'!$S$4:$S$503,_calc!$E$164)))=0,"",IF(LEN(INDEX('Our policies'!$S$4:$S$503,_calc!$E$164))=0,"",INDEX('Our policies'!$S$4:$S$503,_calc!$E$164)))),TRIM(IF(LEN(IF(LEN(INDEX('Vendor COIs'!$C$4:$C$503,(_calc!$E$164-500)))=0,"",INDEX('Vendor COIs'!$C$4:$C$503,(_calc!$E$164-500))))=0,"","Insurer: "&amp;IF(LEN(INDEX('Vendor COIs'!$C$4:$C$503,(_calc!$E$164-500)))=0,"",INDEX('Vendor COIs'!$C$4:$C$503,(_calc!$E$164-500)))&amp;". ")&amp;IF(LEN(IF(LEN(INDEX('Vendor COIs'!$D$4:$D$503,(_calc!$E$164-500)))=0,"",INDEX('Vendor COIs'!$D$4:$D$503,(_calc!$E$164-500))))=0,"","Policy no.: "&amp;IF(LEN(INDEX('Vendor COIs'!$D$4:$D$503,(_calc!$E$164-500)))=0,"",INDEX('Vendor COIs'!$D$4:$D$503,(_calc!$E$164-500)))&amp;". ")&amp;IF(LEN(IF(LEN(INDEX('Vendor COIs'!$F$4:$F$503,(_calc!$E$164-500)))=0,"",INDEX('Vendor COIs'!$F$4:$F$503,(_calc!$E$164-500))))=0,"","Meets minimum: "&amp;IF(LEN(INDEX('Vendor COIs'!$F$4:$F$503,(_calc!$E$164-500)))=0,"",INDEX('Vendor COIs'!$F$4:$F$503,(_calc!$E$164-500)))&amp;". ")&amp;IF(LEN(IF(LEN(INDEX('Vendor COIs'!$G$4:$G$503,(_calc!$E$164-500)))=0,"",INDEX('Vendor COIs'!$G$4:$G$503,(_calc!$E$164-500))))=0,"","Additional insured: "&amp;IF(LEN(INDEX('Vendor COIs'!$G$4:$G$503,(_calc!$E$164-500)))=0,"",INDEX('Vendor COIs'!$G$4:$G$503,(_calc!$E$164-500)))&amp;". ")&amp;IF(LEN(IF(LEN(INDEX('Vendor COIs'!$M$4:$M$503,(_calc!$E$164-500)))=0,"",INDEX('Vendor COIs'!$M$4:$M$503,(_calc!$E$164-500))))=0,"","Vendor contact: "&amp;IF(LEN(INDEX('Vendor COIs'!$M$4:$M$503,(_calc!$E$164-500)))=0,"",INDEX('Vendor COIs'!$M$4:$M$503,(_calc!$E$164-500)))&amp;". ")&amp;IF(LEN(IF(LEN(INDEX('Vendor COIs'!$P$4:$P$503,(_calc!$E$164-500)))=0,"",INDEX('Vendor COIs'!$P$4:$P$503,(_calc!$E$164-500))))=0,"",IF(LEN(INDEX('Vendor COIs'!$P$4:$P$503,(_calc!$E$164-500)))=0,"",INDEX('Vendor COIs'!$P$4:$P$503,(_calc!$E$164-500)))))))</f>
        <v/>
      </c>
      <c r="G162" s="46">
        <f>IF(_calc!$E$164="","",IF(_calc!$E$164&lt;=500,IF(LEN(INDEX('Our policies'!$R$4:$R$503,_calc!$E$164))=0,"",INDEX('Our policies'!$R$4:$R$503,_calc!$E$164)),IF(LEN(INDEX('Vendor COIs'!$O$4:$O$503,(_calc!$E$164-500)))=0,"",INDEX('Vendor COIs'!$O$4:$O$503,(_calc!$E$164-500)))))</f>
        <v/>
      </c>
      <c r="H162" s="46">
        <f>IF(_calc!$E$164="","",IF(_calc!$E$164&lt;=500,IF(LEN(INDEX('Our policies'!$G$4:$G$503,_calc!$E$164))=0,"",INDEX('Our policies'!$G$4:$G$503,_calc!$E$164)),""))</f>
        <v/>
      </c>
      <c r="I162" s="46">
        <f>IF(_calc!$E$164="","",IF(_calc!$E$164&lt;=500,IF(LEN(INDEX('Our policies'!$H$4:$H$503,_calc!$E$164))=0,"",INDEX('Our policies'!$H$4:$H$503,_calc!$E$164)),""))</f>
        <v/>
      </c>
      <c r="K162" s="46">
        <f>IF(_calc!$E$164="","",IF(_calc!$E$164&lt;=500,IF(LEN(INDEX('Our policies'!$P$4:$P$503,_calc!$E$164))=0,"",INDEX('Our policies'!$P$4:$P$503,_calc!$E$164)),IF(LEN(INDEX('Vendor COIs'!$N$4:$N$503,(_calc!$E$164-500)))=0,"",INDEX('Vendor COIs'!$N$4:$N$503,(_calc!$E$164-500)))))</f>
        <v/>
      </c>
    </row>
    <row r="163">
      <c r="A163" s="46">
        <f>IF(_calc!$E$165="","",IF(_calc!$E$165&lt;=500,IF(LEN(INDEX('Our policies'!$A$4:$A$503,_calc!$E$165))=0,"",INDEX('Our policies'!$A$4:$A$503,_calc!$E$165)),"COI – "&amp;IF(LEN(INDEX('Vendor COIs'!$A$4:$A$503,(_calc!$E$165-500)))=0,"",INDEX('Vendor COIs'!$A$4:$A$503,(_calc!$E$165-500)))&amp;" – "&amp;IF(LEN(INDEX('Vendor COIs'!$B$4:$B$503,(_calc!$E$165-500)))=0,"",INDEX('Vendor COIs'!$B$4:$B$503,(_calc!$E$165-500)))))</f>
        <v/>
      </c>
      <c r="B163" s="46">
        <f>IF(_calc!$E$165="","",IF(_calc!$E$165&lt;=500,IF(ISNUMBER(INDEX('Our policies'!$J$4:$J$503,_calc!$E$165)),TEXT(INDEX('Our policies'!$J$4:$J$503,_calc!$E$165),"yyyy-mm-dd"),""),IF(ISNUMBER(INDEX('Vendor COIs'!$H$4:$H$503,(_calc!$E$165-500))),TEXT(INDEX('Vendor COIs'!$H$4:$H$503,(_calc!$E$165-500)),"yyyy-mm-dd"),"")))</f>
        <v/>
      </c>
      <c r="C163" s="46">
        <f>IF(_calc!$E$165="","",IF(_calc!$E$165&lt;=500,"Insurance","Certificate of insurance"))</f>
        <v/>
      </c>
      <c r="D163" s="46">
        <f>IF(_calc!$E$165="","",IF(_calc!$E$165&lt;=500,IF(ISNUMBER(INDEX('Our policies'!$I$4:$I$503,_calc!$E$165)),TEXT(INDEX('Our policies'!$I$4:$I$503,_calc!$E$165),"yyyy-mm-dd"),""),""))</f>
        <v/>
      </c>
      <c r="E163" s="46">
        <f>IF(_calc!$E$165="","",IF(_calc!$E$165&lt;=500,IF(LEN(INDEX('Our policies'!$Q$4:$Q$503,_calc!$E$165))=0,"",INDEX('Our policies'!$Q$4:$Q$503,_calc!$E$165)),"Medium"))</f>
        <v/>
      </c>
      <c r="F163" s="46">
        <f>IF(_calc!$E$165="","",IF(_calc!$E$165&lt;=500,TRIM(IF(LEN(IF(LEN(INDEX('Our policies'!$B$4:$B$503,_calc!$E$165))=0,"",INDEX('Our policies'!$B$4:$B$503,_calc!$E$165)))=0,"","Cover: "&amp;IF(LEN(INDEX('Our policies'!$B$4:$B$503,_calc!$E$165))=0,"",INDEX('Our policies'!$B$4:$B$503,_calc!$E$165))&amp;". ")&amp;IF(LEN(IF(LEN(INDEX('Our policies'!$C$4:$C$503,_calc!$E$165))=0,"",INDEX('Our policies'!$C$4:$C$503,_calc!$E$165)))=0,"","Insurer: "&amp;IF(LEN(INDEX('Our policies'!$C$4:$C$503,_calc!$E$165))=0,"",INDEX('Our policies'!$C$4:$C$503,_calc!$E$165))&amp;". ")&amp;IF(LEN(IF(LEN(INDEX('Our policies'!$D$4:$D$503,_calc!$E$165))=0,"",INDEX('Our policies'!$D$4:$D$503,_calc!$E$165)))=0,"","Broker: "&amp;IF(LEN(INDEX('Our policies'!$D$4:$D$503,_calc!$E$165))=0,"",INDEX('Our policies'!$D$4:$D$503,_calc!$E$165))&amp;". ")&amp;IF(LEN(IF(LEN(INDEX('Our policies'!$E$4:$E$503,_calc!$E$165))=0,"",INDEX('Our policies'!$E$4:$E$503,_calc!$E$165)))=0,"","Policy no.: "&amp;IF(LEN(INDEX('Our policies'!$E$4:$E$503,_calc!$E$165))=0,"",INDEX('Our policies'!$E$4:$E$503,_calc!$E$165))&amp;". ")&amp;IF(LEN(IF(LEN(INDEX('Our policies'!$S$4:$S$503,_calc!$E$165))=0,"",INDEX('Our policies'!$S$4:$S$503,_calc!$E$165)))=0,"",IF(LEN(INDEX('Our policies'!$S$4:$S$503,_calc!$E$165))=0,"",INDEX('Our policies'!$S$4:$S$503,_calc!$E$165)))),TRIM(IF(LEN(IF(LEN(INDEX('Vendor COIs'!$C$4:$C$503,(_calc!$E$165-500)))=0,"",INDEX('Vendor COIs'!$C$4:$C$503,(_calc!$E$165-500))))=0,"","Insurer: "&amp;IF(LEN(INDEX('Vendor COIs'!$C$4:$C$503,(_calc!$E$165-500)))=0,"",INDEX('Vendor COIs'!$C$4:$C$503,(_calc!$E$165-500)))&amp;". ")&amp;IF(LEN(IF(LEN(INDEX('Vendor COIs'!$D$4:$D$503,(_calc!$E$165-500)))=0,"",INDEX('Vendor COIs'!$D$4:$D$503,(_calc!$E$165-500))))=0,"","Policy no.: "&amp;IF(LEN(INDEX('Vendor COIs'!$D$4:$D$503,(_calc!$E$165-500)))=0,"",INDEX('Vendor COIs'!$D$4:$D$503,(_calc!$E$165-500)))&amp;". ")&amp;IF(LEN(IF(LEN(INDEX('Vendor COIs'!$F$4:$F$503,(_calc!$E$165-500)))=0,"",INDEX('Vendor COIs'!$F$4:$F$503,(_calc!$E$165-500))))=0,"","Meets minimum: "&amp;IF(LEN(INDEX('Vendor COIs'!$F$4:$F$503,(_calc!$E$165-500)))=0,"",INDEX('Vendor COIs'!$F$4:$F$503,(_calc!$E$165-500)))&amp;". ")&amp;IF(LEN(IF(LEN(INDEX('Vendor COIs'!$G$4:$G$503,(_calc!$E$165-500)))=0,"",INDEX('Vendor COIs'!$G$4:$G$503,(_calc!$E$165-500))))=0,"","Additional insured: "&amp;IF(LEN(INDEX('Vendor COIs'!$G$4:$G$503,(_calc!$E$165-500)))=0,"",INDEX('Vendor COIs'!$G$4:$G$503,(_calc!$E$165-500)))&amp;". ")&amp;IF(LEN(IF(LEN(INDEX('Vendor COIs'!$M$4:$M$503,(_calc!$E$165-500)))=0,"",INDEX('Vendor COIs'!$M$4:$M$503,(_calc!$E$165-500))))=0,"","Vendor contact: "&amp;IF(LEN(INDEX('Vendor COIs'!$M$4:$M$503,(_calc!$E$165-500)))=0,"",INDEX('Vendor COIs'!$M$4:$M$503,(_calc!$E$165-500)))&amp;". ")&amp;IF(LEN(IF(LEN(INDEX('Vendor COIs'!$P$4:$P$503,(_calc!$E$165-500)))=0,"",INDEX('Vendor COIs'!$P$4:$P$503,(_calc!$E$165-500))))=0,"",IF(LEN(INDEX('Vendor COIs'!$P$4:$P$503,(_calc!$E$165-500)))=0,"",INDEX('Vendor COIs'!$P$4:$P$503,(_calc!$E$165-500)))))))</f>
        <v/>
      </c>
      <c r="G163" s="46">
        <f>IF(_calc!$E$165="","",IF(_calc!$E$165&lt;=500,IF(LEN(INDEX('Our policies'!$R$4:$R$503,_calc!$E$165))=0,"",INDEX('Our policies'!$R$4:$R$503,_calc!$E$165)),IF(LEN(INDEX('Vendor COIs'!$O$4:$O$503,(_calc!$E$165-500)))=0,"",INDEX('Vendor COIs'!$O$4:$O$503,(_calc!$E$165-500)))))</f>
        <v/>
      </c>
      <c r="H163" s="46">
        <f>IF(_calc!$E$165="","",IF(_calc!$E$165&lt;=500,IF(LEN(INDEX('Our policies'!$G$4:$G$503,_calc!$E$165))=0,"",INDEX('Our policies'!$G$4:$G$503,_calc!$E$165)),""))</f>
        <v/>
      </c>
      <c r="I163" s="46">
        <f>IF(_calc!$E$165="","",IF(_calc!$E$165&lt;=500,IF(LEN(INDEX('Our policies'!$H$4:$H$503,_calc!$E$165))=0,"",INDEX('Our policies'!$H$4:$H$503,_calc!$E$165)),""))</f>
        <v/>
      </c>
      <c r="K163" s="46">
        <f>IF(_calc!$E$165="","",IF(_calc!$E$165&lt;=500,IF(LEN(INDEX('Our policies'!$P$4:$P$503,_calc!$E$165))=0,"",INDEX('Our policies'!$P$4:$P$503,_calc!$E$165)),IF(LEN(INDEX('Vendor COIs'!$N$4:$N$503,(_calc!$E$165-500)))=0,"",INDEX('Vendor COIs'!$N$4:$N$503,(_calc!$E$165-500)))))</f>
        <v/>
      </c>
    </row>
    <row r="164">
      <c r="A164" s="46">
        <f>IF(_calc!$E$166="","",IF(_calc!$E$166&lt;=500,IF(LEN(INDEX('Our policies'!$A$4:$A$503,_calc!$E$166))=0,"",INDEX('Our policies'!$A$4:$A$503,_calc!$E$166)),"COI – "&amp;IF(LEN(INDEX('Vendor COIs'!$A$4:$A$503,(_calc!$E$166-500)))=0,"",INDEX('Vendor COIs'!$A$4:$A$503,(_calc!$E$166-500)))&amp;" – "&amp;IF(LEN(INDEX('Vendor COIs'!$B$4:$B$503,(_calc!$E$166-500)))=0,"",INDEX('Vendor COIs'!$B$4:$B$503,(_calc!$E$166-500)))))</f>
        <v/>
      </c>
      <c r="B164" s="46">
        <f>IF(_calc!$E$166="","",IF(_calc!$E$166&lt;=500,IF(ISNUMBER(INDEX('Our policies'!$J$4:$J$503,_calc!$E$166)),TEXT(INDEX('Our policies'!$J$4:$J$503,_calc!$E$166),"yyyy-mm-dd"),""),IF(ISNUMBER(INDEX('Vendor COIs'!$H$4:$H$503,(_calc!$E$166-500))),TEXT(INDEX('Vendor COIs'!$H$4:$H$503,(_calc!$E$166-500)),"yyyy-mm-dd"),"")))</f>
        <v/>
      </c>
      <c r="C164" s="46">
        <f>IF(_calc!$E$166="","",IF(_calc!$E$166&lt;=500,"Insurance","Certificate of insurance"))</f>
        <v/>
      </c>
      <c r="D164" s="46">
        <f>IF(_calc!$E$166="","",IF(_calc!$E$166&lt;=500,IF(ISNUMBER(INDEX('Our policies'!$I$4:$I$503,_calc!$E$166)),TEXT(INDEX('Our policies'!$I$4:$I$503,_calc!$E$166),"yyyy-mm-dd"),""),""))</f>
        <v/>
      </c>
      <c r="E164" s="46">
        <f>IF(_calc!$E$166="","",IF(_calc!$E$166&lt;=500,IF(LEN(INDEX('Our policies'!$Q$4:$Q$503,_calc!$E$166))=0,"",INDEX('Our policies'!$Q$4:$Q$503,_calc!$E$166)),"Medium"))</f>
        <v/>
      </c>
      <c r="F164" s="46">
        <f>IF(_calc!$E$166="","",IF(_calc!$E$166&lt;=500,TRIM(IF(LEN(IF(LEN(INDEX('Our policies'!$B$4:$B$503,_calc!$E$166))=0,"",INDEX('Our policies'!$B$4:$B$503,_calc!$E$166)))=0,"","Cover: "&amp;IF(LEN(INDEX('Our policies'!$B$4:$B$503,_calc!$E$166))=0,"",INDEX('Our policies'!$B$4:$B$503,_calc!$E$166))&amp;". ")&amp;IF(LEN(IF(LEN(INDEX('Our policies'!$C$4:$C$503,_calc!$E$166))=0,"",INDEX('Our policies'!$C$4:$C$503,_calc!$E$166)))=0,"","Insurer: "&amp;IF(LEN(INDEX('Our policies'!$C$4:$C$503,_calc!$E$166))=0,"",INDEX('Our policies'!$C$4:$C$503,_calc!$E$166))&amp;". ")&amp;IF(LEN(IF(LEN(INDEX('Our policies'!$D$4:$D$503,_calc!$E$166))=0,"",INDEX('Our policies'!$D$4:$D$503,_calc!$E$166)))=0,"","Broker: "&amp;IF(LEN(INDEX('Our policies'!$D$4:$D$503,_calc!$E$166))=0,"",INDEX('Our policies'!$D$4:$D$503,_calc!$E$166))&amp;". ")&amp;IF(LEN(IF(LEN(INDEX('Our policies'!$E$4:$E$503,_calc!$E$166))=0,"",INDEX('Our policies'!$E$4:$E$503,_calc!$E$166)))=0,"","Policy no.: "&amp;IF(LEN(INDEX('Our policies'!$E$4:$E$503,_calc!$E$166))=0,"",INDEX('Our policies'!$E$4:$E$503,_calc!$E$166))&amp;". ")&amp;IF(LEN(IF(LEN(INDEX('Our policies'!$S$4:$S$503,_calc!$E$166))=0,"",INDEX('Our policies'!$S$4:$S$503,_calc!$E$166)))=0,"",IF(LEN(INDEX('Our policies'!$S$4:$S$503,_calc!$E$166))=0,"",INDEX('Our policies'!$S$4:$S$503,_calc!$E$166)))),TRIM(IF(LEN(IF(LEN(INDEX('Vendor COIs'!$C$4:$C$503,(_calc!$E$166-500)))=0,"",INDEX('Vendor COIs'!$C$4:$C$503,(_calc!$E$166-500))))=0,"","Insurer: "&amp;IF(LEN(INDEX('Vendor COIs'!$C$4:$C$503,(_calc!$E$166-500)))=0,"",INDEX('Vendor COIs'!$C$4:$C$503,(_calc!$E$166-500)))&amp;". ")&amp;IF(LEN(IF(LEN(INDEX('Vendor COIs'!$D$4:$D$503,(_calc!$E$166-500)))=0,"",INDEX('Vendor COIs'!$D$4:$D$503,(_calc!$E$166-500))))=0,"","Policy no.: "&amp;IF(LEN(INDEX('Vendor COIs'!$D$4:$D$503,(_calc!$E$166-500)))=0,"",INDEX('Vendor COIs'!$D$4:$D$503,(_calc!$E$166-500)))&amp;". ")&amp;IF(LEN(IF(LEN(INDEX('Vendor COIs'!$F$4:$F$503,(_calc!$E$166-500)))=0,"",INDEX('Vendor COIs'!$F$4:$F$503,(_calc!$E$166-500))))=0,"","Meets minimum: "&amp;IF(LEN(INDEX('Vendor COIs'!$F$4:$F$503,(_calc!$E$166-500)))=0,"",INDEX('Vendor COIs'!$F$4:$F$503,(_calc!$E$166-500)))&amp;". ")&amp;IF(LEN(IF(LEN(INDEX('Vendor COIs'!$G$4:$G$503,(_calc!$E$166-500)))=0,"",INDEX('Vendor COIs'!$G$4:$G$503,(_calc!$E$166-500))))=0,"","Additional insured: "&amp;IF(LEN(INDEX('Vendor COIs'!$G$4:$G$503,(_calc!$E$166-500)))=0,"",INDEX('Vendor COIs'!$G$4:$G$503,(_calc!$E$166-500)))&amp;". ")&amp;IF(LEN(IF(LEN(INDEX('Vendor COIs'!$M$4:$M$503,(_calc!$E$166-500)))=0,"",INDEX('Vendor COIs'!$M$4:$M$503,(_calc!$E$166-500))))=0,"","Vendor contact: "&amp;IF(LEN(INDEX('Vendor COIs'!$M$4:$M$503,(_calc!$E$166-500)))=0,"",INDEX('Vendor COIs'!$M$4:$M$503,(_calc!$E$166-500)))&amp;". ")&amp;IF(LEN(IF(LEN(INDEX('Vendor COIs'!$P$4:$P$503,(_calc!$E$166-500)))=0,"",INDEX('Vendor COIs'!$P$4:$P$503,(_calc!$E$166-500))))=0,"",IF(LEN(INDEX('Vendor COIs'!$P$4:$P$503,(_calc!$E$166-500)))=0,"",INDEX('Vendor COIs'!$P$4:$P$503,(_calc!$E$166-500)))))))</f>
        <v/>
      </c>
      <c r="G164" s="46">
        <f>IF(_calc!$E$166="","",IF(_calc!$E$166&lt;=500,IF(LEN(INDEX('Our policies'!$R$4:$R$503,_calc!$E$166))=0,"",INDEX('Our policies'!$R$4:$R$503,_calc!$E$166)),IF(LEN(INDEX('Vendor COIs'!$O$4:$O$503,(_calc!$E$166-500)))=0,"",INDEX('Vendor COIs'!$O$4:$O$503,(_calc!$E$166-500)))))</f>
        <v/>
      </c>
      <c r="H164" s="46">
        <f>IF(_calc!$E$166="","",IF(_calc!$E$166&lt;=500,IF(LEN(INDEX('Our policies'!$G$4:$G$503,_calc!$E$166))=0,"",INDEX('Our policies'!$G$4:$G$503,_calc!$E$166)),""))</f>
        <v/>
      </c>
      <c r="I164" s="46">
        <f>IF(_calc!$E$166="","",IF(_calc!$E$166&lt;=500,IF(LEN(INDEX('Our policies'!$H$4:$H$503,_calc!$E$166))=0,"",INDEX('Our policies'!$H$4:$H$503,_calc!$E$166)),""))</f>
        <v/>
      </c>
      <c r="K164" s="46">
        <f>IF(_calc!$E$166="","",IF(_calc!$E$166&lt;=500,IF(LEN(INDEX('Our policies'!$P$4:$P$503,_calc!$E$166))=0,"",INDEX('Our policies'!$P$4:$P$503,_calc!$E$166)),IF(LEN(INDEX('Vendor COIs'!$N$4:$N$503,(_calc!$E$166-500)))=0,"",INDEX('Vendor COIs'!$N$4:$N$503,(_calc!$E$166-500)))))</f>
        <v/>
      </c>
    </row>
    <row r="165">
      <c r="A165" s="46">
        <f>IF(_calc!$E$167="","",IF(_calc!$E$167&lt;=500,IF(LEN(INDEX('Our policies'!$A$4:$A$503,_calc!$E$167))=0,"",INDEX('Our policies'!$A$4:$A$503,_calc!$E$167)),"COI – "&amp;IF(LEN(INDEX('Vendor COIs'!$A$4:$A$503,(_calc!$E$167-500)))=0,"",INDEX('Vendor COIs'!$A$4:$A$503,(_calc!$E$167-500)))&amp;" – "&amp;IF(LEN(INDEX('Vendor COIs'!$B$4:$B$503,(_calc!$E$167-500)))=0,"",INDEX('Vendor COIs'!$B$4:$B$503,(_calc!$E$167-500)))))</f>
        <v/>
      </c>
      <c r="B165" s="46">
        <f>IF(_calc!$E$167="","",IF(_calc!$E$167&lt;=500,IF(ISNUMBER(INDEX('Our policies'!$J$4:$J$503,_calc!$E$167)),TEXT(INDEX('Our policies'!$J$4:$J$503,_calc!$E$167),"yyyy-mm-dd"),""),IF(ISNUMBER(INDEX('Vendor COIs'!$H$4:$H$503,(_calc!$E$167-500))),TEXT(INDEX('Vendor COIs'!$H$4:$H$503,(_calc!$E$167-500)),"yyyy-mm-dd"),"")))</f>
        <v/>
      </c>
      <c r="C165" s="46">
        <f>IF(_calc!$E$167="","",IF(_calc!$E$167&lt;=500,"Insurance","Certificate of insurance"))</f>
        <v/>
      </c>
      <c r="D165" s="46">
        <f>IF(_calc!$E$167="","",IF(_calc!$E$167&lt;=500,IF(ISNUMBER(INDEX('Our policies'!$I$4:$I$503,_calc!$E$167)),TEXT(INDEX('Our policies'!$I$4:$I$503,_calc!$E$167),"yyyy-mm-dd"),""),""))</f>
        <v/>
      </c>
      <c r="E165" s="46">
        <f>IF(_calc!$E$167="","",IF(_calc!$E$167&lt;=500,IF(LEN(INDEX('Our policies'!$Q$4:$Q$503,_calc!$E$167))=0,"",INDEX('Our policies'!$Q$4:$Q$503,_calc!$E$167)),"Medium"))</f>
        <v/>
      </c>
      <c r="F165" s="46">
        <f>IF(_calc!$E$167="","",IF(_calc!$E$167&lt;=500,TRIM(IF(LEN(IF(LEN(INDEX('Our policies'!$B$4:$B$503,_calc!$E$167))=0,"",INDEX('Our policies'!$B$4:$B$503,_calc!$E$167)))=0,"","Cover: "&amp;IF(LEN(INDEX('Our policies'!$B$4:$B$503,_calc!$E$167))=0,"",INDEX('Our policies'!$B$4:$B$503,_calc!$E$167))&amp;". ")&amp;IF(LEN(IF(LEN(INDEX('Our policies'!$C$4:$C$503,_calc!$E$167))=0,"",INDEX('Our policies'!$C$4:$C$503,_calc!$E$167)))=0,"","Insurer: "&amp;IF(LEN(INDEX('Our policies'!$C$4:$C$503,_calc!$E$167))=0,"",INDEX('Our policies'!$C$4:$C$503,_calc!$E$167))&amp;". ")&amp;IF(LEN(IF(LEN(INDEX('Our policies'!$D$4:$D$503,_calc!$E$167))=0,"",INDEX('Our policies'!$D$4:$D$503,_calc!$E$167)))=0,"","Broker: "&amp;IF(LEN(INDEX('Our policies'!$D$4:$D$503,_calc!$E$167))=0,"",INDEX('Our policies'!$D$4:$D$503,_calc!$E$167))&amp;". ")&amp;IF(LEN(IF(LEN(INDEX('Our policies'!$E$4:$E$503,_calc!$E$167))=0,"",INDEX('Our policies'!$E$4:$E$503,_calc!$E$167)))=0,"","Policy no.: "&amp;IF(LEN(INDEX('Our policies'!$E$4:$E$503,_calc!$E$167))=0,"",INDEX('Our policies'!$E$4:$E$503,_calc!$E$167))&amp;". ")&amp;IF(LEN(IF(LEN(INDEX('Our policies'!$S$4:$S$503,_calc!$E$167))=0,"",INDEX('Our policies'!$S$4:$S$503,_calc!$E$167)))=0,"",IF(LEN(INDEX('Our policies'!$S$4:$S$503,_calc!$E$167))=0,"",INDEX('Our policies'!$S$4:$S$503,_calc!$E$167)))),TRIM(IF(LEN(IF(LEN(INDEX('Vendor COIs'!$C$4:$C$503,(_calc!$E$167-500)))=0,"",INDEX('Vendor COIs'!$C$4:$C$503,(_calc!$E$167-500))))=0,"","Insurer: "&amp;IF(LEN(INDEX('Vendor COIs'!$C$4:$C$503,(_calc!$E$167-500)))=0,"",INDEX('Vendor COIs'!$C$4:$C$503,(_calc!$E$167-500)))&amp;". ")&amp;IF(LEN(IF(LEN(INDEX('Vendor COIs'!$D$4:$D$503,(_calc!$E$167-500)))=0,"",INDEX('Vendor COIs'!$D$4:$D$503,(_calc!$E$167-500))))=0,"","Policy no.: "&amp;IF(LEN(INDEX('Vendor COIs'!$D$4:$D$503,(_calc!$E$167-500)))=0,"",INDEX('Vendor COIs'!$D$4:$D$503,(_calc!$E$167-500)))&amp;". ")&amp;IF(LEN(IF(LEN(INDEX('Vendor COIs'!$F$4:$F$503,(_calc!$E$167-500)))=0,"",INDEX('Vendor COIs'!$F$4:$F$503,(_calc!$E$167-500))))=0,"","Meets minimum: "&amp;IF(LEN(INDEX('Vendor COIs'!$F$4:$F$503,(_calc!$E$167-500)))=0,"",INDEX('Vendor COIs'!$F$4:$F$503,(_calc!$E$167-500)))&amp;". ")&amp;IF(LEN(IF(LEN(INDEX('Vendor COIs'!$G$4:$G$503,(_calc!$E$167-500)))=0,"",INDEX('Vendor COIs'!$G$4:$G$503,(_calc!$E$167-500))))=0,"","Additional insured: "&amp;IF(LEN(INDEX('Vendor COIs'!$G$4:$G$503,(_calc!$E$167-500)))=0,"",INDEX('Vendor COIs'!$G$4:$G$503,(_calc!$E$167-500)))&amp;". ")&amp;IF(LEN(IF(LEN(INDEX('Vendor COIs'!$M$4:$M$503,(_calc!$E$167-500)))=0,"",INDEX('Vendor COIs'!$M$4:$M$503,(_calc!$E$167-500))))=0,"","Vendor contact: "&amp;IF(LEN(INDEX('Vendor COIs'!$M$4:$M$503,(_calc!$E$167-500)))=0,"",INDEX('Vendor COIs'!$M$4:$M$503,(_calc!$E$167-500)))&amp;". ")&amp;IF(LEN(IF(LEN(INDEX('Vendor COIs'!$P$4:$P$503,(_calc!$E$167-500)))=0,"",INDEX('Vendor COIs'!$P$4:$P$503,(_calc!$E$167-500))))=0,"",IF(LEN(INDEX('Vendor COIs'!$P$4:$P$503,(_calc!$E$167-500)))=0,"",INDEX('Vendor COIs'!$P$4:$P$503,(_calc!$E$167-500)))))))</f>
        <v/>
      </c>
      <c r="G165" s="46">
        <f>IF(_calc!$E$167="","",IF(_calc!$E$167&lt;=500,IF(LEN(INDEX('Our policies'!$R$4:$R$503,_calc!$E$167))=0,"",INDEX('Our policies'!$R$4:$R$503,_calc!$E$167)),IF(LEN(INDEX('Vendor COIs'!$O$4:$O$503,(_calc!$E$167-500)))=0,"",INDEX('Vendor COIs'!$O$4:$O$503,(_calc!$E$167-500)))))</f>
        <v/>
      </c>
      <c r="H165" s="46">
        <f>IF(_calc!$E$167="","",IF(_calc!$E$167&lt;=500,IF(LEN(INDEX('Our policies'!$G$4:$G$503,_calc!$E$167))=0,"",INDEX('Our policies'!$G$4:$G$503,_calc!$E$167)),""))</f>
        <v/>
      </c>
      <c r="I165" s="46">
        <f>IF(_calc!$E$167="","",IF(_calc!$E$167&lt;=500,IF(LEN(INDEX('Our policies'!$H$4:$H$503,_calc!$E$167))=0,"",INDEX('Our policies'!$H$4:$H$503,_calc!$E$167)),""))</f>
        <v/>
      </c>
      <c r="K165" s="46">
        <f>IF(_calc!$E$167="","",IF(_calc!$E$167&lt;=500,IF(LEN(INDEX('Our policies'!$P$4:$P$503,_calc!$E$167))=0,"",INDEX('Our policies'!$P$4:$P$503,_calc!$E$167)),IF(LEN(INDEX('Vendor COIs'!$N$4:$N$503,(_calc!$E$167-500)))=0,"",INDEX('Vendor COIs'!$N$4:$N$503,(_calc!$E$167-500)))))</f>
        <v/>
      </c>
    </row>
    <row r="166">
      <c r="A166" s="46">
        <f>IF(_calc!$E$168="","",IF(_calc!$E$168&lt;=500,IF(LEN(INDEX('Our policies'!$A$4:$A$503,_calc!$E$168))=0,"",INDEX('Our policies'!$A$4:$A$503,_calc!$E$168)),"COI – "&amp;IF(LEN(INDEX('Vendor COIs'!$A$4:$A$503,(_calc!$E$168-500)))=0,"",INDEX('Vendor COIs'!$A$4:$A$503,(_calc!$E$168-500)))&amp;" – "&amp;IF(LEN(INDEX('Vendor COIs'!$B$4:$B$503,(_calc!$E$168-500)))=0,"",INDEX('Vendor COIs'!$B$4:$B$503,(_calc!$E$168-500)))))</f>
        <v/>
      </c>
      <c r="B166" s="46">
        <f>IF(_calc!$E$168="","",IF(_calc!$E$168&lt;=500,IF(ISNUMBER(INDEX('Our policies'!$J$4:$J$503,_calc!$E$168)),TEXT(INDEX('Our policies'!$J$4:$J$503,_calc!$E$168),"yyyy-mm-dd"),""),IF(ISNUMBER(INDEX('Vendor COIs'!$H$4:$H$503,(_calc!$E$168-500))),TEXT(INDEX('Vendor COIs'!$H$4:$H$503,(_calc!$E$168-500)),"yyyy-mm-dd"),"")))</f>
        <v/>
      </c>
      <c r="C166" s="46">
        <f>IF(_calc!$E$168="","",IF(_calc!$E$168&lt;=500,"Insurance","Certificate of insurance"))</f>
        <v/>
      </c>
      <c r="D166" s="46">
        <f>IF(_calc!$E$168="","",IF(_calc!$E$168&lt;=500,IF(ISNUMBER(INDEX('Our policies'!$I$4:$I$503,_calc!$E$168)),TEXT(INDEX('Our policies'!$I$4:$I$503,_calc!$E$168),"yyyy-mm-dd"),""),""))</f>
        <v/>
      </c>
      <c r="E166" s="46">
        <f>IF(_calc!$E$168="","",IF(_calc!$E$168&lt;=500,IF(LEN(INDEX('Our policies'!$Q$4:$Q$503,_calc!$E$168))=0,"",INDEX('Our policies'!$Q$4:$Q$503,_calc!$E$168)),"Medium"))</f>
        <v/>
      </c>
      <c r="F166" s="46">
        <f>IF(_calc!$E$168="","",IF(_calc!$E$168&lt;=500,TRIM(IF(LEN(IF(LEN(INDEX('Our policies'!$B$4:$B$503,_calc!$E$168))=0,"",INDEX('Our policies'!$B$4:$B$503,_calc!$E$168)))=0,"","Cover: "&amp;IF(LEN(INDEX('Our policies'!$B$4:$B$503,_calc!$E$168))=0,"",INDEX('Our policies'!$B$4:$B$503,_calc!$E$168))&amp;". ")&amp;IF(LEN(IF(LEN(INDEX('Our policies'!$C$4:$C$503,_calc!$E$168))=0,"",INDEX('Our policies'!$C$4:$C$503,_calc!$E$168)))=0,"","Insurer: "&amp;IF(LEN(INDEX('Our policies'!$C$4:$C$503,_calc!$E$168))=0,"",INDEX('Our policies'!$C$4:$C$503,_calc!$E$168))&amp;". ")&amp;IF(LEN(IF(LEN(INDEX('Our policies'!$D$4:$D$503,_calc!$E$168))=0,"",INDEX('Our policies'!$D$4:$D$503,_calc!$E$168)))=0,"","Broker: "&amp;IF(LEN(INDEX('Our policies'!$D$4:$D$503,_calc!$E$168))=0,"",INDEX('Our policies'!$D$4:$D$503,_calc!$E$168))&amp;". ")&amp;IF(LEN(IF(LEN(INDEX('Our policies'!$E$4:$E$503,_calc!$E$168))=0,"",INDEX('Our policies'!$E$4:$E$503,_calc!$E$168)))=0,"","Policy no.: "&amp;IF(LEN(INDEX('Our policies'!$E$4:$E$503,_calc!$E$168))=0,"",INDEX('Our policies'!$E$4:$E$503,_calc!$E$168))&amp;". ")&amp;IF(LEN(IF(LEN(INDEX('Our policies'!$S$4:$S$503,_calc!$E$168))=0,"",INDEX('Our policies'!$S$4:$S$503,_calc!$E$168)))=0,"",IF(LEN(INDEX('Our policies'!$S$4:$S$503,_calc!$E$168))=0,"",INDEX('Our policies'!$S$4:$S$503,_calc!$E$168)))),TRIM(IF(LEN(IF(LEN(INDEX('Vendor COIs'!$C$4:$C$503,(_calc!$E$168-500)))=0,"",INDEX('Vendor COIs'!$C$4:$C$503,(_calc!$E$168-500))))=0,"","Insurer: "&amp;IF(LEN(INDEX('Vendor COIs'!$C$4:$C$503,(_calc!$E$168-500)))=0,"",INDEX('Vendor COIs'!$C$4:$C$503,(_calc!$E$168-500)))&amp;". ")&amp;IF(LEN(IF(LEN(INDEX('Vendor COIs'!$D$4:$D$503,(_calc!$E$168-500)))=0,"",INDEX('Vendor COIs'!$D$4:$D$503,(_calc!$E$168-500))))=0,"","Policy no.: "&amp;IF(LEN(INDEX('Vendor COIs'!$D$4:$D$503,(_calc!$E$168-500)))=0,"",INDEX('Vendor COIs'!$D$4:$D$503,(_calc!$E$168-500)))&amp;". ")&amp;IF(LEN(IF(LEN(INDEX('Vendor COIs'!$F$4:$F$503,(_calc!$E$168-500)))=0,"",INDEX('Vendor COIs'!$F$4:$F$503,(_calc!$E$168-500))))=0,"","Meets minimum: "&amp;IF(LEN(INDEX('Vendor COIs'!$F$4:$F$503,(_calc!$E$168-500)))=0,"",INDEX('Vendor COIs'!$F$4:$F$503,(_calc!$E$168-500)))&amp;". ")&amp;IF(LEN(IF(LEN(INDEX('Vendor COIs'!$G$4:$G$503,(_calc!$E$168-500)))=0,"",INDEX('Vendor COIs'!$G$4:$G$503,(_calc!$E$168-500))))=0,"","Additional insured: "&amp;IF(LEN(INDEX('Vendor COIs'!$G$4:$G$503,(_calc!$E$168-500)))=0,"",INDEX('Vendor COIs'!$G$4:$G$503,(_calc!$E$168-500)))&amp;". ")&amp;IF(LEN(IF(LEN(INDEX('Vendor COIs'!$M$4:$M$503,(_calc!$E$168-500)))=0,"",INDEX('Vendor COIs'!$M$4:$M$503,(_calc!$E$168-500))))=0,"","Vendor contact: "&amp;IF(LEN(INDEX('Vendor COIs'!$M$4:$M$503,(_calc!$E$168-500)))=0,"",INDEX('Vendor COIs'!$M$4:$M$503,(_calc!$E$168-500)))&amp;". ")&amp;IF(LEN(IF(LEN(INDEX('Vendor COIs'!$P$4:$P$503,(_calc!$E$168-500)))=0,"",INDEX('Vendor COIs'!$P$4:$P$503,(_calc!$E$168-500))))=0,"",IF(LEN(INDEX('Vendor COIs'!$P$4:$P$503,(_calc!$E$168-500)))=0,"",INDEX('Vendor COIs'!$P$4:$P$503,(_calc!$E$168-500)))))))</f>
        <v/>
      </c>
      <c r="G166" s="46">
        <f>IF(_calc!$E$168="","",IF(_calc!$E$168&lt;=500,IF(LEN(INDEX('Our policies'!$R$4:$R$503,_calc!$E$168))=0,"",INDEX('Our policies'!$R$4:$R$503,_calc!$E$168)),IF(LEN(INDEX('Vendor COIs'!$O$4:$O$503,(_calc!$E$168-500)))=0,"",INDEX('Vendor COIs'!$O$4:$O$503,(_calc!$E$168-500)))))</f>
        <v/>
      </c>
      <c r="H166" s="46">
        <f>IF(_calc!$E$168="","",IF(_calc!$E$168&lt;=500,IF(LEN(INDEX('Our policies'!$G$4:$G$503,_calc!$E$168))=0,"",INDEX('Our policies'!$G$4:$G$503,_calc!$E$168)),""))</f>
        <v/>
      </c>
      <c r="I166" s="46">
        <f>IF(_calc!$E$168="","",IF(_calc!$E$168&lt;=500,IF(LEN(INDEX('Our policies'!$H$4:$H$503,_calc!$E$168))=0,"",INDEX('Our policies'!$H$4:$H$503,_calc!$E$168)),""))</f>
        <v/>
      </c>
      <c r="K166" s="46">
        <f>IF(_calc!$E$168="","",IF(_calc!$E$168&lt;=500,IF(LEN(INDEX('Our policies'!$P$4:$P$503,_calc!$E$168))=0,"",INDEX('Our policies'!$P$4:$P$503,_calc!$E$168)),IF(LEN(INDEX('Vendor COIs'!$N$4:$N$503,(_calc!$E$168-500)))=0,"",INDEX('Vendor COIs'!$N$4:$N$503,(_calc!$E$168-500)))))</f>
        <v/>
      </c>
    </row>
    <row r="167">
      <c r="A167" s="46">
        <f>IF(_calc!$E$169="","",IF(_calc!$E$169&lt;=500,IF(LEN(INDEX('Our policies'!$A$4:$A$503,_calc!$E$169))=0,"",INDEX('Our policies'!$A$4:$A$503,_calc!$E$169)),"COI – "&amp;IF(LEN(INDEX('Vendor COIs'!$A$4:$A$503,(_calc!$E$169-500)))=0,"",INDEX('Vendor COIs'!$A$4:$A$503,(_calc!$E$169-500)))&amp;" – "&amp;IF(LEN(INDEX('Vendor COIs'!$B$4:$B$503,(_calc!$E$169-500)))=0,"",INDEX('Vendor COIs'!$B$4:$B$503,(_calc!$E$169-500)))))</f>
        <v/>
      </c>
      <c r="B167" s="46">
        <f>IF(_calc!$E$169="","",IF(_calc!$E$169&lt;=500,IF(ISNUMBER(INDEX('Our policies'!$J$4:$J$503,_calc!$E$169)),TEXT(INDEX('Our policies'!$J$4:$J$503,_calc!$E$169),"yyyy-mm-dd"),""),IF(ISNUMBER(INDEX('Vendor COIs'!$H$4:$H$503,(_calc!$E$169-500))),TEXT(INDEX('Vendor COIs'!$H$4:$H$503,(_calc!$E$169-500)),"yyyy-mm-dd"),"")))</f>
        <v/>
      </c>
      <c r="C167" s="46">
        <f>IF(_calc!$E$169="","",IF(_calc!$E$169&lt;=500,"Insurance","Certificate of insurance"))</f>
        <v/>
      </c>
      <c r="D167" s="46">
        <f>IF(_calc!$E$169="","",IF(_calc!$E$169&lt;=500,IF(ISNUMBER(INDEX('Our policies'!$I$4:$I$503,_calc!$E$169)),TEXT(INDEX('Our policies'!$I$4:$I$503,_calc!$E$169),"yyyy-mm-dd"),""),""))</f>
        <v/>
      </c>
      <c r="E167" s="46">
        <f>IF(_calc!$E$169="","",IF(_calc!$E$169&lt;=500,IF(LEN(INDEX('Our policies'!$Q$4:$Q$503,_calc!$E$169))=0,"",INDEX('Our policies'!$Q$4:$Q$503,_calc!$E$169)),"Medium"))</f>
        <v/>
      </c>
      <c r="F167" s="46">
        <f>IF(_calc!$E$169="","",IF(_calc!$E$169&lt;=500,TRIM(IF(LEN(IF(LEN(INDEX('Our policies'!$B$4:$B$503,_calc!$E$169))=0,"",INDEX('Our policies'!$B$4:$B$503,_calc!$E$169)))=0,"","Cover: "&amp;IF(LEN(INDEX('Our policies'!$B$4:$B$503,_calc!$E$169))=0,"",INDEX('Our policies'!$B$4:$B$503,_calc!$E$169))&amp;". ")&amp;IF(LEN(IF(LEN(INDEX('Our policies'!$C$4:$C$503,_calc!$E$169))=0,"",INDEX('Our policies'!$C$4:$C$503,_calc!$E$169)))=0,"","Insurer: "&amp;IF(LEN(INDEX('Our policies'!$C$4:$C$503,_calc!$E$169))=0,"",INDEX('Our policies'!$C$4:$C$503,_calc!$E$169))&amp;". ")&amp;IF(LEN(IF(LEN(INDEX('Our policies'!$D$4:$D$503,_calc!$E$169))=0,"",INDEX('Our policies'!$D$4:$D$503,_calc!$E$169)))=0,"","Broker: "&amp;IF(LEN(INDEX('Our policies'!$D$4:$D$503,_calc!$E$169))=0,"",INDEX('Our policies'!$D$4:$D$503,_calc!$E$169))&amp;". ")&amp;IF(LEN(IF(LEN(INDEX('Our policies'!$E$4:$E$503,_calc!$E$169))=0,"",INDEX('Our policies'!$E$4:$E$503,_calc!$E$169)))=0,"","Policy no.: "&amp;IF(LEN(INDEX('Our policies'!$E$4:$E$503,_calc!$E$169))=0,"",INDEX('Our policies'!$E$4:$E$503,_calc!$E$169))&amp;". ")&amp;IF(LEN(IF(LEN(INDEX('Our policies'!$S$4:$S$503,_calc!$E$169))=0,"",INDEX('Our policies'!$S$4:$S$503,_calc!$E$169)))=0,"",IF(LEN(INDEX('Our policies'!$S$4:$S$503,_calc!$E$169))=0,"",INDEX('Our policies'!$S$4:$S$503,_calc!$E$169)))),TRIM(IF(LEN(IF(LEN(INDEX('Vendor COIs'!$C$4:$C$503,(_calc!$E$169-500)))=0,"",INDEX('Vendor COIs'!$C$4:$C$503,(_calc!$E$169-500))))=0,"","Insurer: "&amp;IF(LEN(INDEX('Vendor COIs'!$C$4:$C$503,(_calc!$E$169-500)))=0,"",INDEX('Vendor COIs'!$C$4:$C$503,(_calc!$E$169-500)))&amp;". ")&amp;IF(LEN(IF(LEN(INDEX('Vendor COIs'!$D$4:$D$503,(_calc!$E$169-500)))=0,"",INDEX('Vendor COIs'!$D$4:$D$503,(_calc!$E$169-500))))=0,"","Policy no.: "&amp;IF(LEN(INDEX('Vendor COIs'!$D$4:$D$503,(_calc!$E$169-500)))=0,"",INDEX('Vendor COIs'!$D$4:$D$503,(_calc!$E$169-500)))&amp;". ")&amp;IF(LEN(IF(LEN(INDEX('Vendor COIs'!$F$4:$F$503,(_calc!$E$169-500)))=0,"",INDEX('Vendor COIs'!$F$4:$F$503,(_calc!$E$169-500))))=0,"","Meets minimum: "&amp;IF(LEN(INDEX('Vendor COIs'!$F$4:$F$503,(_calc!$E$169-500)))=0,"",INDEX('Vendor COIs'!$F$4:$F$503,(_calc!$E$169-500)))&amp;". ")&amp;IF(LEN(IF(LEN(INDEX('Vendor COIs'!$G$4:$G$503,(_calc!$E$169-500)))=0,"",INDEX('Vendor COIs'!$G$4:$G$503,(_calc!$E$169-500))))=0,"","Additional insured: "&amp;IF(LEN(INDEX('Vendor COIs'!$G$4:$G$503,(_calc!$E$169-500)))=0,"",INDEX('Vendor COIs'!$G$4:$G$503,(_calc!$E$169-500)))&amp;". ")&amp;IF(LEN(IF(LEN(INDEX('Vendor COIs'!$M$4:$M$503,(_calc!$E$169-500)))=0,"",INDEX('Vendor COIs'!$M$4:$M$503,(_calc!$E$169-500))))=0,"","Vendor contact: "&amp;IF(LEN(INDEX('Vendor COIs'!$M$4:$M$503,(_calc!$E$169-500)))=0,"",INDEX('Vendor COIs'!$M$4:$M$503,(_calc!$E$169-500)))&amp;". ")&amp;IF(LEN(IF(LEN(INDEX('Vendor COIs'!$P$4:$P$503,(_calc!$E$169-500)))=0,"",INDEX('Vendor COIs'!$P$4:$P$503,(_calc!$E$169-500))))=0,"",IF(LEN(INDEX('Vendor COIs'!$P$4:$P$503,(_calc!$E$169-500)))=0,"",INDEX('Vendor COIs'!$P$4:$P$503,(_calc!$E$169-500)))))))</f>
        <v/>
      </c>
      <c r="G167" s="46">
        <f>IF(_calc!$E$169="","",IF(_calc!$E$169&lt;=500,IF(LEN(INDEX('Our policies'!$R$4:$R$503,_calc!$E$169))=0,"",INDEX('Our policies'!$R$4:$R$503,_calc!$E$169)),IF(LEN(INDEX('Vendor COIs'!$O$4:$O$503,(_calc!$E$169-500)))=0,"",INDEX('Vendor COIs'!$O$4:$O$503,(_calc!$E$169-500)))))</f>
        <v/>
      </c>
      <c r="H167" s="46">
        <f>IF(_calc!$E$169="","",IF(_calc!$E$169&lt;=500,IF(LEN(INDEX('Our policies'!$G$4:$G$503,_calc!$E$169))=0,"",INDEX('Our policies'!$G$4:$G$503,_calc!$E$169)),""))</f>
        <v/>
      </c>
      <c r="I167" s="46">
        <f>IF(_calc!$E$169="","",IF(_calc!$E$169&lt;=500,IF(LEN(INDEX('Our policies'!$H$4:$H$503,_calc!$E$169))=0,"",INDEX('Our policies'!$H$4:$H$503,_calc!$E$169)),""))</f>
        <v/>
      </c>
      <c r="K167" s="46">
        <f>IF(_calc!$E$169="","",IF(_calc!$E$169&lt;=500,IF(LEN(INDEX('Our policies'!$P$4:$P$503,_calc!$E$169))=0,"",INDEX('Our policies'!$P$4:$P$503,_calc!$E$169)),IF(LEN(INDEX('Vendor COIs'!$N$4:$N$503,(_calc!$E$169-500)))=0,"",INDEX('Vendor COIs'!$N$4:$N$503,(_calc!$E$169-500)))))</f>
        <v/>
      </c>
    </row>
    <row r="168">
      <c r="A168" s="46">
        <f>IF(_calc!$E$170="","",IF(_calc!$E$170&lt;=500,IF(LEN(INDEX('Our policies'!$A$4:$A$503,_calc!$E$170))=0,"",INDEX('Our policies'!$A$4:$A$503,_calc!$E$170)),"COI – "&amp;IF(LEN(INDEX('Vendor COIs'!$A$4:$A$503,(_calc!$E$170-500)))=0,"",INDEX('Vendor COIs'!$A$4:$A$503,(_calc!$E$170-500)))&amp;" – "&amp;IF(LEN(INDEX('Vendor COIs'!$B$4:$B$503,(_calc!$E$170-500)))=0,"",INDEX('Vendor COIs'!$B$4:$B$503,(_calc!$E$170-500)))))</f>
        <v/>
      </c>
      <c r="B168" s="46">
        <f>IF(_calc!$E$170="","",IF(_calc!$E$170&lt;=500,IF(ISNUMBER(INDEX('Our policies'!$J$4:$J$503,_calc!$E$170)),TEXT(INDEX('Our policies'!$J$4:$J$503,_calc!$E$170),"yyyy-mm-dd"),""),IF(ISNUMBER(INDEX('Vendor COIs'!$H$4:$H$503,(_calc!$E$170-500))),TEXT(INDEX('Vendor COIs'!$H$4:$H$503,(_calc!$E$170-500)),"yyyy-mm-dd"),"")))</f>
        <v/>
      </c>
      <c r="C168" s="46">
        <f>IF(_calc!$E$170="","",IF(_calc!$E$170&lt;=500,"Insurance","Certificate of insurance"))</f>
        <v/>
      </c>
      <c r="D168" s="46">
        <f>IF(_calc!$E$170="","",IF(_calc!$E$170&lt;=500,IF(ISNUMBER(INDEX('Our policies'!$I$4:$I$503,_calc!$E$170)),TEXT(INDEX('Our policies'!$I$4:$I$503,_calc!$E$170),"yyyy-mm-dd"),""),""))</f>
        <v/>
      </c>
      <c r="E168" s="46">
        <f>IF(_calc!$E$170="","",IF(_calc!$E$170&lt;=500,IF(LEN(INDEX('Our policies'!$Q$4:$Q$503,_calc!$E$170))=0,"",INDEX('Our policies'!$Q$4:$Q$503,_calc!$E$170)),"Medium"))</f>
        <v/>
      </c>
      <c r="F168" s="46">
        <f>IF(_calc!$E$170="","",IF(_calc!$E$170&lt;=500,TRIM(IF(LEN(IF(LEN(INDEX('Our policies'!$B$4:$B$503,_calc!$E$170))=0,"",INDEX('Our policies'!$B$4:$B$503,_calc!$E$170)))=0,"","Cover: "&amp;IF(LEN(INDEX('Our policies'!$B$4:$B$503,_calc!$E$170))=0,"",INDEX('Our policies'!$B$4:$B$503,_calc!$E$170))&amp;". ")&amp;IF(LEN(IF(LEN(INDEX('Our policies'!$C$4:$C$503,_calc!$E$170))=0,"",INDEX('Our policies'!$C$4:$C$503,_calc!$E$170)))=0,"","Insurer: "&amp;IF(LEN(INDEX('Our policies'!$C$4:$C$503,_calc!$E$170))=0,"",INDEX('Our policies'!$C$4:$C$503,_calc!$E$170))&amp;". ")&amp;IF(LEN(IF(LEN(INDEX('Our policies'!$D$4:$D$503,_calc!$E$170))=0,"",INDEX('Our policies'!$D$4:$D$503,_calc!$E$170)))=0,"","Broker: "&amp;IF(LEN(INDEX('Our policies'!$D$4:$D$503,_calc!$E$170))=0,"",INDEX('Our policies'!$D$4:$D$503,_calc!$E$170))&amp;". ")&amp;IF(LEN(IF(LEN(INDEX('Our policies'!$E$4:$E$503,_calc!$E$170))=0,"",INDEX('Our policies'!$E$4:$E$503,_calc!$E$170)))=0,"","Policy no.: "&amp;IF(LEN(INDEX('Our policies'!$E$4:$E$503,_calc!$E$170))=0,"",INDEX('Our policies'!$E$4:$E$503,_calc!$E$170))&amp;". ")&amp;IF(LEN(IF(LEN(INDEX('Our policies'!$S$4:$S$503,_calc!$E$170))=0,"",INDEX('Our policies'!$S$4:$S$503,_calc!$E$170)))=0,"",IF(LEN(INDEX('Our policies'!$S$4:$S$503,_calc!$E$170))=0,"",INDEX('Our policies'!$S$4:$S$503,_calc!$E$170)))),TRIM(IF(LEN(IF(LEN(INDEX('Vendor COIs'!$C$4:$C$503,(_calc!$E$170-500)))=0,"",INDEX('Vendor COIs'!$C$4:$C$503,(_calc!$E$170-500))))=0,"","Insurer: "&amp;IF(LEN(INDEX('Vendor COIs'!$C$4:$C$503,(_calc!$E$170-500)))=0,"",INDEX('Vendor COIs'!$C$4:$C$503,(_calc!$E$170-500)))&amp;". ")&amp;IF(LEN(IF(LEN(INDEX('Vendor COIs'!$D$4:$D$503,(_calc!$E$170-500)))=0,"",INDEX('Vendor COIs'!$D$4:$D$503,(_calc!$E$170-500))))=0,"","Policy no.: "&amp;IF(LEN(INDEX('Vendor COIs'!$D$4:$D$503,(_calc!$E$170-500)))=0,"",INDEX('Vendor COIs'!$D$4:$D$503,(_calc!$E$170-500)))&amp;". ")&amp;IF(LEN(IF(LEN(INDEX('Vendor COIs'!$F$4:$F$503,(_calc!$E$170-500)))=0,"",INDEX('Vendor COIs'!$F$4:$F$503,(_calc!$E$170-500))))=0,"","Meets minimum: "&amp;IF(LEN(INDEX('Vendor COIs'!$F$4:$F$503,(_calc!$E$170-500)))=0,"",INDEX('Vendor COIs'!$F$4:$F$503,(_calc!$E$170-500)))&amp;". ")&amp;IF(LEN(IF(LEN(INDEX('Vendor COIs'!$G$4:$G$503,(_calc!$E$170-500)))=0,"",INDEX('Vendor COIs'!$G$4:$G$503,(_calc!$E$170-500))))=0,"","Additional insured: "&amp;IF(LEN(INDEX('Vendor COIs'!$G$4:$G$503,(_calc!$E$170-500)))=0,"",INDEX('Vendor COIs'!$G$4:$G$503,(_calc!$E$170-500)))&amp;". ")&amp;IF(LEN(IF(LEN(INDEX('Vendor COIs'!$M$4:$M$503,(_calc!$E$170-500)))=0,"",INDEX('Vendor COIs'!$M$4:$M$503,(_calc!$E$170-500))))=0,"","Vendor contact: "&amp;IF(LEN(INDEX('Vendor COIs'!$M$4:$M$503,(_calc!$E$170-500)))=0,"",INDEX('Vendor COIs'!$M$4:$M$503,(_calc!$E$170-500)))&amp;". ")&amp;IF(LEN(IF(LEN(INDEX('Vendor COIs'!$P$4:$P$503,(_calc!$E$170-500)))=0,"",INDEX('Vendor COIs'!$P$4:$P$503,(_calc!$E$170-500))))=0,"",IF(LEN(INDEX('Vendor COIs'!$P$4:$P$503,(_calc!$E$170-500)))=0,"",INDEX('Vendor COIs'!$P$4:$P$503,(_calc!$E$170-500)))))))</f>
        <v/>
      </c>
      <c r="G168" s="46">
        <f>IF(_calc!$E$170="","",IF(_calc!$E$170&lt;=500,IF(LEN(INDEX('Our policies'!$R$4:$R$503,_calc!$E$170))=0,"",INDEX('Our policies'!$R$4:$R$503,_calc!$E$170)),IF(LEN(INDEX('Vendor COIs'!$O$4:$O$503,(_calc!$E$170-500)))=0,"",INDEX('Vendor COIs'!$O$4:$O$503,(_calc!$E$170-500)))))</f>
        <v/>
      </c>
      <c r="H168" s="46">
        <f>IF(_calc!$E$170="","",IF(_calc!$E$170&lt;=500,IF(LEN(INDEX('Our policies'!$G$4:$G$503,_calc!$E$170))=0,"",INDEX('Our policies'!$G$4:$G$503,_calc!$E$170)),""))</f>
        <v/>
      </c>
      <c r="I168" s="46">
        <f>IF(_calc!$E$170="","",IF(_calc!$E$170&lt;=500,IF(LEN(INDEX('Our policies'!$H$4:$H$503,_calc!$E$170))=0,"",INDEX('Our policies'!$H$4:$H$503,_calc!$E$170)),""))</f>
        <v/>
      </c>
      <c r="K168" s="46">
        <f>IF(_calc!$E$170="","",IF(_calc!$E$170&lt;=500,IF(LEN(INDEX('Our policies'!$P$4:$P$503,_calc!$E$170))=0,"",INDEX('Our policies'!$P$4:$P$503,_calc!$E$170)),IF(LEN(INDEX('Vendor COIs'!$N$4:$N$503,(_calc!$E$170-500)))=0,"",INDEX('Vendor COIs'!$N$4:$N$503,(_calc!$E$170-500)))))</f>
        <v/>
      </c>
    </row>
    <row r="169">
      <c r="A169" s="46">
        <f>IF(_calc!$E$171="","",IF(_calc!$E$171&lt;=500,IF(LEN(INDEX('Our policies'!$A$4:$A$503,_calc!$E$171))=0,"",INDEX('Our policies'!$A$4:$A$503,_calc!$E$171)),"COI – "&amp;IF(LEN(INDEX('Vendor COIs'!$A$4:$A$503,(_calc!$E$171-500)))=0,"",INDEX('Vendor COIs'!$A$4:$A$503,(_calc!$E$171-500)))&amp;" – "&amp;IF(LEN(INDEX('Vendor COIs'!$B$4:$B$503,(_calc!$E$171-500)))=0,"",INDEX('Vendor COIs'!$B$4:$B$503,(_calc!$E$171-500)))))</f>
        <v/>
      </c>
      <c r="B169" s="46">
        <f>IF(_calc!$E$171="","",IF(_calc!$E$171&lt;=500,IF(ISNUMBER(INDEX('Our policies'!$J$4:$J$503,_calc!$E$171)),TEXT(INDEX('Our policies'!$J$4:$J$503,_calc!$E$171),"yyyy-mm-dd"),""),IF(ISNUMBER(INDEX('Vendor COIs'!$H$4:$H$503,(_calc!$E$171-500))),TEXT(INDEX('Vendor COIs'!$H$4:$H$503,(_calc!$E$171-500)),"yyyy-mm-dd"),"")))</f>
        <v/>
      </c>
      <c r="C169" s="46">
        <f>IF(_calc!$E$171="","",IF(_calc!$E$171&lt;=500,"Insurance","Certificate of insurance"))</f>
        <v/>
      </c>
      <c r="D169" s="46">
        <f>IF(_calc!$E$171="","",IF(_calc!$E$171&lt;=500,IF(ISNUMBER(INDEX('Our policies'!$I$4:$I$503,_calc!$E$171)),TEXT(INDEX('Our policies'!$I$4:$I$503,_calc!$E$171),"yyyy-mm-dd"),""),""))</f>
        <v/>
      </c>
      <c r="E169" s="46">
        <f>IF(_calc!$E$171="","",IF(_calc!$E$171&lt;=500,IF(LEN(INDEX('Our policies'!$Q$4:$Q$503,_calc!$E$171))=0,"",INDEX('Our policies'!$Q$4:$Q$503,_calc!$E$171)),"Medium"))</f>
        <v/>
      </c>
      <c r="F169" s="46">
        <f>IF(_calc!$E$171="","",IF(_calc!$E$171&lt;=500,TRIM(IF(LEN(IF(LEN(INDEX('Our policies'!$B$4:$B$503,_calc!$E$171))=0,"",INDEX('Our policies'!$B$4:$B$503,_calc!$E$171)))=0,"","Cover: "&amp;IF(LEN(INDEX('Our policies'!$B$4:$B$503,_calc!$E$171))=0,"",INDEX('Our policies'!$B$4:$B$503,_calc!$E$171))&amp;". ")&amp;IF(LEN(IF(LEN(INDEX('Our policies'!$C$4:$C$503,_calc!$E$171))=0,"",INDEX('Our policies'!$C$4:$C$503,_calc!$E$171)))=0,"","Insurer: "&amp;IF(LEN(INDEX('Our policies'!$C$4:$C$503,_calc!$E$171))=0,"",INDEX('Our policies'!$C$4:$C$503,_calc!$E$171))&amp;". ")&amp;IF(LEN(IF(LEN(INDEX('Our policies'!$D$4:$D$503,_calc!$E$171))=0,"",INDEX('Our policies'!$D$4:$D$503,_calc!$E$171)))=0,"","Broker: "&amp;IF(LEN(INDEX('Our policies'!$D$4:$D$503,_calc!$E$171))=0,"",INDEX('Our policies'!$D$4:$D$503,_calc!$E$171))&amp;". ")&amp;IF(LEN(IF(LEN(INDEX('Our policies'!$E$4:$E$503,_calc!$E$171))=0,"",INDEX('Our policies'!$E$4:$E$503,_calc!$E$171)))=0,"","Policy no.: "&amp;IF(LEN(INDEX('Our policies'!$E$4:$E$503,_calc!$E$171))=0,"",INDEX('Our policies'!$E$4:$E$503,_calc!$E$171))&amp;". ")&amp;IF(LEN(IF(LEN(INDEX('Our policies'!$S$4:$S$503,_calc!$E$171))=0,"",INDEX('Our policies'!$S$4:$S$503,_calc!$E$171)))=0,"",IF(LEN(INDEX('Our policies'!$S$4:$S$503,_calc!$E$171))=0,"",INDEX('Our policies'!$S$4:$S$503,_calc!$E$171)))),TRIM(IF(LEN(IF(LEN(INDEX('Vendor COIs'!$C$4:$C$503,(_calc!$E$171-500)))=0,"",INDEX('Vendor COIs'!$C$4:$C$503,(_calc!$E$171-500))))=0,"","Insurer: "&amp;IF(LEN(INDEX('Vendor COIs'!$C$4:$C$503,(_calc!$E$171-500)))=0,"",INDEX('Vendor COIs'!$C$4:$C$503,(_calc!$E$171-500)))&amp;". ")&amp;IF(LEN(IF(LEN(INDEX('Vendor COIs'!$D$4:$D$503,(_calc!$E$171-500)))=0,"",INDEX('Vendor COIs'!$D$4:$D$503,(_calc!$E$171-500))))=0,"","Policy no.: "&amp;IF(LEN(INDEX('Vendor COIs'!$D$4:$D$503,(_calc!$E$171-500)))=0,"",INDEX('Vendor COIs'!$D$4:$D$503,(_calc!$E$171-500)))&amp;". ")&amp;IF(LEN(IF(LEN(INDEX('Vendor COIs'!$F$4:$F$503,(_calc!$E$171-500)))=0,"",INDEX('Vendor COIs'!$F$4:$F$503,(_calc!$E$171-500))))=0,"","Meets minimum: "&amp;IF(LEN(INDEX('Vendor COIs'!$F$4:$F$503,(_calc!$E$171-500)))=0,"",INDEX('Vendor COIs'!$F$4:$F$503,(_calc!$E$171-500)))&amp;". ")&amp;IF(LEN(IF(LEN(INDEX('Vendor COIs'!$G$4:$G$503,(_calc!$E$171-500)))=0,"",INDEX('Vendor COIs'!$G$4:$G$503,(_calc!$E$171-500))))=0,"","Additional insured: "&amp;IF(LEN(INDEX('Vendor COIs'!$G$4:$G$503,(_calc!$E$171-500)))=0,"",INDEX('Vendor COIs'!$G$4:$G$503,(_calc!$E$171-500)))&amp;". ")&amp;IF(LEN(IF(LEN(INDEX('Vendor COIs'!$M$4:$M$503,(_calc!$E$171-500)))=0,"",INDEX('Vendor COIs'!$M$4:$M$503,(_calc!$E$171-500))))=0,"","Vendor contact: "&amp;IF(LEN(INDEX('Vendor COIs'!$M$4:$M$503,(_calc!$E$171-500)))=0,"",INDEX('Vendor COIs'!$M$4:$M$503,(_calc!$E$171-500)))&amp;". ")&amp;IF(LEN(IF(LEN(INDEX('Vendor COIs'!$P$4:$P$503,(_calc!$E$171-500)))=0,"",INDEX('Vendor COIs'!$P$4:$P$503,(_calc!$E$171-500))))=0,"",IF(LEN(INDEX('Vendor COIs'!$P$4:$P$503,(_calc!$E$171-500)))=0,"",INDEX('Vendor COIs'!$P$4:$P$503,(_calc!$E$171-500)))))))</f>
        <v/>
      </c>
      <c r="G169" s="46">
        <f>IF(_calc!$E$171="","",IF(_calc!$E$171&lt;=500,IF(LEN(INDEX('Our policies'!$R$4:$R$503,_calc!$E$171))=0,"",INDEX('Our policies'!$R$4:$R$503,_calc!$E$171)),IF(LEN(INDEX('Vendor COIs'!$O$4:$O$503,(_calc!$E$171-500)))=0,"",INDEX('Vendor COIs'!$O$4:$O$503,(_calc!$E$171-500)))))</f>
        <v/>
      </c>
      <c r="H169" s="46">
        <f>IF(_calc!$E$171="","",IF(_calc!$E$171&lt;=500,IF(LEN(INDEX('Our policies'!$G$4:$G$503,_calc!$E$171))=0,"",INDEX('Our policies'!$G$4:$G$503,_calc!$E$171)),""))</f>
        <v/>
      </c>
      <c r="I169" s="46">
        <f>IF(_calc!$E$171="","",IF(_calc!$E$171&lt;=500,IF(LEN(INDEX('Our policies'!$H$4:$H$503,_calc!$E$171))=0,"",INDEX('Our policies'!$H$4:$H$503,_calc!$E$171)),""))</f>
        <v/>
      </c>
      <c r="K169" s="46">
        <f>IF(_calc!$E$171="","",IF(_calc!$E$171&lt;=500,IF(LEN(INDEX('Our policies'!$P$4:$P$503,_calc!$E$171))=0,"",INDEX('Our policies'!$P$4:$P$503,_calc!$E$171)),IF(LEN(INDEX('Vendor COIs'!$N$4:$N$503,(_calc!$E$171-500)))=0,"",INDEX('Vendor COIs'!$N$4:$N$503,(_calc!$E$171-500)))))</f>
        <v/>
      </c>
    </row>
    <row r="170">
      <c r="A170" s="46">
        <f>IF(_calc!$E$172="","",IF(_calc!$E$172&lt;=500,IF(LEN(INDEX('Our policies'!$A$4:$A$503,_calc!$E$172))=0,"",INDEX('Our policies'!$A$4:$A$503,_calc!$E$172)),"COI – "&amp;IF(LEN(INDEX('Vendor COIs'!$A$4:$A$503,(_calc!$E$172-500)))=0,"",INDEX('Vendor COIs'!$A$4:$A$503,(_calc!$E$172-500)))&amp;" – "&amp;IF(LEN(INDEX('Vendor COIs'!$B$4:$B$503,(_calc!$E$172-500)))=0,"",INDEX('Vendor COIs'!$B$4:$B$503,(_calc!$E$172-500)))))</f>
        <v/>
      </c>
      <c r="B170" s="46">
        <f>IF(_calc!$E$172="","",IF(_calc!$E$172&lt;=500,IF(ISNUMBER(INDEX('Our policies'!$J$4:$J$503,_calc!$E$172)),TEXT(INDEX('Our policies'!$J$4:$J$503,_calc!$E$172),"yyyy-mm-dd"),""),IF(ISNUMBER(INDEX('Vendor COIs'!$H$4:$H$503,(_calc!$E$172-500))),TEXT(INDEX('Vendor COIs'!$H$4:$H$503,(_calc!$E$172-500)),"yyyy-mm-dd"),"")))</f>
        <v/>
      </c>
      <c r="C170" s="46">
        <f>IF(_calc!$E$172="","",IF(_calc!$E$172&lt;=500,"Insurance","Certificate of insurance"))</f>
        <v/>
      </c>
      <c r="D170" s="46">
        <f>IF(_calc!$E$172="","",IF(_calc!$E$172&lt;=500,IF(ISNUMBER(INDEX('Our policies'!$I$4:$I$503,_calc!$E$172)),TEXT(INDEX('Our policies'!$I$4:$I$503,_calc!$E$172),"yyyy-mm-dd"),""),""))</f>
        <v/>
      </c>
      <c r="E170" s="46">
        <f>IF(_calc!$E$172="","",IF(_calc!$E$172&lt;=500,IF(LEN(INDEX('Our policies'!$Q$4:$Q$503,_calc!$E$172))=0,"",INDEX('Our policies'!$Q$4:$Q$503,_calc!$E$172)),"Medium"))</f>
        <v/>
      </c>
      <c r="F170" s="46">
        <f>IF(_calc!$E$172="","",IF(_calc!$E$172&lt;=500,TRIM(IF(LEN(IF(LEN(INDEX('Our policies'!$B$4:$B$503,_calc!$E$172))=0,"",INDEX('Our policies'!$B$4:$B$503,_calc!$E$172)))=0,"","Cover: "&amp;IF(LEN(INDEX('Our policies'!$B$4:$B$503,_calc!$E$172))=0,"",INDEX('Our policies'!$B$4:$B$503,_calc!$E$172))&amp;". ")&amp;IF(LEN(IF(LEN(INDEX('Our policies'!$C$4:$C$503,_calc!$E$172))=0,"",INDEX('Our policies'!$C$4:$C$503,_calc!$E$172)))=0,"","Insurer: "&amp;IF(LEN(INDEX('Our policies'!$C$4:$C$503,_calc!$E$172))=0,"",INDEX('Our policies'!$C$4:$C$503,_calc!$E$172))&amp;". ")&amp;IF(LEN(IF(LEN(INDEX('Our policies'!$D$4:$D$503,_calc!$E$172))=0,"",INDEX('Our policies'!$D$4:$D$503,_calc!$E$172)))=0,"","Broker: "&amp;IF(LEN(INDEX('Our policies'!$D$4:$D$503,_calc!$E$172))=0,"",INDEX('Our policies'!$D$4:$D$503,_calc!$E$172))&amp;". ")&amp;IF(LEN(IF(LEN(INDEX('Our policies'!$E$4:$E$503,_calc!$E$172))=0,"",INDEX('Our policies'!$E$4:$E$503,_calc!$E$172)))=0,"","Policy no.: "&amp;IF(LEN(INDEX('Our policies'!$E$4:$E$503,_calc!$E$172))=0,"",INDEX('Our policies'!$E$4:$E$503,_calc!$E$172))&amp;". ")&amp;IF(LEN(IF(LEN(INDEX('Our policies'!$S$4:$S$503,_calc!$E$172))=0,"",INDEX('Our policies'!$S$4:$S$503,_calc!$E$172)))=0,"",IF(LEN(INDEX('Our policies'!$S$4:$S$503,_calc!$E$172))=0,"",INDEX('Our policies'!$S$4:$S$503,_calc!$E$172)))),TRIM(IF(LEN(IF(LEN(INDEX('Vendor COIs'!$C$4:$C$503,(_calc!$E$172-500)))=0,"",INDEX('Vendor COIs'!$C$4:$C$503,(_calc!$E$172-500))))=0,"","Insurer: "&amp;IF(LEN(INDEX('Vendor COIs'!$C$4:$C$503,(_calc!$E$172-500)))=0,"",INDEX('Vendor COIs'!$C$4:$C$503,(_calc!$E$172-500)))&amp;". ")&amp;IF(LEN(IF(LEN(INDEX('Vendor COIs'!$D$4:$D$503,(_calc!$E$172-500)))=0,"",INDEX('Vendor COIs'!$D$4:$D$503,(_calc!$E$172-500))))=0,"","Policy no.: "&amp;IF(LEN(INDEX('Vendor COIs'!$D$4:$D$503,(_calc!$E$172-500)))=0,"",INDEX('Vendor COIs'!$D$4:$D$503,(_calc!$E$172-500)))&amp;". ")&amp;IF(LEN(IF(LEN(INDEX('Vendor COIs'!$F$4:$F$503,(_calc!$E$172-500)))=0,"",INDEX('Vendor COIs'!$F$4:$F$503,(_calc!$E$172-500))))=0,"","Meets minimum: "&amp;IF(LEN(INDEX('Vendor COIs'!$F$4:$F$503,(_calc!$E$172-500)))=0,"",INDEX('Vendor COIs'!$F$4:$F$503,(_calc!$E$172-500)))&amp;". ")&amp;IF(LEN(IF(LEN(INDEX('Vendor COIs'!$G$4:$G$503,(_calc!$E$172-500)))=0,"",INDEX('Vendor COIs'!$G$4:$G$503,(_calc!$E$172-500))))=0,"","Additional insured: "&amp;IF(LEN(INDEX('Vendor COIs'!$G$4:$G$503,(_calc!$E$172-500)))=0,"",INDEX('Vendor COIs'!$G$4:$G$503,(_calc!$E$172-500)))&amp;". ")&amp;IF(LEN(IF(LEN(INDEX('Vendor COIs'!$M$4:$M$503,(_calc!$E$172-500)))=0,"",INDEX('Vendor COIs'!$M$4:$M$503,(_calc!$E$172-500))))=0,"","Vendor contact: "&amp;IF(LEN(INDEX('Vendor COIs'!$M$4:$M$503,(_calc!$E$172-500)))=0,"",INDEX('Vendor COIs'!$M$4:$M$503,(_calc!$E$172-500)))&amp;". ")&amp;IF(LEN(IF(LEN(INDEX('Vendor COIs'!$P$4:$P$503,(_calc!$E$172-500)))=0,"",INDEX('Vendor COIs'!$P$4:$P$503,(_calc!$E$172-500))))=0,"",IF(LEN(INDEX('Vendor COIs'!$P$4:$P$503,(_calc!$E$172-500)))=0,"",INDEX('Vendor COIs'!$P$4:$P$503,(_calc!$E$172-500)))))))</f>
        <v/>
      </c>
      <c r="G170" s="46">
        <f>IF(_calc!$E$172="","",IF(_calc!$E$172&lt;=500,IF(LEN(INDEX('Our policies'!$R$4:$R$503,_calc!$E$172))=0,"",INDEX('Our policies'!$R$4:$R$503,_calc!$E$172)),IF(LEN(INDEX('Vendor COIs'!$O$4:$O$503,(_calc!$E$172-500)))=0,"",INDEX('Vendor COIs'!$O$4:$O$503,(_calc!$E$172-500)))))</f>
        <v/>
      </c>
      <c r="H170" s="46">
        <f>IF(_calc!$E$172="","",IF(_calc!$E$172&lt;=500,IF(LEN(INDEX('Our policies'!$G$4:$G$503,_calc!$E$172))=0,"",INDEX('Our policies'!$G$4:$G$503,_calc!$E$172)),""))</f>
        <v/>
      </c>
      <c r="I170" s="46">
        <f>IF(_calc!$E$172="","",IF(_calc!$E$172&lt;=500,IF(LEN(INDEX('Our policies'!$H$4:$H$503,_calc!$E$172))=0,"",INDEX('Our policies'!$H$4:$H$503,_calc!$E$172)),""))</f>
        <v/>
      </c>
      <c r="K170" s="46">
        <f>IF(_calc!$E$172="","",IF(_calc!$E$172&lt;=500,IF(LEN(INDEX('Our policies'!$P$4:$P$503,_calc!$E$172))=0,"",INDEX('Our policies'!$P$4:$P$503,_calc!$E$172)),IF(LEN(INDEX('Vendor COIs'!$N$4:$N$503,(_calc!$E$172-500)))=0,"",INDEX('Vendor COIs'!$N$4:$N$503,(_calc!$E$172-500)))))</f>
        <v/>
      </c>
    </row>
    <row r="171">
      <c r="A171" s="46">
        <f>IF(_calc!$E$173="","",IF(_calc!$E$173&lt;=500,IF(LEN(INDEX('Our policies'!$A$4:$A$503,_calc!$E$173))=0,"",INDEX('Our policies'!$A$4:$A$503,_calc!$E$173)),"COI – "&amp;IF(LEN(INDEX('Vendor COIs'!$A$4:$A$503,(_calc!$E$173-500)))=0,"",INDEX('Vendor COIs'!$A$4:$A$503,(_calc!$E$173-500)))&amp;" – "&amp;IF(LEN(INDEX('Vendor COIs'!$B$4:$B$503,(_calc!$E$173-500)))=0,"",INDEX('Vendor COIs'!$B$4:$B$503,(_calc!$E$173-500)))))</f>
        <v/>
      </c>
      <c r="B171" s="46">
        <f>IF(_calc!$E$173="","",IF(_calc!$E$173&lt;=500,IF(ISNUMBER(INDEX('Our policies'!$J$4:$J$503,_calc!$E$173)),TEXT(INDEX('Our policies'!$J$4:$J$503,_calc!$E$173),"yyyy-mm-dd"),""),IF(ISNUMBER(INDEX('Vendor COIs'!$H$4:$H$503,(_calc!$E$173-500))),TEXT(INDEX('Vendor COIs'!$H$4:$H$503,(_calc!$E$173-500)),"yyyy-mm-dd"),"")))</f>
        <v/>
      </c>
      <c r="C171" s="46">
        <f>IF(_calc!$E$173="","",IF(_calc!$E$173&lt;=500,"Insurance","Certificate of insurance"))</f>
        <v/>
      </c>
      <c r="D171" s="46">
        <f>IF(_calc!$E$173="","",IF(_calc!$E$173&lt;=500,IF(ISNUMBER(INDEX('Our policies'!$I$4:$I$503,_calc!$E$173)),TEXT(INDEX('Our policies'!$I$4:$I$503,_calc!$E$173),"yyyy-mm-dd"),""),""))</f>
        <v/>
      </c>
      <c r="E171" s="46">
        <f>IF(_calc!$E$173="","",IF(_calc!$E$173&lt;=500,IF(LEN(INDEX('Our policies'!$Q$4:$Q$503,_calc!$E$173))=0,"",INDEX('Our policies'!$Q$4:$Q$503,_calc!$E$173)),"Medium"))</f>
        <v/>
      </c>
      <c r="F171" s="46">
        <f>IF(_calc!$E$173="","",IF(_calc!$E$173&lt;=500,TRIM(IF(LEN(IF(LEN(INDEX('Our policies'!$B$4:$B$503,_calc!$E$173))=0,"",INDEX('Our policies'!$B$4:$B$503,_calc!$E$173)))=0,"","Cover: "&amp;IF(LEN(INDEX('Our policies'!$B$4:$B$503,_calc!$E$173))=0,"",INDEX('Our policies'!$B$4:$B$503,_calc!$E$173))&amp;". ")&amp;IF(LEN(IF(LEN(INDEX('Our policies'!$C$4:$C$503,_calc!$E$173))=0,"",INDEX('Our policies'!$C$4:$C$503,_calc!$E$173)))=0,"","Insurer: "&amp;IF(LEN(INDEX('Our policies'!$C$4:$C$503,_calc!$E$173))=0,"",INDEX('Our policies'!$C$4:$C$503,_calc!$E$173))&amp;". ")&amp;IF(LEN(IF(LEN(INDEX('Our policies'!$D$4:$D$503,_calc!$E$173))=0,"",INDEX('Our policies'!$D$4:$D$503,_calc!$E$173)))=0,"","Broker: "&amp;IF(LEN(INDEX('Our policies'!$D$4:$D$503,_calc!$E$173))=0,"",INDEX('Our policies'!$D$4:$D$503,_calc!$E$173))&amp;". ")&amp;IF(LEN(IF(LEN(INDEX('Our policies'!$E$4:$E$503,_calc!$E$173))=0,"",INDEX('Our policies'!$E$4:$E$503,_calc!$E$173)))=0,"","Policy no.: "&amp;IF(LEN(INDEX('Our policies'!$E$4:$E$503,_calc!$E$173))=0,"",INDEX('Our policies'!$E$4:$E$503,_calc!$E$173))&amp;". ")&amp;IF(LEN(IF(LEN(INDEX('Our policies'!$S$4:$S$503,_calc!$E$173))=0,"",INDEX('Our policies'!$S$4:$S$503,_calc!$E$173)))=0,"",IF(LEN(INDEX('Our policies'!$S$4:$S$503,_calc!$E$173))=0,"",INDEX('Our policies'!$S$4:$S$503,_calc!$E$173)))),TRIM(IF(LEN(IF(LEN(INDEX('Vendor COIs'!$C$4:$C$503,(_calc!$E$173-500)))=0,"",INDEX('Vendor COIs'!$C$4:$C$503,(_calc!$E$173-500))))=0,"","Insurer: "&amp;IF(LEN(INDEX('Vendor COIs'!$C$4:$C$503,(_calc!$E$173-500)))=0,"",INDEX('Vendor COIs'!$C$4:$C$503,(_calc!$E$173-500)))&amp;". ")&amp;IF(LEN(IF(LEN(INDEX('Vendor COIs'!$D$4:$D$503,(_calc!$E$173-500)))=0,"",INDEX('Vendor COIs'!$D$4:$D$503,(_calc!$E$173-500))))=0,"","Policy no.: "&amp;IF(LEN(INDEX('Vendor COIs'!$D$4:$D$503,(_calc!$E$173-500)))=0,"",INDEX('Vendor COIs'!$D$4:$D$503,(_calc!$E$173-500)))&amp;". ")&amp;IF(LEN(IF(LEN(INDEX('Vendor COIs'!$F$4:$F$503,(_calc!$E$173-500)))=0,"",INDEX('Vendor COIs'!$F$4:$F$503,(_calc!$E$173-500))))=0,"","Meets minimum: "&amp;IF(LEN(INDEX('Vendor COIs'!$F$4:$F$503,(_calc!$E$173-500)))=0,"",INDEX('Vendor COIs'!$F$4:$F$503,(_calc!$E$173-500)))&amp;". ")&amp;IF(LEN(IF(LEN(INDEX('Vendor COIs'!$G$4:$G$503,(_calc!$E$173-500)))=0,"",INDEX('Vendor COIs'!$G$4:$G$503,(_calc!$E$173-500))))=0,"","Additional insured: "&amp;IF(LEN(INDEX('Vendor COIs'!$G$4:$G$503,(_calc!$E$173-500)))=0,"",INDEX('Vendor COIs'!$G$4:$G$503,(_calc!$E$173-500)))&amp;". ")&amp;IF(LEN(IF(LEN(INDEX('Vendor COIs'!$M$4:$M$503,(_calc!$E$173-500)))=0,"",INDEX('Vendor COIs'!$M$4:$M$503,(_calc!$E$173-500))))=0,"","Vendor contact: "&amp;IF(LEN(INDEX('Vendor COIs'!$M$4:$M$503,(_calc!$E$173-500)))=0,"",INDEX('Vendor COIs'!$M$4:$M$503,(_calc!$E$173-500)))&amp;". ")&amp;IF(LEN(IF(LEN(INDEX('Vendor COIs'!$P$4:$P$503,(_calc!$E$173-500)))=0,"",INDEX('Vendor COIs'!$P$4:$P$503,(_calc!$E$173-500))))=0,"",IF(LEN(INDEX('Vendor COIs'!$P$4:$P$503,(_calc!$E$173-500)))=0,"",INDEX('Vendor COIs'!$P$4:$P$503,(_calc!$E$173-500)))))))</f>
        <v/>
      </c>
      <c r="G171" s="46">
        <f>IF(_calc!$E$173="","",IF(_calc!$E$173&lt;=500,IF(LEN(INDEX('Our policies'!$R$4:$R$503,_calc!$E$173))=0,"",INDEX('Our policies'!$R$4:$R$503,_calc!$E$173)),IF(LEN(INDEX('Vendor COIs'!$O$4:$O$503,(_calc!$E$173-500)))=0,"",INDEX('Vendor COIs'!$O$4:$O$503,(_calc!$E$173-500)))))</f>
        <v/>
      </c>
      <c r="H171" s="46">
        <f>IF(_calc!$E$173="","",IF(_calc!$E$173&lt;=500,IF(LEN(INDEX('Our policies'!$G$4:$G$503,_calc!$E$173))=0,"",INDEX('Our policies'!$G$4:$G$503,_calc!$E$173)),""))</f>
        <v/>
      </c>
      <c r="I171" s="46">
        <f>IF(_calc!$E$173="","",IF(_calc!$E$173&lt;=500,IF(LEN(INDEX('Our policies'!$H$4:$H$503,_calc!$E$173))=0,"",INDEX('Our policies'!$H$4:$H$503,_calc!$E$173)),""))</f>
        <v/>
      </c>
      <c r="K171" s="46">
        <f>IF(_calc!$E$173="","",IF(_calc!$E$173&lt;=500,IF(LEN(INDEX('Our policies'!$P$4:$P$503,_calc!$E$173))=0,"",INDEX('Our policies'!$P$4:$P$503,_calc!$E$173)),IF(LEN(INDEX('Vendor COIs'!$N$4:$N$503,(_calc!$E$173-500)))=0,"",INDEX('Vendor COIs'!$N$4:$N$503,(_calc!$E$173-500)))))</f>
        <v/>
      </c>
    </row>
    <row r="172">
      <c r="A172" s="46">
        <f>IF(_calc!$E$174="","",IF(_calc!$E$174&lt;=500,IF(LEN(INDEX('Our policies'!$A$4:$A$503,_calc!$E$174))=0,"",INDEX('Our policies'!$A$4:$A$503,_calc!$E$174)),"COI – "&amp;IF(LEN(INDEX('Vendor COIs'!$A$4:$A$503,(_calc!$E$174-500)))=0,"",INDEX('Vendor COIs'!$A$4:$A$503,(_calc!$E$174-500)))&amp;" – "&amp;IF(LEN(INDEX('Vendor COIs'!$B$4:$B$503,(_calc!$E$174-500)))=0,"",INDEX('Vendor COIs'!$B$4:$B$503,(_calc!$E$174-500)))))</f>
        <v/>
      </c>
      <c r="B172" s="46">
        <f>IF(_calc!$E$174="","",IF(_calc!$E$174&lt;=500,IF(ISNUMBER(INDEX('Our policies'!$J$4:$J$503,_calc!$E$174)),TEXT(INDEX('Our policies'!$J$4:$J$503,_calc!$E$174),"yyyy-mm-dd"),""),IF(ISNUMBER(INDEX('Vendor COIs'!$H$4:$H$503,(_calc!$E$174-500))),TEXT(INDEX('Vendor COIs'!$H$4:$H$503,(_calc!$E$174-500)),"yyyy-mm-dd"),"")))</f>
        <v/>
      </c>
      <c r="C172" s="46">
        <f>IF(_calc!$E$174="","",IF(_calc!$E$174&lt;=500,"Insurance","Certificate of insurance"))</f>
        <v/>
      </c>
      <c r="D172" s="46">
        <f>IF(_calc!$E$174="","",IF(_calc!$E$174&lt;=500,IF(ISNUMBER(INDEX('Our policies'!$I$4:$I$503,_calc!$E$174)),TEXT(INDEX('Our policies'!$I$4:$I$503,_calc!$E$174),"yyyy-mm-dd"),""),""))</f>
        <v/>
      </c>
      <c r="E172" s="46">
        <f>IF(_calc!$E$174="","",IF(_calc!$E$174&lt;=500,IF(LEN(INDEX('Our policies'!$Q$4:$Q$503,_calc!$E$174))=0,"",INDEX('Our policies'!$Q$4:$Q$503,_calc!$E$174)),"Medium"))</f>
        <v/>
      </c>
      <c r="F172" s="46">
        <f>IF(_calc!$E$174="","",IF(_calc!$E$174&lt;=500,TRIM(IF(LEN(IF(LEN(INDEX('Our policies'!$B$4:$B$503,_calc!$E$174))=0,"",INDEX('Our policies'!$B$4:$B$503,_calc!$E$174)))=0,"","Cover: "&amp;IF(LEN(INDEX('Our policies'!$B$4:$B$503,_calc!$E$174))=0,"",INDEX('Our policies'!$B$4:$B$503,_calc!$E$174))&amp;". ")&amp;IF(LEN(IF(LEN(INDEX('Our policies'!$C$4:$C$503,_calc!$E$174))=0,"",INDEX('Our policies'!$C$4:$C$503,_calc!$E$174)))=0,"","Insurer: "&amp;IF(LEN(INDEX('Our policies'!$C$4:$C$503,_calc!$E$174))=0,"",INDEX('Our policies'!$C$4:$C$503,_calc!$E$174))&amp;". ")&amp;IF(LEN(IF(LEN(INDEX('Our policies'!$D$4:$D$503,_calc!$E$174))=0,"",INDEX('Our policies'!$D$4:$D$503,_calc!$E$174)))=0,"","Broker: "&amp;IF(LEN(INDEX('Our policies'!$D$4:$D$503,_calc!$E$174))=0,"",INDEX('Our policies'!$D$4:$D$503,_calc!$E$174))&amp;". ")&amp;IF(LEN(IF(LEN(INDEX('Our policies'!$E$4:$E$503,_calc!$E$174))=0,"",INDEX('Our policies'!$E$4:$E$503,_calc!$E$174)))=0,"","Policy no.: "&amp;IF(LEN(INDEX('Our policies'!$E$4:$E$503,_calc!$E$174))=0,"",INDEX('Our policies'!$E$4:$E$503,_calc!$E$174))&amp;". ")&amp;IF(LEN(IF(LEN(INDEX('Our policies'!$S$4:$S$503,_calc!$E$174))=0,"",INDEX('Our policies'!$S$4:$S$503,_calc!$E$174)))=0,"",IF(LEN(INDEX('Our policies'!$S$4:$S$503,_calc!$E$174))=0,"",INDEX('Our policies'!$S$4:$S$503,_calc!$E$174)))),TRIM(IF(LEN(IF(LEN(INDEX('Vendor COIs'!$C$4:$C$503,(_calc!$E$174-500)))=0,"",INDEX('Vendor COIs'!$C$4:$C$503,(_calc!$E$174-500))))=0,"","Insurer: "&amp;IF(LEN(INDEX('Vendor COIs'!$C$4:$C$503,(_calc!$E$174-500)))=0,"",INDEX('Vendor COIs'!$C$4:$C$503,(_calc!$E$174-500)))&amp;". ")&amp;IF(LEN(IF(LEN(INDEX('Vendor COIs'!$D$4:$D$503,(_calc!$E$174-500)))=0,"",INDEX('Vendor COIs'!$D$4:$D$503,(_calc!$E$174-500))))=0,"","Policy no.: "&amp;IF(LEN(INDEX('Vendor COIs'!$D$4:$D$503,(_calc!$E$174-500)))=0,"",INDEX('Vendor COIs'!$D$4:$D$503,(_calc!$E$174-500)))&amp;". ")&amp;IF(LEN(IF(LEN(INDEX('Vendor COIs'!$F$4:$F$503,(_calc!$E$174-500)))=0,"",INDEX('Vendor COIs'!$F$4:$F$503,(_calc!$E$174-500))))=0,"","Meets minimum: "&amp;IF(LEN(INDEX('Vendor COIs'!$F$4:$F$503,(_calc!$E$174-500)))=0,"",INDEX('Vendor COIs'!$F$4:$F$503,(_calc!$E$174-500)))&amp;". ")&amp;IF(LEN(IF(LEN(INDEX('Vendor COIs'!$G$4:$G$503,(_calc!$E$174-500)))=0,"",INDEX('Vendor COIs'!$G$4:$G$503,(_calc!$E$174-500))))=0,"","Additional insured: "&amp;IF(LEN(INDEX('Vendor COIs'!$G$4:$G$503,(_calc!$E$174-500)))=0,"",INDEX('Vendor COIs'!$G$4:$G$503,(_calc!$E$174-500)))&amp;". ")&amp;IF(LEN(IF(LEN(INDEX('Vendor COIs'!$M$4:$M$503,(_calc!$E$174-500)))=0,"",INDEX('Vendor COIs'!$M$4:$M$503,(_calc!$E$174-500))))=0,"","Vendor contact: "&amp;IF(LEN(INDEX('Vendor COIs'!$M$4:$M$503,(_calc!$E$174-500)))=0,"",INDEX('Vendor COIs'!$M$4:$M$503,(_calc!$E$174-500)))&amp;". ")&amp;IF(LEN(IF(LEN(INDEX('Vendor COIs'!$P$4:$P$503,(_calc!$E$174-500)))=0,"",INDEX('Vendor COIs'!$P$4:$P$503,(_calc!$E$174-500))))=0,"",IF(LEN(INDEX('Vendor COIs'!$P$4:$P$503,(_calc!$E$174-500)))=0,"",INDEX('Vendor COIs'!$P$4:$P$503,(_calc!$E$174-500)))))))</f>
        <v/>
      </c>
      <c r="G172" s="46">
        <f>IF(_calc!$E$174="","",IF(_calc!$E$174&lt;=500,IF(LEN(INDEX('Our policies'!$R$4:$R$503,_calc!$E$174))=0,"",INDEX('Our policies'!$R$4:$R$503,_calc!$E$174)),IF(LEN(INDEX('Vendor COIs'!$O$4:$O$503,(_calc!$E$174-500)))=0,"",INDEX('Vendor COIs'!$O$4:$O$503,(_calc!$E$174-500)))))</f>
        <v/>
      </c>
      <c r="H172" s="46">
        <f>IF(_calc!$E$174="","",IF(_calc!$E$174&lt;=500,IF(LEN(INDEX('Our policies'!$G$4:$G$503,_calc!$E$174))=0,"",INDEX('Our policies'!$G$4:$G$503,_calc!$E$174)),""))</f>
        <v/>
      </c>
      <c r="I172" s="46">
        <f>IF(_calc!$E$174="","",IF(_calc!$E$174&lt;=500,IF(LEN(INDEX('Our policies'!$H$4:$H$503,_calc!$E$174))=0,"",INDEX('Our policies'!$H$4:$H$503,_calc!$E$174)),""))</f>
        <v/>
      </c>
      <c r="K172" s="46">
        <f>IF(_calc!$E$174="","",IF(_calc!$E$174&lt;=500,IF(LEN(INDEX('Our policies'!$P$4:$P$503,_calc!$E$174))=0,"",INDEX('Our policies'!$P$4:$P$503,_calc!$E$174)),IF(LEN(INDEX('Vendor COIs'!$N$4:$N$503,(_calc!$E$174-500)))=0,"",INDEX('Vendor COIs'!$N$4:$N$503,(_calc!$E$174-500)))))</f>
        <v/>
      </c>
    </row>
    <row r="173">
      <c r="A173" s="46">
        <f>IF(_calc!$E$175="","",IF(_calc!$E$175&lt;=500,IF(LEN(INDEX('Our policies'!$A$4:$A$503,_calc!$E$175))=0,"",INDEX('Our policies'!$A$4:$A$503,_calc!$E$175)),"COI – "&amp;IF(LEN(INDEX('Vendor COIs'!$A$4:$A$503,(_calc!$E$175-500)))=0,"",INDEX('Vendor COIs'!$A$4:$A$503,(_calc!$E$175-500)))&amp;" – "&amp;IF(LEN(INDEX('Vendor COIs'!$B$4:$B$503,(_calc!$E$175-500)))=0,"",INDEX('Vendor COIs'!$B$4:$B$503,(_calc!$E$175-500)))))</f>
        <v/>
      </c>
      <c r="B173" s="46">
        <f>IF(_calc!$E$175="","",IF(_calc!$E$175&lt;=500,IF(ISNUMBER(INDEX('Our policies'!$J$4:$J$503,_calc!$E$175)),TEXT(INDEX('Our policies'!$J$4:$J$503,_calc!$E$175),"yyyy-mm-dd"),""),IF(ISNUMBER(INDEX('Vendor COIs'!$H$4:$H$503,(_calc!$E$175-500))),TEXT(INDEX('Vendor COIs'!$H$4:$H$503,(_calc!$E$175-500)),"yyyy-mm-dd"),"")))</f>
        <v/>
      </c>
      <c r="C173" s="46">
        <f>IF(_calc!$E$175="","",IF(_calc!$E$175&lt;=500,"Insurance","Certificate of insurance"))</f>
        <v/>
      </c>
      <c r="D173" s="46">
        <f>IF(_calc!$E$175="","",IF(_calc!$E$175&lt;=500,IF(ISNUMBER(INDEX('Our policies'!$I$4:$I$503,_calc!$E$175)),TEXT(INDEX('Our policies'!$I$4:$I$503,_calc!$E$175),"yyyy-mm-dd"),""),""))</f>
        <v/>
      </c>
      <c r="E173" s="46">
        <f>IF(_calc!$E$175="","",IF(_calc!$E$175&lt;=500,IF(LEN(INDEX('Our policies'!$Q$4:$Q$503,_calc!$E$175))=0,"",INDEX('Our policies'!$Q$4:$Q$503,_calc!$E$175)),"Medium"))</f>
        <v/>
      </c>
      <c r="F173" s="46">
        <f>IF(_calc!$E$175="","",IF(_calc!$E$175&lt;=500,TRIM(IF(LEN(IF(LEN(INDEX('Our policies'!$B$4:$B$503,_calc!$E$175))=0,"",INDEX('Our policies'!$B$4:$B$503,_calc!$E$175)))=0,"","Cover: "&amp;IF(LEN(INDEX('Our policies'!$B$4:$B$503,_calc!$E$175))=0,"",INDEX('Our policies'!$B$4:$B$503,_calc!$E$175))&amp;". ")&amp;IF(LEN(IF(LEN(INDEX('Our policies'!$C$4:$C$503,_calc!$E$175))=0,"",INDEX('Our policies'!$C$4:$C$503,_calc!$E$175)))=0,"","Insurer: "&amp;IF(LEN(INDEX('Our policies'!$C$4:$C$503,_calc!$E$175))=0,"",INDEX('Our policies'!$C$4:$C$503,_calc!$E$175))&amp;". ")&amp;IF(LEN(IF(LEN(INDEX('Our policies'!$D$4:$D$503,_calc!$E$175))=0,"",INDEX('Our policies'!$D$4:$D$503,_calc!$E$175)))=0,"","Broker: "&amp;IF(LEN(INDEX('Our policies'!$D$4:$D$503,_calc!$E$175))=0,"",INDEX('Our policies'!$D$4:$D$503,_calc!$E$175))&amp;". ")&amp;IF(LEN(IF(LEN(INDEX('Our policies'!$E$4:$E$503,_calc!$E$175))=0,"",INDEX('Our policies'!$E$4:$E$503,_calc!$E$175)))=0,"","Policy no.: "&amp;IF(LEN(INDEX('Our policies'!$E$4:$E$503,_calc!$E$175))=0,"",INDEX('Our policies'!$E$4:$E$503,_calc!$E$175))&amp;". ")&amp;IF(LEN(IF(LEN(INDEX('Our policies'!$S$4:$S$503,_calc!$E$175))=0,"",INDEX('Our policies'!$S$4:$S$503,_calc!$E$175)))=0,"",IF(LEN(INDEX('Our policies'!$S$4:$S$503,_calc!$E$175))=0,"",INDEX('Our policies'!$S$4:$S$503,_calc!$E$175)))),TRIM(IF(LEN(IF(LEN(INDEX('Vendor COIs'!$C$4:$C$503,(_calc!$E$175-500)))=0,"",INDEX('Vendor COIs'!$C$4:$C$503,(_calc!$E$175-500))))=0,"","Insurer: "&amp;IF(LEN(INDEX('Vendor COIs'!$C$4:$C$503,(_calc!$E$175-500)))=0,"",INDEX('Vendor COIs'!$C$4:$C$503,(_calc!$E$175-500)))&amp;". ")&amp;IF(LEN(IF(LEN(INDEX('Vendor COIs'!$D$4:$D$503,(_calc!$E$175-500)))=0,"",INDEX('Vendor COIs'!$D$4:$D$503,(_calc!$E$175-500))))=0,"","Policy no.: "&amp;IF(LEN(INDEX('Vendor COIs'!$D$4:$D$503,(_calc!$E$175-500)))=0,"",INDEX('Vendor COIs'!$D$4:$D$503,(_calc!$E$175-500)))&amp;". ")&amp;IF(LEN(IF(LEN(INDEX('Vendor COIs'!$F$4:$F$503,(_calc!$E$175-500)))=0,"",INDEX('Vendor COIs'!$F$4:$F$503,(_calc!$E$175-500))))=0,"","Meets minimum: "&amp;IF(LEN(INDEX('Vendor COIs'!$F$4:$F$503,(_calc!$E$175-500)))=0,"",INDEX('Vendor COIs'!$F$4:$F$503,(_calc!$E$175-500)))&amp;". ")&amp;IF(LEN(IF(LEN(INDEX('Vendor COIs'!$G$4:$G$503,(_calc!$E$175-500)))=0,"",INDEX('Vendor COIs'!$G$4:$G$503,(_calc!$E$175-500))))=0,"","Additional insured: "&amp;IF(LEN(INDEX('Vendor COIs'!$G$4:$G$503,(_calc!$E$175-500)))=0,"",INDEX('Vendor COIs'!$G$4:$G$503,(_calc!$E$175-500)))&amp;". ")&amp;IF(LEN(IF(LEN(INDEX('Vendor COIs'!$M$4:$M$503,(_calc!$E$175-500)))=0,"",INDEX('Vendor COIs'!$M$4:$M$503,(_calc!$E$175-500))))=0,"","Vendor contact: "&amp;IF(LEN(INDEX('Vendor COIs'!$M$4:$M$503,(_calc!$E$175-500)))=0,"",INDEX('Vendor COIs'!$M$4:$M$503,(_calc!$E$175-500)))&amp;". ")&amp;IF(LEN(IF(LEN(INDEX('Vendor COIs'!$P$4:$P$503,(_calc!$E$175-500)))=0,"",INDEX('Vendor COIs'!$P$4:$P$503,(_calc!$E$175-500))))=0,"",IF(LEN(INDEX('Vendor COIs'!$P$4:$P$503,(_calc!$E$175-500)))=0,"",INDEX('Vendor COIs'!$P$4:$P$503,(_calc!$E$175-500)))))))</f>
        <v/>
      </c>
      <c r="G173" s="46">
        <f>IF(_calc!$E$175="","",IF(_calc!$E$175&lt;=500,IF(LEN(INDEX('Our policies'!$R$4:$R$503,_calc!$E$175))=0,"",INDEX('Our policies'!$R$4:$R$503,_calc!$E$175)),IF(LEN(INDEX('Vendor COIs'!$O$4:$O$503,(_calc!$E$175-500)))=0,"",INDEX('Vendor COIs'!$O$4:$O$503,(_calc!$E$175-500)))))</f>
        <v/>
      </c>
      <c r="H173" s="46">
        <f>IF(_calc!$E$175="","",IF(_calc!$E$175&lt;=500,IF(LEN(INDEX('Our policies'!$G$4:$G$503,_calc!$E$175))=0,"",INDEX('Our policies'!$G$4:$G$503,_calc!$E$175)),""))</f>
        <v/>
      </c>
      <c r="I173" s="46">
        <f>IF(_calc!$E$175="","",IF(_calc!$E$175&lt;=500,IF(LEN(INDEX('Our policies'!$H$4:$H$503,_calc!$E$175))=0,"",INDEX('Our policies'!$H$4:$H$503,_calc!$E$175)),""))</f>
        <v/>
      </c>
      <c r="K173" s="46">
        <f>IF(_calc!$E$175="","",IF(_calc!$E$175&lt;=500,IF(LEN(INDEX('Our policies'!$P$4:$P$503,_calc!$E$175))=0,"",INDEX('Our policies'!$P$4:$P$503,_calc!$E$175)),IF(LEN(INDEX('Vendor COIs'!$N$4:$N$503,(_calc!$E$175-500)))=0,"",INDEX('Vendor COIs'!$N$4:$N$503,(_calc!$E$175-500)))))</f>
        <v/>
      </c>
    </row>
    <row r="174">
      <c r="A174" s="46">
        <f>IF(_calc!$E$176="","",IF(_calc!$E$176&lt;=500,IF(LEN(INDEX('Our policies'!$A$4:$A$503,_calc!$E$176))=0,"",INDEX('Our policies'!$A$4:$A$503,_calc!$E$176)),"COI – "&amp;IF(LEN(INDEX('Vendor COIs'!$A$4:$A$503,(_calc!$E$176-500)))=0,"",INDEX('Vendor COIs'!$A$4:$A$503,(_calc!$E$176-500)))&amp;" – "&amp;IF(LEN(INDEX('Vendor COIs'!$B$4:$B$503,(_calc!$E$176-500)))=0,"",INDEX('Vendor COIs'!$B$4:$B$503,(_calc!$E$176-500)))))</f>
        <v/>
      </c>
      <c r="B174" s="46">
        <f>IF(_calc!$E$176="","",IF(_calc!$E$176&lt;=500,IF(ISNUMBER(INDEX('Our policies'!$J$4:$J$503,_calc!$E$176)),TEXT(INDEX('Our policies'!$J$4:$J$503,_calc!$E$176),"yyyy-mm-dd"),""),IF(ISNUMBER(INDEX('Vendor COIs'!$H$4:$H$503,(_calc!$E$176-500))),TEXT(INDEX('Vendor COIs'!$H$4:$H$503,(_calc!$E$176-500)),"yyyy-mm-dd"),"")))</f>
        <v/>
      </c>
      <c r="C174" s="46">
        <f>IF(_calc!$E$176="","",IF(_calc!$E$176&lt;=500,"Insurance","Certificate of insurance"))</f>
        <v/>
      </c>
      <c r="D174" s="46">
        <f>IF(_calc!$E$176="","",IF(_calc!$E$176&lt;=500,IF(ISNUMBER(INDEX('Our policies'!$I$4:$I$503,_calc!$E$176)),TEXT(INDEX('Our policies'!$I$4:$I$503,_calc!$E$176),"yyyy-mm-dd"),""),""))</f>
        <v/>
      </c>
      <c r="E174" s="46">
        <f>IF(_calc!$E$176="","",IF(_calc!$E$176&lt;=500,IF(LEN(INDEX('Our policies'!$Q$4:$Q$503,_calc!$E$176))=0,"",INDEX('Our policies'!$Q$4:$Q$503,_calc!$E$176)),"Medium"))</f>
        <v/>
      </c>
      <c r="F174" s="46">
        <f>IF(_calc!$E$176="","",IF(_calc!$E$176&lt;=500,TRIM(IF(LEN(IF(LEN(INDEX('Our policies'!$B$4:$B$503,_calc!$E$176))=0,"",INDEX('Our policies'!$B$4:$B$503,_calc!$E$176)))=0,"","Cover: "&amp;IF(LEN(INDEX('Our policies'!$B$4:$B$503,_calc!$E$176))=0,"",INDEX('Our policies'!$B$4:$B$503,_calc!$E$176))&amp;". ")&amp;IF(LEN(IF(LEN(INDEX('Our policies'!$C$4:$C$503,_calc!$E$176))=0,"",INDEX('Our policies'!$C$4:$C$503,_calc!$E$176)))=0,"","Insurer: "&amp;IF(LEN(INDEX('Our policies'!$C$4:$C$503,_calc!$E$176))=0,"",INDEX('Our policies'!$C$4:$C$503,_calc!$E$176))&amp;". ")&amp;IF(LEN(IF(LEN(INDEX('Our policies'!$D$4:$D$503,_calc!$E$176))=0,"",INDEX('Our policies'!$D$4:$D$503,_calc!$E$176)))=0,"","Broker: "&amp;IF(LEN(INDEX('Our policies'!$D$4:$D$503,_calc!$E$176))=0,"",INDEX('Our policies'!$D$4:$D$503,_calc!$E$176))&amp;". ")&amp;IF(LEN(IF(LEN(INDEX('Our policies'!$E$4:$E$503,_calc!$E$176))=0,"",INDEX('Our policies'!$E$4:$E$503,_calc!$E$176)))=0,"","Policy no.: "&amp;IF(LEN(INDEX('Our policies'!$E$4:$E$503,_calc!$E$176))=0,"",INDEX('Our policies'!$E$4:$E$503,_calc!$E$176))&amp;". ")&amp;IF(LEN(IF(LEN(INDEX('Our policies'!$S$4:$S$503,_calc!$E$176))=0,"",INDEX('Our policies'!$S$4:$S$503,_calc!$E$176)))=0,"",IF(LEN(INDEX('Our policies'!$S$4:$S$503,_calc!$E$176))=0,"",INDEX('Our policies'!$S$4:$S$503,_calc!$E$176)))),TRIM(IF(LEN(IF(LEN(INDEX('Vendor COIs'!$C$4:$C$503,(_calc!$E$176-500)))=0,"",INDEX('Vendor COIs'!$C$4:$C$503,(_calc!$E$176-500))))=0,"","Insurer: "&amp;IF(LEN(INDEX('Vendor COIs'!$C$4:$C$503,(_calc!$E$176-500)))=0,"",INDEX('Vendor COIs'!$C$4:$C$503,(_calc!$E$176-500)))&amp;". ")&amp;IF(LEN(IF(LEN(INDEX('Vendor COIs'!$D$4:$D$503,(_calc!$E$176-500)))=0,"",INDEX('Vendor COIs'!$D$4:$D$503,(_calc!$E$176-500))))=0,"","Policy no.: "&amp;IF(LEN(INDEX('Vendor COIs'!$D$4:$D$503,(_calc!$E$176-500)))=0,"",INDEX('Vendor COIs'!$D$4:$D$503,(_calc!$E$176-500)))&amp;". ")&amp;IF(LEN(IF(LEN(INDEX('Vendor COIs'!$F$4:$F$503,(_calc!$E$176-500)))=0,"",INDEX('Vendor COIs'!$F$4:$F$503,(_calc!$E$176-500))))=0,"","Meets minimum: "&amp;IF(LEN(INDEX('Vendor COIs'!$F$4:$F$503,(_calc!$E$176-500)))=0,"",INDEX('Vendor COIs'!$F$4:$F$503,(_calc!$E$176-500)))&amp;". ")&amp;IF(LEN(IF(LEN(INDEX('Vendor COIs'!$G$4:$G$503,(_calc!$E$176-500)))=0,"",INDEX('Vendor COIs'!$G$4:$G$503,(_calc!$E$176-500))))=0,"","Additional insured: "&amp;IF(LEN(INDEX('Vendor COIs'!$G$4:$G$503,(_calc!$E$176-500)))=0,"",INDEX('Vendor COIs'!$G$4:$G$503,(_calc!$E$176-500)))&amp;". ")&amp;IF(LEN(IF(LEN(INDEX('Vendor COIs'!$M$4:$M$503,(_calc!$E$176-500)))=0,"",INDEX('Vendor COIs'!$M$4:$M$503,(_calc!$E$176-500))))=0,"","Vendor contact: "&amp;IF(LEN(INDEX('Vendor COIs'!$M$4:$M$503,(_calc!$E$176-500)))=0,"",INDEX('Vendor COIs'!$M$4:$M$503,(_calc!$E$176-500)))&amp;". ")&amp;IF(LEN(IF(LEN(INDEX('Vendor COIs'!$P$4:$P$503,(_calc!$E$176-500)))=0,"",INDEX('Vendor COIs'!$P$4:$P$503,(_calc!$E$176-500))))=0,"",IF(LEN(INDEX('Vendor COIs'!$P$4:$P$503,(_calc!$E$176-500)))=0,"",INDEX('Vendor COIs'!$P$4:$P$503,(_calc!$E$176-500)))))))</f>
        <v/>
      </c>
      <c r="G174" s="46">
        <f>IF(_calc!$E$176="","",IF(_calc!$E$176&lt;=500,IF(LEN(INDEX('Our policies'!$R$4:$R$503,_calc!$E$176))=0,"",INDEX('Our policies'!$R$4:$R$503,_calc!$E$176)),IF(LEN(INDEX('Vendor COIs'!$O$4:$O$503,(_calc!$E$176-500)))=0,"",INDEX('Vendor COIs'!$O$4:$O$503,(_calc!$E$176-500)))))</f>
        <v/>
      </c>
      <c r="H174" s="46">
        <f>IF(_calc!$E$176="","",IF(_calc!$E$176&lt;=500,IF(LEN(INDEX('Our policies'!$G$4:$G$503,_calc!$E$176))=0,"",INDEX('Our policies'!$G$4:$G$503,_calc!$E$176)),""))</f>
        <v/>
      </c>
      <c r="I174" s="46">
        <f>IF(_calc!$E$176="","",IF(_calc!$E$176&lt;=500,IF(LEN(INDEX('Our policies'!$H$4:$H$503,_calc!$E$176))=0,"",INDEX('Our policies'!$H$4:$H$503,_calc!$E$176)),""))</f>
        <v/>
      </c>
      <c r="K174" s="46">
        <f>IF(_calc!$E$176="","",IF(_calc!$E$176&lt;=500,IF(LEN(INDEX('Our policies'!$P$4:$P$503,_calc!$E$176))=0,"",INDEX('Our policies'!$P$4:$P$503,_calc!$E$176)),IF(LEN(INDEX('Vendor COIs'!$N$4:$N$503,(_calc!$E$176-500)))=0,"",INDEX('Vendor COIs'!$N$4:$N$503,(_calc!$E$176-500)))))</f>
        <v/>
      </c>
    </row>
    <row r="175">
      <c r="A175" s="46">
        <f>IF(_calc!$E$177="","",IF(_calc!$E$177&lt;=500,IF(LEN(INDEX('Our policies'!$A$4:$A$503,_calc!$E$177))=0,"",INDEX('Our policies'!$A$4:$A$503,_calc!$E$177)),"COI – "&amp;IF(LEN(INDEX('Vendor COIs'!$A$4:$A$503,(_calc!$E$177-500)))=0,"",INDEX('Vendor COIs'!$A$4:$A$503,(_calc!$E$177-500)))&amp;" – "&amp;IF(LEN(INDEX('Vendor COIs'!$B$4:$B$503,(_calc!$E$177-500)))=0,"",INDEX('Vendor COIs'!$B$4:$B$503,(_calc!$E$177-500)))))</f>
        <v/>
      </c>
      <c r="B175" s="46">
        <f>IF(_calc!$E$177="","",IF(_calc!$E$177&lt;=500,IF(ISNUMBER(INDEX('Our policies'!$J$4:$J$503,_calc!$E$177)),TEXT(INDEX('Our policies'!$J$4:$J$503,_calc!$E$177),"yyyy-mm-dd"),""),IF(ISNUMBER(INDEX('Vendor COIs'!$H$4:$H$503,(_calc!$E$177-500))),TEXT(INDEX('Vendor COIs'!$H$4:$H$503,(_calc!$E$177-500)),"yyyy-mm-dd"),"")))</f>
        <v/>
      </c>
      <c r="C175" s="46">
        <f>IF(_calc!$E$177="","",IF(_calc!$E$177&lt;=500,"Insurance","Certificate of insurance"))</f>
        <v/>
      </c>
      <c r="D175" s="46">
        <f>IF(_calc!$E$177="","",IF(_calc!$E$177&lt;=500,IF(ISNUMBER(INDEX('Our policies'!$I$4:$I$503,_calc!$E$177)),TEXT(INDEX('Our policies'!$I$4:$I$503,_calc!$E$177),"yyyy-mm-dd"),""),""))</f>
        <v/>
      </c>
      <c r="E175" s="46">
        <f>IF(_calc!$E$177="","",IF(_calc!$E$177&lt;=500,IF(LEN(INDEX('Our policies'!$Q$4:$Q$503,_calc!$E$177))=0,"",INDEX('Our policies'!$Q$4:$Q$503,_calc!$E$177)),"Medium"))</f>
        <v/>
      </c>
      <c r="F175" s="46">
        <f>IF(_calc!$E$177="","",IF(_calc!$E$177&lt;=500,TRIM(IF(LEN(IF(LEN(INDEX('Our policies'!$B$4:$B$503,_calc!$E$177))=0,"",INDEX('Our policies'!$B$4:$B$503,_calc!$E$177)))=0,"","Cover: "&amp;IF(LEN(INDEX('Our policies'!$B$4:$B$503,_calc!$E$177))=0,"",INDEX('Our policies'!$B$4:$B$503,_calc!$E$177))&amp;". ")&amp;IF(LEN(IF(LEN(INDEX('Our policies'!$C$4:$C$503,_calc!$E$177))=0,"",INDEX('Our policies'!$C$4:$C$503,_calc!$E$177)))=0,"","Insurer: "&amp;IF(LEN(INDEX('Our policies'!$C$4:$C$503,_calc!$E$177))=0,"",INDEX('Our policies'!$C$4:$C$503,_calc!$E$177))&amp;". ")&amp;IF(LEN(IF(LEN(INDEX('Our policies'!$D$4:$D$503,_calc!$E$177))=0,"",INDEX('Our policies'!$D$4:$D$503,_calc!$E$177)))=0,"","Broker: "&amp;IF(LEN(INDEX('Our policies'!$D$4:$D$503,_calc!$E$177))=0,"",INDEX('Our policies'!$D$4:$D$503,_calc!$E$177))&amp;". ")&amp;IF(LEN(IF(LEN(INDEX('Our policies'!$E$4:$E$503,_calc!$E$177))=0,"",INDEX('Our policies'!$E$4:$E$503,_calc!$E$177)))=0,"","Policy no.: "&amp;IF(LEN(INDEX('Our policies'!$E$4:$E$503,_calc!$E$177))=0,"",INDEX('Our policies'!$E$4:$E$503,_calc!$E$177))&amp;". ")&amp;IF(LEN(IF(LEN(INDEX('Our policies'!$S$4:$S$503,_calc!$E$177))=0,"",INDEX('Our policies'!$S$4:$S$503,_calc!$E$177)))=0,"",IF(LEN(INDEX('Our policies'!$S$4:$S$503,_calc!$E$177))=0,"",INDEX('Our policies'!$S$4:$S$503,_calc!$E$177)))),TRIM(IF(LEN(IF(LEN(INDEX('Vendor COIs'!$C$4:$C$503,(_calc!$E$177-500)))=0,"",INDEX('Vendor COIs'!$C$4:$C$503,(_calc!$E$177-500))))=0,"","Insurer: "&amp;IF(LEN(INDEX('Vendor COIs'!$C$4:$C$503,(_calc!$E$177-500)))=0,"",INDEX('Vendor COIs'!$C$4:$C$503,(_calc!$E$177-500)))&amp;". ")&amp;IF(LEN(IF(LEN(INDEX('Vendor COIs'!$D$4:$D$503,(_calc!$E$177-500)))=0,"",INDEX('Vendor COIs'!$D$4:$D$503,(_calc!$E$177-500))))=0,"","Policy no.: "&amp;IF(LEN(INDEX('Vendor COIs'!$D$4:$D$503,(_calc!$E$177-500)))=0,"",INDEX('Vendor COIs'!$D$4:$D$503,(_calc!$E$177-500)))&amp;". ")&amp;IF(LEN(IF(LEN(INDEX('Vendor COIs'!$F$4:$F$503,(_calc!$E$177-500)))=0,"",INDEX('Vendor COIs'!$F$4:$F$503,(_calc!$E$177-500))))=0,"","Meets minimum: "&amp;IF(LEN(INDEX('Vendor COIs'!$F$4:$F$503,(_calc!$E$177-500)))=0,"",INDEX('Vendor COIs'!$F$4:$F$503,(_calc!$E$177-500)))&amp;". ")&amp;IF(LEN(IF(LEN(INDEX('Vendor COIs'!$G$4:$G$503,(_calc!$E$177-500)))=0,"",INDEX('Vendor COIs'!$G$4:$G$503,(_calc!$E$177-500))))=0,"","Additional insured: "&amp;IF(LEN(INDEX('Vendor COIs'!$G$4:$G$503,(_calc!$E$177-500)))=0,"",INDEX('Vendor COIs'!$G$4:$G$503,(_calc!$E$177-500)))&amp;". ")&amp;IF(LEN(IF(LEN(INDEX('Vendor COIs'!$M$4:$M$503,(_calc!$E$177-500)))=0,"",INDEX('Vendor COIs'!$M$4:$M$503,(_calc!$E$177-500))))=0,"","Vendor contact: "&amp;IF(LEN(INDEX('Vendor COIs'!$M$4:$M$503,(_calc!$E$177-500)))=0,"",INDEX('Vendor COIs'!$M$4:$M$503,(_calc!$E$177-500)))&amp;". ")&amp;IF(LEN(IF(LEN(INDEX('Vendor COIs'!$P$4:$P$503,(_calc!$E$177-500)))=0,"",INDEX('Vendor COIs'!$P$4:$P$503,(_calc!$E$177-500))))=0,"",IF(LEN(INDEX('Vendor COIs'!$P$4:$P$503,(_calc!$E$177-500)))=0,"",INDEX('Vendor COIs'!$P$4:$P$503,(_calc!$E$177-500)))))))</f>
        <v/>
      </c>
      <c r="G175" s="46">
        <f>IF(_calc!$E$177="","",IF(_calc!$E$177&lt;=500,IF(LEN(INDEX('Our policies'!$R$4:$R$503,_calc!$E$177))=0,"",INDEX('Our policies'!$R$4:$R$503,_calc!$E$177)),IF(LEN(INDEX('Vendor COIs'!$O$4:$O$503,(_calc!$E$177-500)))=0,"",INDEX('Vendor COIs'!$O$4:$O$503,(_calc!$E$177-500)))))</f>
        <v/>
      </c>
      <c r="H175" s="46">
        <f>IF(_calc!$E$177="","",IF(_calc!$E$177&lt;=500,IF(LEN(INDEX('Our policies'!$G$4:$G$503,_calc!$E$177))=0,"",INDEX('Our policies'!$G$4:$G$503,_calc!$E$177)),""))</f>
        <v/>
      </c>
      <c r="I175" s="46">
        <f>IF(_calc!$E$177="","",IF(_calc!$E$177&lt;=500,IF(LEN(INDEX('Our policies'!$H$4:$H$503,_calc!$E$177))=0,"",INDEX('Our policies'!$H$4:$H$503,_calc!$E$177)),""))</f>
        <v/>
      </c>
      <c r="K175" s="46">
        <f>IF(_calc!$E$177="","",IF(_calc!$E$177&lt;=500,IF(LEN(INDEX('Our policies'!$P$4:$P$503,_calc!$E$177))=0,"",INDEX('Our policies'!$P$4:$P$503,_calc!$E$177)),IF(LEN(INDEX('Vendor COIs'!$N$4:$N$503,(_calc!$E$177-500)))=0,"",INDEX('Vendor COIs'!$N$4:$N$503,(_calc!$E$177-500)))))</f>
        <v/>
      </c>
    </row>
    <row r="176">
      <c r="A176" s="46">
        <f>IF(_calc!$E$178="","",IF(_calc!$E$178&lt;=500,IF(LEN(INDEX('Our policies'!$A$4:$A$503,_calc!$E$178))=0,"",INDEX('Our policies'!$A$4:$A$503,_calc!$E$178)),"COI – "&amp;IF(LEN(INDEX('Vendor COIs'!$A$4:$A$503,(_calc!$E$178-500)))=0,"",INDEX('Vendor COIs'!$A$4:$A$503,(_calc!$E$178-500)))&amp;" – "&amp;IF(LEN(INDEX('Vendor COIs'!$B$4:$B$503,(_calc!$E$178-500)))=0,"",INDEX('Vendor COIs'!$B$4:$B$503,(_calc!$E$178-500)))))</f>
        <v/>
      </c>
      <c r="B176" s="46">
        <f>IF(_calc!$E$178="","",IF(_calc!$E$178&lt;=500,IF(ISNUMBER(INDEX('Our policies'!$J$4:$J$503,_calc!$E$178)),TEXT(INDEX('Our policies'!$J$4:$J$503,_calc!$E$178),"yyyy-mm-dd"),""),IF(ISNUMBER(INDEX('Vendor COIs'!$H$4:$H$503,(_calc!$E$178-500))),TEXT(INDEX('Vendor COIs'!$H$4:$H$503,(_calc!$E$178-500)),"yyyy-mm-dd"),"")))</f>
        <v/>
      </c>
      <c r="C176" s="46">
        <f>IF(_calc!$E$178="","",IF(_calc!$E$178&lt;=500,"Insurance","Certificate of insurance"))</f>
        <v/>
      </c>
      <c r="D176" s="46">
        <f>IF(_calc!$E$178="","",IF(_calc!$E$178&lt;=500,IF(ISNUMBER(INDEX('Our policies'!$I$4:$I$503,_calc!$E$178)),TEXT(INDEX('Our policies'!$I$4:$I$503,_calc!$E$178),"yyyy-mm-dd"),""),""))</f>
        <v/>
      </c>
      <c r="E176" s="46">
        <f>IF(_calc!$E$178="","",IF(_calc!$E$178&lt;=500,IF(LEN(INDEX('Our policies'!$Q$4:$Q$503,_calc!$E$178))=0,"",INDEX('Our policies'!$Q$4:$Q$503,_calc!$E$178)),"Medium"))</f>
        <v/>
      </c>
      <c r="F176" s="46">
        <f>IF(_calc!$E$178="","",IF(_calc!$E$178&lt;=500,TRIM(IF(LEN(IF(LEN(INDEX('Our policies'!$B$4:$B$503,_calc!$E$178))=0,"",INDEX('Our policies'!$B$4:$B$503,_calc!$E$178)))=0,"","Cover: "&amp;IF(LEN(INDEX('Our policies'!$B$4:$B$503,_calc!$E$178))=0,"",INDEX('Our policies'!$B$4:$B$503,_calc!$E$178))&amp;". ")&amp;IF(LEN(IF(LEN(INDEX('Our policies'!$C$4:$C$503,_calc!$E$178))=0,"",INDEX('Our policies'!$C$4:$C$503,_calc!$E$178)))=0,"","Insurer: "&amp;IF(LEN(INDEX('Our policies'!$C$4:$C$503,_calc!$E$178))=0,"",INDEX('Our policies'!$C$4:$C$503,_calc!$E$178))&amp;". ")&amp;IF(LEN(IF(LEN(INDEX('Our policies'!$D$4:$D$503,_calc!$E$178))=0,"",INDEX('Our policies'!$D$4:$D$503,_calc!$E$178)))=0,"","Broker: "&amp;IF(LEN(INDEX('Our policies'!$D$4:$D$503,_calc!$E$178))=0,"",INDEX('Our policies'!$D$4:$D$503,_calc!$E$178))&amp;". ")&amp;IF(LEN(IF(LEN(INDEX('Our policies'!$E$4:$E$503,_calc!$E$178))=0,"",INDEX('Our policies'!$E$4:$E$503,_calc!$E$178)))=0,"","Policy no.: "&amp;IF(LEN(INDEX('Our policies'!$E$4:$E$503,_calc!$E$178))=0,"",INDEX('Our policies'!$E$4:$E$503,_calc!$E$178))&amp;". ")&amp;IF(LEN(IF(LEN(INDEX('Our policies'!$S$4:$S$503,_calc!$E$178))=0,"",INDEX('Our policies'!$S$4:$S$503,_calc!$E$178)))=0,"",IF(LEN(INDEX('Our policies'!$S$4:$S$503,_calc!$E$178))=0,"",INDEX('Our policies'!$S$4:$S$503,_calc!$E$178)))),TRIM(IF(LEN(IF(LEN(INDEX('Vendor COIs'!$C$4:$C$503,(_calc!$E$178-500)))=0,"",INDEX('Vendor COIs'!$C$4:$C$503,(_calc!$E$178-500))))=0,"","Insurer: "&amp;IF(LEN(INDEX('Vendor COIs'!$C$4:$C$503,(_calc!$E$178-500)))=0,"",INDEX('Vendor COIs'!$C$4:$C$503,(_calc!$E$178-500)))&amp;". ")&amp;IF(LEN(IF(LEN(INDEX('Vendor COIs'!$D$4:$D$503,(_calc!$E$178-500)))=0,"",INDEX('Vendor COIs'!$D$4:$D$503,(_calc!$E$178-500))))=0,"","Policy no.: "&amp;IF(LEN(INDEX('Vendor COIs'!$D$4:$D$503,(_calc!$E$178-500)))=0,"",INDEX('Vendor COIs'!$D$4:$D$503,(_calc!$E$178-500)))&amp;". ")&amp;IF(LEN(IF(LEN(INDEX('Vendor COIs'!$F$4:$F$503,(_calc!$E$178-500)))=0,"",INDEX('Vendor COIs'!$F$4:$F$503,(_calc!$E$178-500))))=0,"","Meets minimum: "&amp;IF(LEN(INDEX('Vendor COIs'!$F$4:$F$503,(_calc!$E$178-500)))=0,"",INDEX('Vendor COIs'!$F$4:$F$503,(_calc!$E$178-500)))&amp;". ")&amp;IF(LEN(IF(LEN(INDEX('Vendor COIs'!$G$4:$G$503,(_calc!$E$178-500)))=0,"",INDEX('Vendor COIs'!$G$4:$G$503,(_calc!$E$178-500))))=0,"","Additional insured: "&amp;IF(LEN(INDEX('Vendor COIs'!$G$4:$G$503,(_calc!$E$178-500)))=0,"",INDEX('Vendor COIs'!$G$4:$G$503,(_calc!$E$178-500)))&amp;". ")&amp;IF(LEN(IF(LEN(INDEX('Vendor COIs'!$M$4:$M$503,(_calc!$E$178-500)))=0,"",INDEX('Vendor COIs'!$M$4:$M$503,(_calc!$E$178-500))))=0,"","Vendor contact: "&amp;IF(LEN(INDEX('Vendor COIs'!$M$4:$M$503,(_calc!$E$178-500)))=0,"",INDEX('Vendor COIs'!$M$4:$M$503,(_calc!$E$178-500)))&amp;". ")&amp;IF(LEN(IF(LEN(INDEX('Vendor COIs'!$P$4:$P$503,(_calc!$E$178-500)))=0,"",INDEX('Vendor COIs'!$P$4:$P$503,(_calc!$E$178-500))))=0,"",IF(LEN(INDEX('Vendor COIs'!$P$4:$P$503,(_calc!$E$178-500)))=0,"",INDEX('Vendor COIs'!$P$4:$P$503,(_calc!$E$178-500)))))))</f>
        <v/>
      </c>
      <c r="G176" s="46">
        <f>IF(_calc!$E$178="","",IF(_calc!$E$178&lt;=500,IF(LEN(INDEX('Our policies'!$R$4:$R$503,_calc!$E$178))=0,"",INDEX('Our policies'!$R$4:$R$503,_calc!$E$178)),IF(LEN(INDEX('Vendor COIs'!$O$4:$O$503,(_calc!$E$178-500)))=0,"",INDEX('Vendor COIs'!$O$4:$O$503,(_calc!$E$178-500)))))</f>
        <v/>
      </c>
      <c r="H176" s="46">
        <f>IF(_calc!$E$178="","",IF(_calc!$E$178&lt;=500,IF(LEN(INDEX('Our policies'!$G$4:$G$503,_calc!$E$178))=0,"",INDEX('Our policies'!$G$4:$G$503,_calc!$E$178)),""))</f>
        <v/>
      </c>
      <c r="I176" s="46">
        <f>IF(_calc!$E$178="","",IF(_calc!$E$178&lt;=500,IF(LEN(INDEX('Our policies'!$H$4:$H$503,_calc!$E$178))=0,"",INDEX('Our policies'!$H$4:$H$503,_calc!$E$178)),""))</f>
        <v/>
      </c>
      <c r="K176" s="46">
        <f>IF(_calc!$E$178="","",IF(_calc!$E$178&lt;=500,IF(LEN(INDEX('Our policies'!$P$4:$P$503,_calc!$E$178))=0,"",INDEX('Our policies'!$P$4:$P$503,_calc!$E$178)),IF(LEN(INDEX('Vendor COIs'!$N$4:$N$503,(_calc!$E$178-500)))=0,"",INDEX('Vendor COIs'!$N$4:$N$503,(_calc!$E$178-500)))))</f>
        <v/>
      </c>
    </row>
    <row r="177">
      <c r="A177" s="46">
        <f>IF(_calc!$E$179="","",IF(_calc!$E$179&lt;=500,IF(LEN(INDEX('Our policies'!$A$4:$A$503,_calc!$E$179))=0,"",INDEX('Our policies'!$A$4:$A$503,_calc!$E$179)),"COI – "&amp;IF(LEN(INDEX('Vendor COIs'!$A$4:$A$503,(_calc!$E$179-500)))=0,"",INDEX('Vendor COIs'!$A$4:$A$503,(_calc!$E$179-500)))&amp;" – "&amp;IF(LEN(INDEX('Vendor COIs'!$B$4:$B$503,(_calc!$E$179-500)))=0,"",INDEX('Vendor COIs'!$B$4:$B$503,(_calc!$E$179-500)))))</f>
        <v/>
      </c>
      <c r="B177" s="46">
        <f>IF(_calc!$E$179="","",IF(_calc!$E$179&lt;=500,IF(ISNUMBER(INDEX('Our policies'!$J$4:$J$503,_calc!$E$179)),TEXT(INDEX('Our policies'!$J$4:$J$503,_calc!$E$179),"yyyy-mm-dd"),""),IF(ISNUMBER(INDEX('Vendor COIs'!$H$4:$H$503,(_calc!$E$179-500))),TEXT(INDEX('Vendor COIs'!$H$4:$H$503,(_calc!$E$179-500)),"yyyy-mm-dd"),"")))</f>
        <v/>
      </c>
      <c r="C177" s="46">
        <f>IF(_calc!$E$179="","",IF(_calc!$E$179&lt;=500,"Insurance","Certificate of insurance"))</f>
        <v/>
      </c>
      <c r="D177" s="46">
        <f>IF(_calc!$E$179="","",IF(_calc!$E$179&lt;=500,IF(ISNUMBER(INDEX('Our policies'!$I$4:$I$503,_calc!$E$179)),TEXT(INDEX('Our policies'!$I$4:$I$503,_calc!$E$179),"yyyy-mm-dd"),""),""))</f>
        <v/>
      </c>
      <c r="E177" s="46">
        <f>IF(_calc!$E$179="","",IF(_calc!$E$179&lt;=500,IF(LEN(INDEX('Our policies'!$Q$4:$Q$503,_calc!$E$179))=0,"",INDEX('Our policies'!$Q$4:$Q$503,_calc!$E$179)),"Medium"))</f>
        <v/>
      </c>
      <c r="F177" s="46">
        <f>IF(_calc!$E$179="","",IF(_calc!$E$179&lt;=500,TRIM(IF(LEN(IF(LEN(INDEX('Our policies'!$B$4:$B$503,_calc!$E$179))=0,"",INDEX('Our policies'!$B$4:$B$503,_calc!$E$179)))=0,"","Cover: "&amp;IF(LEN(INDEX('Our policies'!$B$4:$B$503,_calc!$E$179))=0,"",INDEX('Our policies'!$B$4:$B$503,_calc!$E$179))&amp;". ")&amp;IF(LEN(IF(LEN(INDEX('Our policies'!$C$4:$C$503,_calc!$E$179))=0,"",INDEX('Our policies'!$C$4:$C$503,_calc!$E$179)))=0,"","Insurer: "&amp;IF(LEN(INDEX('Our policies'!$C$4:$C$503,_calc!$E$179))=0,"",INDEX('Our policies'!$C$4:$C$503,_calc!$E$179))&amp;". ")&amp;IF(LEN(IF(LEN(INDEX('Our policies'!$D$4:$D$503,_calc!$E$179))=0,"",INDEX('Our policies'!$D$4:$D$503,_calc!$E$179)))=0,"","Broker: "&amp;IF(LEN(INDEX('Our policies'!$D$4:$D$503,_calc!$E$179))=0,"",INDEX('Our policies'!$D$4:$D$503,_calc!$E$179))&amp;". ")&amp;IF(LEN(IF(LEN(INDEX('Our policies'!$E$4:$E$503,_calc!$E$179))=0,"",INDEX('Our policies'!$E$4:$E$503,_calc!$E$179)))=0,"","Policy no.: "&amp;IF(LEN(INDEX('Our policies'!$E$4:$E$503,_calc!$E$179))=0,"",INDEX('Our policies'!$E$4:$E$503,_calc!$E$179))&amp;". ")&amp;IF(LEN(IF(LEN(INDEX('Our policies'!$S$4:$S$503,_calc!$E$179))=0,"",INDEX('Our policies'!$S$4:$S$503,_calc!$E$179)))=0,"",IF(LEN(INDEX('Our policies'!$S$4:$S$503,_calc!$E$179))=0,"",INDEX('Our policies'!$S$4:$S$503,_calc!$E$179)))),TRIM(IF(LEN(IF(LEN(INDEX('Vendor COIs'!$C$4:$C$503,(_calc!$E$179-500)))=0,"",INDEX('Vendor COIs'!$C$4:$C$503,(_calc!$E$179-500))))=0,"","Insurer: "&amp;IF(LEN(INDEX('Vendor COIs'!$C$4:$C$503,(_calc!$E$179-500)))=0,"",INDEX('Vendor COIs'!$C$4:$C$503,(_calc!$E$179-500)))&amp;". ")&amp;IF(LEN(IF(LEN(INDEX('Vendor COIs'!$D$4:$D$503,(_calc!$E$179-500)))=0,"",INDEX('Vendor COIs'!$D$4:$D$503,(_calc!$E$179-500))))=0,"","Policy no.: "&amp;IF(LEN(INDEX('Vendor COIs'!$D$4:$D$503,(_calc!$E$179-500)))=0,"",INDEX('Vendor COIs'!$D$4:$D$503,(_calc!$E$179-500)))&amp;". ")&amp;IF(LEN(IF(LEN(INDEX('Vendor COIs'!$F$4:$F$503,(_calc!$E$179-500)))=0,"",INDEX('Vendor COIs'!$F$4:$F$503,(_calc!$E$179-500))))=0,"","Meets minimum: "&amp;IF(LEN(INDEX('Vendor COIs'!$F$4:$F$503,(_calc!$E$179-500)))=0,"",INDEX('Vendor COIs'!$F$4:$F$503,(_calc!$E$179-500)))&amp;". ")&amp;IF(LEN(IF(LEN(INDEX('Vendor COIs'!$G$4:$G$503,(_calc!$E$179-500)))=0,"",INDEX('Vendor COIs'!$G$4:$G$503,(_calc!$E$179-500))))=0,"","Additional insured: "&amp;IF(LEN(INDEX('Vendor COIs'!$G$4:$G$503,(_calc!$E$179-500)))=0,"",INDEX('Vendor COIs'!$G$4:$G$503,(_calc!$E$179-500)))&amp;". ")&amp;IF(LEN(IF(LEN(INDEX('Vendor COIs'!$M$4:$M$503,(_calc!$E$179-500)))=0,"",INDEX('Vendor COIs'!$M$4:$M$503,(_calc!$E$179-500))))=0,"","Vendor contact: "&amp;IF(LEN(INDEX('Vendor COIs'!$M$4:$M$503,(_calc!$E$179-500)))=0,"",INDEX('Vendor COIs'!$M$4:$M$503,(_calc!$E$179-500)))&amp;". ")&amp;IF(LEN(IF(LEN(INDEX('Vendor COIs'!$P$4:$P$503,(_calc!$E$179-500)))=0,"",INDEX('Vendor COIs'!$P$4:$P$503,(_calc!$E$179-500))))=0,"",IF(LEN(INDEX('Vendor COIs'!$P$4:$P$503,(_calc!$E$179-500)))=0,"",INDEX('Vendor COIs'!$P$4:$P$503,(_calc!$E$179-500)))))))</f>
        <v/>
      </c>
      <c r="G177" s="46">
        <f>IF(_calc!$E$179="","",IF(_calc!$E$179&lt;=500,IF(LEN(INDEX('Our policies'!$R$4:$R$503,_calc!$E$179))=0,"",INDEX('Our policies'!$R$4:$R$503,_calc!$E$179)),IF(LEN(INDEX('Vendor COIs'!$O$4:$O$503,(_calc!$E$179-500)))=0,"",INDEX('Vendor COIs'!$O$4:$O$503,(_calc!$E$179-500)))))</f>
        <v/>
      </c>
      <c r="H177" s="46">
        <f>IF(_calc!$E$179="","",IF(_calc!$E$179&lt;=500,IF(LEN(INDEX('Our policies'!$G$4:$G$503,_calc!$E$179))=0,"",INDEX('Our policies'!$G$4:$G$503,_calc!$E$179)),""))</f>
        <v/>
      </c>
      <c r="I177" s="46">
        <f>IF(_calc!$E$179="","",IF(_calc!$E$179&lt;=500,IF(LEN(INDEX('Our policies'!$H$4:$H$503,_calc!$E$179))=0,"",INDEX('Our policies'!$H$4:$H$503,_calc!$E$179)),""))</f>
        <v/>
      </c>
      <c r="K177" s="46">
        <f>IF(_calc!$E$179="","",IF(_calc!$E$179&lt;=500,IF(LEN(INDEX('Our policies'!$P$4:$P$503,_calc!$E$179))=0,"",INDEX('Our policies'!$P$4:$P$503,_calc!$E$179)),IF(LEN(INDEX('Vendor COIs'!$N$4:$N$503,(_calc!$E$179-500)))=0,"",INDEX('Vendor COIs'!$N$4:$N$503,(_calc!$E$179-500)))))</f>
        <v/>
      </c>
    </row>
    <row r="178">
      <c r="A178" s="46">
        <f>IF(_calc!$E$180="","",IF(_calc!$E$180&lt;=500,IF(LEN(INDEX('Our policies'!$A$4:$A$503,_calc!$E$180))=0,"",INDEX('Our policies'!$A$4:$A$503,_calc!$E$180)),"COI – "&amp;IF(LEN(INDEX('Vendor COIs'!$A$4:$A$503,(_calc!$E$180-500)))=0,"",INDEX('Vendor COIs'!$A$4:$A$503,(_calc!$E$180-500)))&amp;" – "&amp;IF(LEN(INDEX('Vendor COIs'!$B$4:$B$503,(_calc!$E$180-500)))=0,"",INDEX('Vendor COIs'!$B$4:$B$503,(_calc!$E$180-500)))))</f>
        <v/>
      </c>
      <c r="B178" s="46">
        <f>IF(_calc!$E$180="","",IF(_calc!$E$180&lt;=500,IF(ISNUMBER(INDEX('Our policies'!$J$4:$J$503,_calc!$E$180)),TEXT(INDEX('Our policies'!$J$4:$J$503,_calc!$E$180),"yyyy-mm-dd"),""),IF(ISNUMBER(INDEX('Vendor COIs'!$H$4:$H$503,(_calc!$E$180-500))),TEXT(INDEX('Vendor COIs'!$H$4:$H$503,(_calc!$E$180-500)),"yyyy-mm-dd"),"")))</f>
        <v/>
      </c>
      <c r="C178" s="46">
        <f>IF(_calc!$E$180="","",IF(_calc!$E$180&lt;=500,"Insurance","Certificate of insurance"))</f>
        <v/>
      </c>
      <c r="D178" s="46">
        <f>IF(_calc!$E$180="","",IF(_calc!$E$180&lt;=500,IF(ISNUMBER(INDEX('Our policies'!$I$4:$I$503,_calc!$E$180)),TEXT(INDEX('Our policies'!$I$4:$I$503,_calc!$E$180),"yyyy-mm-dd"),""),""))</f>
        <v/>
      </c>
      <c r="E178" s="46">
        <f>IF(_calc!$E$180="","",IF(_calc!$E$180&lt;=500,IF(LEN(INDEX('Our policies'!$Q$4:$Q$503,_calc!$E$180))=0,"",INDEX('Our policies'!$Q$4:$Q$503,_calc!$E$180)),"Medium"))</f>
        <v/>
      </c>
      <c r="F178" s="46">
        <f>IF(_calc!$E$180="","",IF(_calc!$E$180&lt;=500,TRIM(IF(LEN(IF(LEN(INDEX('Our policies'!$B$4:$B$503,_calc!$E$180))=0,"",INDEX('Our policies'!$B$4:$B$503,_calc!$E$180)))=0,"","Cover: "&amp;IF(LEN(INDEX('Our policies'!$B$4:$B$503,_calc!$E$180))=0,"",INDEX('Our policies'!$B$4:$B$503,_calc!$E$180))&amp;". ")&amp;IF(LEN(IF(LEN(INDEX('Our policies'!$C$4:$C$503,_calc!$E$180))=0,"",INDEX('Our policies'!$C$4:$C$503,_calc!$E$180)))=0,"","Insurer: "&amp;IF(LEN(INDEX('Our policies'!$C$4:$C$503,_calc!$E$180))=0,"",INDEX('Our policies'!$C$4:$C$503,_calc!$E$180))&amp;". ")&amp;IF(LEN(IF(LEN(INDEX('Our policies'!$D$4:$D$503,_calc!$E$180))=0,"",INDEX('Our policies'!$D$4:$D$503,_calc!$E$180)))=0,"","Broker: "&amp;IF(LEN(INDEX('Our policies'!$D$4:$D$503,_calc!$E$180))=0,"",INDEX('Our policies'!$D$4:$D$503,_calc!$E$180))&amp;". ")&amp;IF(LEN(IF(LEN(INDEX('Our policies'!$E$4:$E$503,_calc!$E$180))=0,"",INDEX('Our policies'!$E$4:$E$503,_calc!$E$180)))=0,"","Policy no.: "&amp;IF(LEN(INDEX('Our policies'!$E$4:$E$503,_calc!$E$180))=0,"",INDEX('Our policies'!$E$4:$E$503,_calc!$E$180))&amp;". ")&amp;IF(LEN(IF(LEN(INDEX('Our policies'!$S$4:$S$503,_calc!$E$180))=0,"",INDEX('Our policies'!$S$4:$S$503,_calc!$E$180)))=0,"",IF(LEN(INDEX('Our policies'!$S$4:$S$503,_calc!$E$180))=0,"",INDEX('Our policies'!$S$4:$S$503,_calc!$E$180)))),TRIM(IF(LEN(IF(LEN(INDEX('Vendor COIs'!$C$4:$C$503,(_calc!$E$180-500)))=0,"",INDEX('Vendor COIs'!$C$4:$C$503,(_calc!$E$180-500))))=0,"","Insurer: "&amp;IF(LEN(INDEX('Vendor COIs'!$C$4:$C$503,(_calc!$E$180-500)))=0,"",INDEX('Vendor COIs'!$C$4:$C$503,(_calc!$E$180-500)))&amp;". ")&amp;IF(LEN(IF(LEN(INDEX('Vendor COIs'!$D$4:$D$503,(_calc!$E$180-500)))=0,"",INDEX('Vendor COIs'!$D$4:$D$503,(_calc!$E$180-500))))=0,"","Policy no.: "&amp;IF(LEN(INDEX('Vendor COIs'!$D$4:$D$503,(_calc!$E$180-500)))=0,"",INDEX('Vendor COIs'!$D$4:$D$503,(_calc!$E$180-500)))&amp;". ")&amp;IF(LEN(IF(LEN(INDEX('Vendor COIs'!$F$4:$F$503,(_calc!$E$180-500)))=0,"",INDEX('Vendor COIs'!$F$4:$F$503,(_calc!$E$180-500))))=0,"","Meets minimum: "&amp;IF(LEN(INDEX('Vendor COIs'!$F$4:$F$503,(_calc!$E$180-500)))=0,"",INDEX('Vendor COIs'!$F$4:$F$503,(_calc!$E$180-500)))&amp;". ")&amp;IF(LEN(IF(LEN(INDEX('Vendor COIs'!$G$4:$G$503,(_calc!$E$180-500)))=0,"",INDEX('Vendor COIs'!$G$4:$G$503,(_calc!$E$180-500))))=0,"","Additional insured: "&amp;IF(LEN(INDEX('Vendor COIs'!$G$4:$G$503,(_calc!$E$180-500)))=0,"",INDEX('Vendor COIs'!$G$4:$G$503,(_calc!$E$180-500)))&amp;". ")&amp;IF(LEN(IF(LEN(INDEX('Vendor COIs'!$M$4:$M$503,(_calc!$E$180-500)))=0,"",INDEX('Vendor COIs'!$M$4:$M$503,(_calc!$E$180-500))))=0,"","Vendor contact: "&amp;IF(LEN(INDEX('Vendor COIs'!$M$4:$M$503,(_calc!$E$180-500)))=0,"",INDEX('Vendor COIs'!$M$4:$M$503,(_calc!$E$180-500)))&amp;". ")&amp;IF(LEN(IF(LEN(INDEX('Vendor COIs'!$P$4:$P$503,(_calc!$E$180-500)))=0,"",INDEX('Vendor COIs'!$P$4:$P$503,(_calc!$E$180-500))))=0,"",IF(LEN(INDEX('Vendor COIs'!$P$4:$P$503,(_calc!$E$180-500)))=0,"",INDEX('Vendor COIs'!$P$4:$P$503,(_calc!$E$180-500)))))))</f>
        <v/>
      </c>
      <c r="G178" s="46">
        <f>IF(_calc!$E$180="","",IF(_calc!$E$180&lt;=500,IF(LEN(INDEX('Our policies'!$R$4:$R$503,_calc!$E$180))=0,"",INDEX('Our policies'!$R$4:$R$503,_calc!$E$180)),IF(LEN(INDEX('Vendor COIs'!$O$4:$O$503,(_calc!$E$180-500)))=0,"",INDEX('Vendor COIs'!$O$4:$O$503,(_calc!$E$180-500)))))</f>
        <v/>
      </c>
      <c r="H178" s="46">
        <f>IF(_calc!$E$180="","",IF(_calc!$E$180&lt;=500,IF(LEN(INDEX('Our policies'!$G$4:$G$503,_calc!$E$180))=0,"",INDEX('Our policies'!$G$4:$G$503,_calc!$E$180)),""))</f>
        <v/>
      </c>
      <c r="I178" s="46">
        <f>IF(_calc!$E$180="","",IF(_calc!$E$180&lt;=500,IF(LEN(INDEX('Our policies'!$H$4:$H$503,_calc!$E$180))=0,"",INDEX('Our policies'!$H$4:$H$503,_calc!$E$180)),""))</f>
        <v/>
      </c>
      <c r="K178" s="46">
        <f>IF(_calc!$E$180="","",IF(_calc!$E$180&lt;=500,IF(LEN(INDEX('Our policies'!$P$4:$P$503,_calc!$E$180))=0,"",INDEX('Our policies'!$P$4:$P$503,_calc!$E$180)),IF(LEN(INDEX('Vendor COIs'!$N$4:$N$503,(_calc!$E$180-500)))=0,"",INDEX('Vendor COIs'!$N$4:$N$503,(_calc!$E$180-500)))))</f>
        <v/>
      </c>
    </row>
    <row r="179">
      <c r="A179" s="46">
        <f>IF(_calc!$E$181="","",IF(_calc!$E$181&lt;=500,IF(LEN(INDEX('Our policies'!$A$4:$A$503,_calc!$E$181))=0,"",INDEX('Our policies'!$A$4:$A$503,_calc!$E$181)),"COI – "&amp;IF(LEN(INDEX('Vendor COIs'!$A$4:$A$503,(_calc!$E$181-500)))=0,"",INDEX('Vendor COIs'!$A$4:$A$503,(_calc!$E$181-500)))&amp;" – "&amp;IF(LEN(INDEX('Vendor COIs'!$B$4:$B$503,(_calc!$E$181-500)))=0,"",INDEX('Vendor COIs'!$B$4:$B$503,(_calc!$E$181-500)))))</f>
        <v/>
      </c>
      <c r="B179" s="46">
        <f>IF(_calc!$E$181="","",IF(_calc!$E$181&lt;=500,IF(ISNUMBER(INDEX('Our policies'!$J$4:$J$503,_calc!$E$181)),TEXT(INDEX('Our policies'!$J$4:$J$503,_calc!$E$181),"yyyy-mm-dd"),""),IF(ISNUMBER(INDEX('Vendor COIs'!$H$4:$H$503,(_calc!$E$181-500))),TEXT(INDEX('Vendor COIs'!$H$4:$H$503,(_calc!$E$181-500)),"yyyy-mm-dd"),"")))</f>
        <v/>
      </c>
      <c r="C179" s="46">
        <f>IF(_calc!$E$181="","",IF(_calc!$E$181&lt;=500,"Insurance","Certificate of insurance"))</f>
        <v/>
      </c>
      <c r="D179" s="46">
        <f>IF(_calc!$E$181="","",IF(_calc!$E$181&lt;=500,IF(ISNUMBER(INDEX('Our policies'!$I$4:$I$503,_calc!$E$181)),TEXT(INDEX('Our policies'!$I$4:$I$503,_calc!$E$181),"yyyy-mm-dd"),""),""))</f>
        <v/>
      </c>
      <c r="E179" s="46">
        <f>IF(_calc!$E$181="","",IF(_calc!$E$181&lt;=500,IF(LEN(INDEX('Our policies'!$Q$4:$Q$503,_calc!$E$181))=0,"",INDEX('Our policies'!$Q$4:$Q$503,_calc!$E$181)),"Medium"))</f>
        <v/>
      </c>
      <c r="F179" s="46">
        <f>IF(_calc!$E$181="","",IF(_calc!$E$181&lt;=500,TRIM(IF(LEN(IF(LEN(INDEX('Our policies'!$B$4:$B$503,_calc!$E$181))=0,"",INDEX('Our policies'!$B$4:$B$503,_calc!$E$181)))=0,"","Cover: "&amp;IF(LEN(INDEX('Our policies'!$B$4:$B$503,_calc!$E$181))=0,"",INDEX('Our policies'!$B$4:$B$503,_calc!$E$181))&amp;". ")&amp;IF(LEN(IF(LEN(INDEX('Our policies'!$C$4:$C$503,_calc!$E$181))=0,"",INDEX('Our policies'!$C$4:$C$503,_calc!$E$181)))=0,"","Insurer: "&amp;IF(LEN(INDEX('Our policies'!$C$4:$C$503,_calc!$E$181))=0,"",INDEX('Our policies'!$C$4:$C$503,_calc!$E$181))&amp;". ")&amp;IF(LEN(IF(LEN(INDEX('Our policies'!$D$4:$D$503,_calc!$E$181))=0,"",INDEX('Our policies'!$D$4:$D$503,_calc!$E$181)))=0,"","Broker: "&amp;IF(LEN(INDEX('Our policies'!$D$4:$D$503,_calc!$E$181))=0,"",INDEX('Our policies'!$D$4:$D$503,_calc!$E$181))&amp;". ")&amp;IF(LEN(IF(LEN(INDEX('Our policies'!$E$4:$E$503,_calc!$E$181))=0,"",INDEX('Our policies'!$E$4:$E$503,_calc!$E$181)))=0,"","Policy no.: "&amp;IF(LEN(INDEX('Our policies'!$E$4:$E$503,_calc!$E$181))=0,"",INDEX('Our policies'!$E$4:$E$503,_calc!$E$181))&amp;". ")&amp;IF(LEN(IF(LEN(INDEX('Our policies'!$S$4:$S$503,_calc!$E$181))=0,"",INDEX('Our policies'!$S$4:$S$503,_calc!$E$181)))=0,"",IF(LEN(INDEX('Our policies'!$S$4:$S$503,_calc!$E$181))=0,"",INDEX('Our policies'!$S$4:$S$503,_calc!$E$181)))),TRIM(IF(LEN(IF(LEN(INDEX('Vendor COIs'!$C$4:$C$503,(_calc!$E$181-500)))=0,"",INDEX('Vendor COIs'!$C$4:$C$503,(_calc!$E$181-500))))=0,"","Insurer: "&amp;IF(LEN(INDEX('Vendor COIs'!$C$4:$C$503,(_calc!$E$181-500)))=0,"",INDEX('Vendor COIs'!$C$4:$C$503,(_calc!$E$181-500)))&amp;". ")&amp;IF(LEN(IF(LEN(INDEX('Vendor COIs'!$D$4:$D$503,(_calc!$E$181-500)))=0,"",INDEX('Vendor COIs'!$D$4:$D$503,(_calc!$E$181-500))))=0,"","Policy no.: "&amp;IF(LEN(INDEX('Vendor COIs'!$D$4:$D$503,(_calc!$E$181-500)))=0,"",INDEX('Vendor COIs'!$D$4:$D$503,(_calc!$E$181-500)))&amp;". ")&amp;IF(LEN(IF(LEN(INDEX('Vendor COIs'!$F$4:$F$503,(_calc!$E$181-500)))=0,"",INDEX('Vendor COIs'!$F$4:$F$503,(_calc!$E$181-500))))=0,"","Meets minimum: "&amp;IF(LEN(INDEX('Vendor COIs'!$F$4:$F$503,(_calc!$E$181-500)))=0,"",INDEX('Vendor COIs'!$F$4:$F$503,(_calc!$E$181-500)))&amp;". ")&amp;IF(LEN(IF(LEN(INDEX('Vendor COIs'!$G$4:$G$503,(_calc!$E$181-500)))=0,"",INDEX('Vendor COIs'!$G$4:$G$503,(_calc!$E$181-500))))=0,"","Additional insured: "&amp;IF(LEN(INDEX('Vendor COIs'!$G$4:$G$503,(_calc!$E$181-500)))=0,"",INDEX('Vendor COIs'!$G$4:$G$503,(_calc!$E$181-500)))&amp;". ")&amp;IF(LEN(IF(LEN(INDEX('Vendor COIs'!$M$4:$M$503,(_calc!$E$181-500)))=0,"",INDEX('Vendor COIs'!$M$4:$M$503,(_calc!$E$181-500))))=0,"","Vendor contact: "&amp;IF(LEN(INDEX('Vendor COIs'!$M$4:$M$503,(_calc!$E$181-500)))=0,"",INDEX('Vendor COIs'!$M$4:$M$503,(_calc!$E$181-500)))&amp;". ")&amp;IF(LEN(IF(LEN(INDEX('Vendor COIs'!$P$4:$P$503,(_calc!$E$181-500)))=0,"",INDEX('Vendor COIs'!$P$4:$P$503,(_calc!$E$181-500))))=0,"",IF(LEN(INDEX('Vendor COIs'!$P$4:$P$503,(_calc!$E$181-500)))=0,"",INDEX('Vendor COIs'!$P$4:$P$503,(_calc!$E$181-500)))))))</f>
        <v/>
      </c>
      <c r="G179" s="46">
        <f>IF(_calc!$E$181="","",IF(_calc!$E$181&lt;=500,IF(LEN(INDEX('Our policies'!$R$4:$R$503,_calc!$E$181))=0,"",INDEX('Our policies'!$R$4:$R$503,_calc!$E$181)),IF(LEN(INDEX('Vendor COIs'!$O$4:$O$503,(_calc!$E$181-500)))=0,"",INDEX('Vendor COIs'!$O$4:$O$503,(_calc!$E$181-500)))))</f>
        <v/>
      </c>
      <c r="H179" s="46">
        <f>IF(_calc!$E$181="","",IF(_calc!$E$181&lt;=500,IF(LEN(INDEX('Our policies'!$G$4:$G$503,_calc!$E$181))=0,"",INDEX('Our policies'!$G$4:$G$503,_calc!$E$181)),""))</f>
        <v/>
      </c>
      <c r="I179" s="46">
        <f>IF(_calc!$E$181="","",IF(_calc!$E$181&lt;=500,IF(LEN(INDEX('Our policies'!$H$4:$H$503,_calc!$E$181))=0,"",INDEX('Our policies'!$H$4:$H$503,_calc!$E$181)),""))</f>
        <v/>
      </c>
      <c r="K179" s="46">
        <f>IF(_calc!$E$181="","",IF(_calc!$E$181&lt;=500,IF(LEN(INDEX('Our policies'!$P$4:$P$503,_calc!$E$181))=0,"",INDEX('Our policies'!$P$4:$P$503,_calc!$E$181)),IF(LEN(INDEX('Vendor COIs'!$N$4:$N$503,(_calc!$E$181-500)))=0,"",INDEX('Vendor COIs'!$N$4:$N$503,(_calc!$E$181-500)))))</f>
        <v/>
      </c>
    </row>
    <row r="180">
      <c r="A180" s="46">
        <f>IF(_calc!$E$182="","",IF(_calc!$E$182&lt;=500,IF(LEN(INDEX('Our policies'!$A$4:$A$503,_calc!$E$182))=0,"",INDEX('Our policies'!$A$4:$A$503,_calc!$E$182)),"COI – "&amp;IF(LEN(INDEX('Vendor COIs'!$A$4:$A$503,(_calc!$E$182-500)))=0,"",INDEX('Vendor COIs'!$A$4:$A$503,(_calc!$E$182-500)))&amp;" – "&amp;IF(LEN(INDEX('Vendor COIs'!$B$4:$B$503,(_calc!$E$182-500)))=0,"",INDEX('Vendor COIs'!$B$4:$B$503,(_calc!$E$182-500)))))</f>
        <v/>
      </c>
      <c r="B180" s="46">
        <f>IF(_calc!$E$182="","",IF(_calc!$E$182&lt;=500,IF(ISNUMBER(INDEX('Our policies'!$J$4:$J$503,_calc!$E$182)),TEXT(INDEX('Our policies'!$J$4:$J$503,_calc!$E$182),"yyyy-mm-dd"),""),IF(ISNUMBER(INDEX('Vendor COIs'!$H$4:$H$503,(_calc!$E$182-500))),TEXT(INDEX('Vendor COIs'!$H$4:$H$503,(_calc!$E$182-500)),"yyyy-mm-dd"),"")))</f>
        <v/>
      </c>
      <c r="C180" s="46">
        <f>IF(_calc!$E$182="","",IF(_calc!$E$182&lt;=500,"Insurance","Certificate of insurance"))</f>
        <v/>
      </c>
      <c r="D180" s="46">
        <f>IF(_calc!$E$182="","",IF(_calc!$E$182&lt;=500,IF(ISNUMBER(INDEX('Our policies'!$I$4:$I$503,_calc!$E$182)),TEXT(INDEX('Our policies'!$I$4:$I$503,_calc!$E$182),"yyyy-mm-dd"),""),""))</f>
        <v/>
      </c>
      <c r="E180" s="46">
        <f>IF(_calc!$E$182="","",IF(_calc!$E$182&lt;=500,IF(LEN(INDEX('Our policies'!$Q$4:$Q$503,_calc!$E$182))=0,"",INDEX('Our policies'!$Q$4:$Q$503,_calc!$E$182)),"Medium"))</f>
        <v/>
      </c>
      <c r="F180" s="46">
        <f>IF(_calc!$E$182="","",IF(_calc!$E$182&lt;=500,TRIM(IF(LEN(IF(LEN(INDEX('Our policies'!$B$4:$B$503,_calc!$E$182))=0,"",INDEX('Our policies'!$B$4:$B$503,_calc!$E$182)))=0,"","Cover: "&amp;IF(LEN(INDEX('Our policies'!$B$4:$B$503,_calc!$E$182))=0,"",INDEX('Our policies'!$B$4:$B$503,_calc!$E$182))&amp;". ")&amp;IF(LEN(IF(LEN(INDEX('Our policies'!$C$4:$C$503,_calc!$E$182))=0,"",INDEX('Our policies'!$C$4:$C$503,_calc!$E$182)))=0,"","Insurer: "&amp;IF(LEN(INDEX('Our policies'!$C$4:$C$503,_calc!$E$182))=0,"",INDEX('Our policies'!$C$4:$C$503,_calc!$E$182))&amp;". ")&amp;IF(LEN(IF(LEN(INDEX('Our policies'!$D$4:$D$503,_calc!$E$182))=0,"",INDEX('Our policies'!$D$4:$D$503,_calc!$E$182)))=0,"","Broker: "&amp;IF(LEN(INDEX('Our policies'!$D$4:$D$503,_calc!$E$182))=0,"",INDEX('Our policies'!$D$4:$D$503,_calc!$E$182))&amp;". ")&amp;IF(LEN(IF(LEN(INDEX('Our policies'!$E$4:$E$503,_calc!$E$182))=0,"",INDEX('Our policies'!$E$4:$E$503,_calc!$E$182)))=0,"","Policy no.: "&amp;IF(LEN(INDEX('Our policies'!$E$4:$E$503,_calc!$E$182))=0,"",INDEX('Our policies'!$E$4:$E$503,_calc!$E$182))&amp;". ")&amp;IF(LEN(IF(LEN(INDEX('Our policies'!$S$4:$S$503,_calc!$E$182))=0,"",INDEX('Our policies'!$S$4:$S$503,_calc!$E$182)))=0,"",IF(LEN(INDEX('Our policies'!$S$4:$S$503,_calc!$E$182))=0,"",INDEX('Our policies'!$S$4:$S$503,_calc!$E$182)))),TRIM(IF(LEN(IF(LEN(INDEX('Vendor COIs'!$C$4:$C$503,(_calc!$E$182-500)))=0,"",INDEX('Vendor COIs'!$C$4:$C$503,(_calc!$E$182-500))))=0,"","Insurer: "&amp;IF(LEN(INDEX('Vendor COIs'!$C$4:$C$503,(_calc!$E$182-500)))=0,"",INDEX('Vendor COIs'!$C$4:$C$503,(_calc!$E$182-500)))&amp;". ")&amp;IF(LEN(IF(LEN(INDEX('Vendor COIs'!$D$4:$D$503,(_calc!$E$182-500)))=0,"",INDEX('Vendor COIs'!$D$4:$D$503,(_calc!$E$182-500))))=0,"","Policy no.: "&amp;IF(LEN(INDEX('Vendor COIs'!$D$4:$D$503,(_calc!$E$182-500)))=0,"",INDEX('Vendor COIs'!$D$4:$D$503,(_calc!$E$182-500)))&amp;". ")&amp;IF(LEN(IF(LEN(INDEX('Vendor COIs'!$F$4:$F$503,(_calc!$E$182-500)))=0,"",INDEX('Vendor COIs'!$F$4:$F$503,(_calc!$E$182-500))))=0,"","Meets minimum: "&amp;IF(LEN(INDEX('Vendor COIs'!$F$4:$F$503,(_calc!$E$182-500)))=0,"",INDEX('Vendor COIs'!$F$4:$F$503,(_calc!$E$182-500)))&amp;". ")&amp;IF(LEN(IF(LEN(INDEX('Vendor COIs'!$G$4:$G$503,(_calc!$E$182-500)))=0,"",INDEX('Vendor COIs'!$G$4:$G$503,(_calc!$E$182-500))))=0,"","Additional insured: "&amp;IF(LEN(INDEX('Vendor COIs'!$G$4:$G$503,(_calc!$E$182-500)))=0,"",INDEX('Vendor COIs'!$G$4:$G$503,(_calc!$E$182-500)))&amp;". ")&amp;IF(LEN(IF(LEN(INDEX('Vendor COIs'!$M$4:$M$503,(_calc!$E$182-500)))=0,"",INDEX('Vendor COIs'!$M$4:$M$503,(_calc!$E$182-500))))=0,"","Vendor contact: "&amp;IF(LEN(INDEX('Vendor COIs'!$M$4:$M$503,(_calc!$E$182-500)))=0,"",INDEX('Vendor COIs'!$M$4:$M$503,(_calc!$E$182-500)))&amp;". ")&amp;IF(LEN(IF(LEN(INDEX('Vendor COIs'!$P$4:$P$503,(_calc!$E$182-500)))=0,"",INDEX('Vendor COIs'!$P$4:$P$503,(_calc!$E$182-500))))=0,"",IF(LEN(INDEX('Vendor COIs'!$P$4:$P$503,(_calc!$E$182-500)))=0,"",INDEX('Vendor COIs'!$P$4:$P$503,(_calc!$E$182-500)))))))</f>
        <v/>
      </c>
      <c r="G180" s="46">
        <f>IF(_calc!$E$182="","",IF(_calc!$E$182&lt;=500,IF(LEN(INDEX('Our policies'!$R$4:$R$503,_calc!$E$182))=0,"",INDEX('Our policies'!$R$4:$R$503,_calc!$E$182)),IF(LEN(INDEX('Vendor COIs'!$O$4:$O$503,(_calc!$E$182-500)))=0,"",INDEX('Vendor COIs'!$O$4:$O$503,(_calc!$E$182-500)))))</f>
        <v/>
      </c>
      <c r="H180" s="46">
        <f>IF(_calc!$E$182="","",IF(_calc!$E$182&lt;=500,IF(LEN(INDEX('Our policies'!$G$4:$G$503,_calc!$E$182))=0,"",INDEX('Our policies'!$G$4:$G$503,_calc!$E$182)),""))</f>
        <v/>
      </c>
      <c r="I180" s="46">
        <f>IF(_calc!$E$182="","",IF(_calc!$E$182&lt;=500,IF(LEN(INDEX('Our policies'!$H$4:$H$503,_calc!$E$182))=0,"",INDEX('Our policies'!$H$4:$H$503,_calc!$E$182)),""))</f>
        <v/>
      </c>
      <c r="K180" s="46">
        <f>IF(_calc!$E$182="","",IF(_calc!$E$182&lt;=500,IF(LEN(INDEX('Our policies'!$P$4:$P$503,_calc!$E$182))=0,"",INDEX('Our policies'!$P$4:$P$503,_calc!$E$182)),IF(LEN(INDEX('Vendor COIs'!$N$4:$N$503,(_calc!$E$182-500)))=0,"",INDEX('Vendor COIs'!$N$4:$N$503,(_calc!$E$182-500)))))</f>
        <v/>
      </c>
    </row>
    <row r="181">
      <c r="A181" s="46">
        <f>IF(_calc!$E$183="","",IF(_calc!$E$183&lt;=500,IF(LEN(INDEX('Our policies'!$A$4:$A$503,_calc!$E$183))=0,"",INDEX('Our policies'!$A$4:$A$503,_calc!$E$183)),"COI – "&amp;IF(LEN(INDEX('Vendor COIs'!$A$4:$A$503,(_calc!$E$183-500)))=0,"",INDEX('Vendor COIs'!$A$4:$A$503,(_calc!$E$183-500)))&amp;" – "&amp;IF(LEN(INDEX('Vendor COIs'!$B$4:$B$503,(_calc!$E$183-500)))=0,"",INDEX('Vendor COIs'!$B$4:$B$503,(_calc!$E$183-500)))))</f>
        <v/>
      </c>
      <c r="B181" s="46">
        <f>IF(_calc!$E$183="","",IF(_calc!$E$183&lt;=500,IF(ISNUMBER(INDEX('Our policies'!$J$4:$J$503,_calc!$E$183)),TEXT(INDEX('Our policies'!$J$4:$J$503,_calc!$E$183),"yyyy-mm-dd"),""),IF(ISNUMBER(INDEX('Vendor COIs'!$H$4:$H$503,(_calc!$E$183-500))),TEXT(INDEX('Vendor COIs'!$H$4:$H$503,(_calc!$E$183-500)),"yyyy-mm-dd"),"")))</f>
        <v/>
      </c>
      <c r="C181" s="46">
        <f>IF(_calc!$E$183="","",IF(_calc!$E$183&lt;=500,"Insurance","Certificate of insurance"))</f>
        <v/>
      </c>
      <c r="D181" s="46">
        <f>IF(_calc!$E$183="","",IF(_calc!$E$183&lt;=500,IF(ISNUMBER(INDEX('Our policies'!$I$4:$I$503,_calc!$E$183)),TEXT(INDEX('Our policies'!$I$4:$I$503,_calc!$E$183),"yyyy-mm-dd"),""),""))</f>
        <v/>
      </c>
      <c r="E181" s="46">
        <f>IF(_calc!$E$183="","",IF(_calc!$E$183&lt;=500,IF(LEN(INDEX('Our policies'!$Q$4:$Q$503,_calc!$E$183))=0,"",INDEX('Our policies'!$Q$4:$Q$503,_calc!$E$183)),"Medium"))</f>
        <v/>
      </c>
      <c r="F181" s="46">
        <f>IF(_calc!$E$183="","",IF(_calc!$E$183&lt;=500,TRIM(IF(LEN(IF(LEN(INDEX('Our policies'!$B$4:$B$503,_calc!$E$183))=0,"",INDEX('Our policies'!$B$4:$B$503,_calc!$E$183)))=0,"","Cover: "&amp;IF(LEN(INDEX('Our policies'!$B$4:$B$503,_calc!$E$183))=0,"",INDEX('Our policies'!$B$4:$B$503,_calc!$E$183))&amp;". ")&amp;IF(LEN(IF(LEN(INDEX('Our policies'!$C$4:$C$503,_calc!$E$183))=0,"",INDEX('Our policies'!$C$4:$C$503,_calc!$E$183)))=0,"","Insurer: "&amp;IF(LEN(INDEX('Our policies'!$C$4:$C$503,_calc!$E$183))=0,"",INDEX('Our policies'!$C$4:$C$503,_calc!$E$183))&amp;". ")&amp;IF(LEN(IF(LEN(INDEX('Our policies'!$D$4:$D$503,_calc!$E$183))=0,"",INDEX('Our policies'!$D$4:$D$503,_calc!$E$183)))=0,"","Broker: "&amp;IF(LEN(INDEX('Our policies'!$D$4:$D$503,_calc!$E$183))=0,"",INDEX('Our policies'!$D$4:$D$503,_calc!$E$183))&amp;". ")&amp;IF(LEN(IF(LEN(INDEX('Our policies'!$E$4:$E$503,_calc!$E$183))=0,"",INDEX('Our policies'!$E$4:$E$503,_calc!$E$183)))=0,"","Policy no.: "&amp;IF(LEN(INDEX('Our policies'!$E$4:$E$503,_calc!$E$183))=0,"",INDEX('Our policies'!$E$4:$E$503,_calc!$E$183))&amp;". ")&amp;IF(LEN(IF(LEN(INDEX('Our policies'!$S$4:$S$503,_calc!$E$183))=0,"",INDEX('Our policies'!$S$4:$S$503,_calc!$E$183)))=0,"",IF(LEN(INDEX('Our policies'!$S$4:$S$503,_calc!$E$183))=0,"",INDEX('Our policies'!$S$4:$S$503,_calc!$E$183)))),TRIM(IF(LEN(IF(LEN(INDEX('Vendor COIs'!$C$4:$C$503,(_calc!$E$183-500)))=0,"",INDEX('Vendor COIs'!$C$4:$C$503,(_calc!$E$183-500))))=0,"","Insurer: "&amp;IF(LEN(INDEX('Vendor COIs'!$C$4:$C$503,(_calc!$E$183-500)))=0,"",INDEX('Vendor COIs'!$C$4:$C$503,(_calc!$E$183-500)))&amp;". ")&amp;IF(LEN(IF(LEN(INDEX('Vendor COIs'!$D$4:$D$503,(_calc!$E$183-500)))=0,"",INDEX('Vendor COIs'!$D$4:$D$503,(_calc!$E$183-500))))=0,"","Policy no.: "&amp;IF(LEN(INDEX('Vendor COIs'!$D$4:$D$503,(_calc!$E$183-500)))=0,"",INDEX('Vendor COIs'!$D$4:$D$503,(_calc!$E$183-500)))&amp;". ")&amp;IF(LEN(IF(LEN(INDEX('Vendor COIs'!$F$4:$F$503,(_calc!$E$183-500)))=0,"",INDEX('Vendor COIs'!$F$4:$F$503,(_calc!$E$183-500))))=0,"","Meets minimum: "&amp;IF(LEN(INDEX('Vendor COIs'!$F$4:$F$503,(_calc!$E$183-500)))=0,"",INDEX('Vendor COIs'!$F$4:$F$503,(_calc!$E$183-500)))&amp;". ")&amp;IF(LEN(IF(LEN(INDEX('Vendor COIs'!$G$4:$G$503,(_calc!$E$183-500)))=0,"",INDEX('Vendor COIs'!$G$4:$G$503,(_calc!$E$183-500))))=0,"","Additional insured: "&amp;IF(LEN(INDEX('Vendor COIs'!$G$4:$G$503,(_calc!$E$183-500)))=0,"",INDEX('Vendor COIs'!$G$4:$G$503,(_calc!$E$183-500)))&amp;". ")&amp;IF(LEN(IF(LEN(INDEX('Vendor COIs'!$M$4:$M$503,(_calc!$E$183-500)))=0,"",INDEX('Vendor COIs'!$M$4:$M$503,(_calc!$E$183-500))))=0,"","Vendor contact: "&amp;IF(LEN(INDEX('Vendor COIs'!$M$4:$M$503,(_calc!$E$183-500)))=0,"",INDEX('Vendor COIs'!$M$4:$M$503,(_calc!$E$183-500)))&amp;". ")&amp;IF(LEN(IF(LEN(INDEX('Vendor COIs'!$P$4:$P$503,(_calc!$E$183-500)))=0,"",INDEX('Vendor COIs'!$P$4:$P$503,(_calc!$E$183-500))))=0,"",IF(LEN(INDEX('Vendor COIs'!$P$4:$P$503,(_calc!$E$183-500)))=0,"",INDEX('Vendor COIs'!$P$4:$P$503,(_calc!$E$183-500)))))))</f>
        <v/>
      </c>
      <c r="G181" s="46">
        <f>IF(_calc!$E$183="","",IF(_calc!$E$183&lt;=500,IF(LEN(INDEX('Our policies'!$R$4:$R$503,_calc!$E$183))=0,"",INDEX('Our policies'!$R$4:$R$503,_calc!$E$183)),IF(LEN(INDEX('Vendor COIs'!$O$4:$O$503,(_calc!$E$183-500)))=0,"",INDEX('Vendor COIs'!$O$4:$O$503,(_calc!$E$183-500)))))</f>
        <v/>
      </c>
      <c r="H181" s="46">
        <f>IF(_calc!$E$183="","",IF(_calc!$E$183&lt;=500,IF(LEN(INDEX('Our policies'!$G$4:$G$503,_calc!$E$183))=0,"",INDEX('Our policies'!$G$4:$G$503,_calc!$E$183)),""))</f>
        <v/>
      </c>
      <c r="I181" s="46">
        <f>IF(_calc!$E$183="","",IF(_calc!$E$183&lt;=500,IF(LEN(INDEX('Our policies'!$H$4:$H$503,_calc!$E$183))=0,"",INDEX('Our policies'!$H$4:$H$503,_calc!$E$183)),""))</f>
        <v/>
      </c>
      <c r="K181" s="46">
        <f>IF(_calc!$E$183="","",IF(_calc!$E$183&lt;=500,IF(LEN(INDEX('Our policies'!$P$4:$P$503,_calc!$E$183))=0,"",INDEX('Our policies'!$P$4:$P$503,_calc!$E$183)),IF(LEN(INDEX('Vendor COIs'!$N$4:$N$503,(_calc!$E$183-500)))=0,"",INDEX('Vendor COIs'!$N$4:$N$503,(_calc!$E$183-500)))))</f>
        <v/>
      </c>
    </row>
    <row r="182">
      <c r="A182" s="46">
        <f>IF(_calc!$E$184="","",IF(_calc!$E$184&lt;=500,IF(LEN(INDEX('Our policies'!$A$4:$A$503,_calc!$E$184))=0,"",INDEX('Our policies'!$A$4:$A$503,_calc!$E$184)),"COI – "&amp;IF(LEN(INDEX('Vendor COIs'!$A$4:$A$503,(_calc!$E$184-500)))=0,"",INDEX('Vendor COIs'!$A$4:$A$503,(_calc!$E$184-500)))&amp;" – "&amp;IF(LEN(INDEX('Vendor COIs'!$B$4:$B$503,(_calc!$E$184-500)))=0,"",INDEX('Vendor COIs'!$B$4:$B$503,(_calc!$E$184-500)))))</f>
        <v/>
      </c>
      <c r="B182" s="46">
        <f>IF(_calc!$E$184="","",IF(_calc!$E$184&lt;=500,IF(ISNUMBER(INDEX('Our policies'!$J$4:$J$503,_calc!$E$184)),TEXT(INDEX('Our policies'!$J$4:$J$503,_calc!$E$184),"yyyy-mm-dd"),""),IF(ISNUMBER(INDEX('Vendor COIs'!$H$4:$H$503,(_calc!$E$184-500))),TEXT(INDEX('Vendor COIs'!$H$4:$H$503,(_calc!$E$184-500)),"yyyy-mm-dd"),"")))</f>
        <v/>
      </c>
      <c r="C182" s="46">
        <f>IF(_calc!$E$184="","",IF(_calc!$E$184&lt;=500,"Insurance","Certificate of insurance"))</f>
        <v/>
      </c>
      <c r="D182" s="46">
        <f>IF(_calc!$E$184="","",IF(_calc!$E$184&lt;=500,IF(ISNUMBER(INDEX('Our policies'!$I$4:$I$503,_calc!$E$184)),TEXT(INDEX('Our policies'!$I$4:$I$503,_calc!$E$184),"yyyy-mm-dd"),""),""))</f>
        <v/>
      </c>
      <c r="E182" s="46">
        <f>IF(_calc!$E$184="","",IF(_calc!$E$184&lt;=500,IF(LEN(INDEX('Our policies'!$Q$4:$Q$503,_calc!$E$184))=0,"",INDEX('Our policies'!$Q$4:$Q$503,_calc!$E$184)),"Medium"))</f>
        <v/>
      </c>
      <c r="F182" s="46">
        <f>IF(_calc!$E$184="","",IF(_calc!$E$184&lt;=500,TRIM(IF(LEN(IF(LEN(INDEX('Our policies'!$B$4:$B$503,_calc!$E$184))=0,"",INDEX('Our policies'!$B$4:$B$503,_calc!$E$184)))=0,"","Cover: "&amp;IF(LEN(INDEX('Our policies'!$B$4:$B$503,_calc!$E$184))=0,"",INDEX('Our policies'!$B$4:$B$503,_calc!$E$184))&amp;". ")&amp;IF(LEN(IF(LEN(INDEX('Our policies'!$C$4:$C$503,_calc!$E$184))=0,"",INDEX('Our policies'!$C$4:$C$503,_calc!$E$184)))=0,"","Insurer: "&amp;IF(LEN(INDEX('Our policies'!$C$4:$C$503,_calc!$E$184))=0,"",INDEX('Our policies'!$C$4:$C$503,_calc!$E$184))&amp;". ")&amp;IF(LEN(IF(LEN(INDEX('Our policies'!$D$4:$D$503,_calc!$E$184))=0,"",INDEX('Our policies'!$D$4:$D$503,_calc!$E$184)))=0,"","Broker: "&amp;IF(LEN(INDEX('Our policies'!$D$4:$D$503,_calc!$E$184))=0,"",INDEX('Our policies'!$D$4:$D$503,_calc!$E$184))&amp;". ")&amp;IF(LEN(IF(LEN(INDEX('Our policies'!$E$4:$E$503,_calc!$E$184))=0,"",INDEX('Our policies'!$E$4:$E$503,_calc!$E$184)))=0,"","Policy no.: "&amp;IF(LEN(INDEX('Our policies'!$E$4:$E$503,_calc!$E$184))=0,"",INDEX('Our policies'!$E$4:$E$503,_calc!$E$184))&amp;". ")&amp;IF(LEN(IF(LEN(INDEX('Our policies'!$S$4:$S$503,_calc!$E$184))=0,"",INDEX('Our policies'!$S$4:$S$503,_calc!$E$184)))=0,"",IF(LEN(INDEX('Our policies'!$S$4:$S$503,_calc!$E$184))=0,"",INDEX('Our policies'!$S$4:$S$503,_calc!$E$184)))),TRIM(IF(LEN(IF(LEN(INDEX('Vendor COIs'!$C$4:$C$503,(_calc!$E$184-500)))=0,"",INDEX('Vendor COIs'!$C$4:$C$503,(_calc!$E$184-500))))=0,"","Insurer: "&amp;IF(LEN(INDEX('Vendor COIs'!$C$4:$C$503,(_calc!$E$184-500)))=0,"",INDEX('Vendor COIs'!$C$4:$C$503,(_calc!$E$184-500)))&amp;". ")&amp;IF(LEN(IF(LEN(INDEX('Vendor COIs'!$D$4:$D$503,(_calc!$E$184-500)))=0,"",INDEX('Vendor COIs'!$D$4:$D$503,(_calc!$E$184-500))))=0,"","Policy no.: "&amp;IF(LEN(INDEX('Vendor COIs'!$D$4:$D$503,(_calc!$E$184-500)))=0,"",INDEX('Vendor COIs'!$D$4:$D$503,(_calc!$E$184-500)))&amp;". ")&amp;IF(LEN(IF(LEN(INDEX('Vendor COIs'!$F$4:$F$503,(_calc!$E$184-500)))=0,"",INDEX('Vendor COIs'!$F$4:$F$503,(_calc!$E$184-500))))=0,"","Meets minimum: "&amp;IF(LEN(INDEX('Vendor COIs'!$F$4:$F$503,(_calc!$E$184-500)))=0,"",INDEX('Vendor COIs'!$F$4:$F$503,(_calc!$E$184-500)))&amp;". ")&amp;IF(LEN(IF(LEN(INDEX('Vendor COIs'!$G$4:$G$503,(_calc!$E$184-500)))=0,"",INDEX('Vendor COIs'!$G$4:$G$503,(_calc!$E$184-500))))=0,"","Additional insured: "&amp;IF(LEN(INDEX('Vendor COIs'!$G$4:$G$503,(_calc!$E$184-500)))=0,"",INDEX('Vendor COIs'!$G$4:$G$503,(_calc!$E$184-500)))&amp;". ")&amp;IF(LEN(IF(LEN(INDEX('Vendor COIs'!$M$4:$M$503,(_calc!$E$184-500)))=0,"",INDEX('Vendor COIs'!$M$4:$M$503,(_calc!$E$184-500))))=0,"","Vendor contact: "&amp;IF(LEN(INDEX('Vendor COIs'!$M$4:$M$503,(_calc!$E$184-500)))=0,"",INDEX('Vendor COIs'!$M$4:$M$503,(_calc!$E$184-500)))&amp;". ")&amp;IF(LEN(IF(LEN(INDEX('Vendor COIs'!$P$4:$P$503,(_calc!$E$184-500)))=0,"",INDEX('Vendor COIs'!$P$4:$P$503,(_calc!$E$184-500))))=0,"",IF(LEN(INDEX('Vendor COIs'!$P$4:$P$503,(_calc!$E$184-500)))=0,"",INDEX('Vendor COIs'!$P$4:$P$503,(_calc!$E$184-500)))))))</f>
        <v/>
      </c>
      <c r="G182" s="46">
        <f>IF(_calc!$E$184="","",IF(_calc!$E$184&lt;=500,IF(LEN(INDEX('Our policies'!$R$4:$R$503,_calc!$E$184))=0,"",INDEX('Our policies'!$R$4:$R$503,_calc!$E$184)),IF(LEN(INDEX('Vendor COIs'!$O$4:$O$503,(_calc!$E$184-500)))=0,"",INDEX('Vendor COIs'!$O$4:$O$503,(_calc!$E$184-500)))))</f>
        <v/>
      </c>
      <c r="H182" s="46">
        <f>IF(_calc!$E$184="","",IF(_calc!$E$184&lt;=500,IF(LEN(INDEX('Our policies'!$G$4:$G$503,_calc!$E$184))=0,"",INDEX('Our policies'!$G$4:$G$503,_calc!$E$184)),""))</f>
        <v/>
      </c>
      <c r="I182" s="46">
        <f>IF(_calc!$E$184="","",IF(_calc!$E$184&lt;=500,IF(LEN(INDEX('Our policies'!$H$4:$H$503,_calc!$E$184))=0,"",INDEX('Our policies'!$H$4:$H$503,_calc!$E$184)),""))</f>
        <v/>
      </c>
      <c r="K182" s="46">
        <f>IF(_calc!$E$184="","",IF(_calc!$E$184&lt;=500,IF(LEN(INDEX('Our policies'!$P$4:$P$503,_calc!$E$184))=0,"",INDEX('Our policies'!$P$4:$P$503,_calc!$E$184)),IF(LEN(INDEX('Vendor COIs'!$N$4:$N$503,(_calc!$E$184-500)))=0,"",INDEX('Vendor COIs'!$N$4:$N$503,(_calc!$E$184-500)))))</f>
        <v/>
      </c>
    </row>
    <row r="183">
      <c r="A183" s="46">
        <f>IF(_calc!$E$185="","",IF(_calc!$E$185&lt;=500,IF(LEN(INDEX('Our policies'!$A$4:$A$503,_calc!$E$185))=0,"",INDEX('Our policies'!$A$4:$A$503,_calc!$E$185)),"COI – "&amp;IF(LEN(INDEX('Vendor COIs'!$A$4:$A$503,(_calc!$E$185-500)))=0,"",INDEX('Vendor COIs'!$A$4:$A$503,(_calc!$E$185-500)))&amp;" – "&amp;IF(LEN(INDEX('Vendor COIs'!$B$4:$B$503,(_calc!$E$185-500)))=0,"",INDEX('Vendor COIs'!$B$4:$B$503,(_calc!$E$185-500)))))</f>
        <v/>
      </c>
      <c r="B183" s="46">
        <f>IF(_calc!$E$185="","",IF(_calc!$E$185&lt;=500,IF(ISNUMBER(INDEX('Our policies'!$J$4:$J$503,_calc!$E$185)),TEXT(INDEX('Our policies'!$J$4:$J$503,_calc!$E$185),"yyyy-mm-dd"),""),IF(ISNUMBER(INDEX('Vendor COIs'!$H$4:$H$503,(_calc!$E$185-500))),TEXT(INDEX('Vendor COIs'!$H$4:$H$503,(_calc!$E$185-500)),"yyyy-mm-dd"),"")))</f>
        <v/>
      </c>
      <c r="C183" s="46">
        <f>IF(_calc!$E$185="","",IF(_calc!$E$185&lt;=500,"Insurance","Certificate of insurance"))</f>
        <v/>
      </c>
      <c r="D183" s="46">
        <f>IF(_calc!$E$185="","",IF(_calc!$E$185&lt;=500,IF(ISNUMBER(INDEX('Our policies'!$I$4:$I$503,_calc!$E$185)),TEXT(INDEX('Our policies'!$I$4:$I$503,_calc!$E$185),"yyyy-mm-dd"),""),""))</f>
        <v/>
      </c>
      <c r="E183" s="46">
        <f>IF(_calc!$E$185="","",IF(_calc!$E$185&lt;=500,IF(LEN(INDEX('Our policies'!$Q$4:$Q$503,_calc!$E$185))=0,"",INDEX('Our policies'!$Q$4:$Q$503,_calc!$E$185)),"Medium"))</f>
        <v/>
      </c>
      <c r="F183" s="46">
        <f>IF(_calc!$E$185="","",IF(_calc!$E$185&lt;=500,TRIM(IF(LEN(IF(LEN(INDEX('Our policies'!$B$4:$B$503,_calc!$E$185))=0,"",INDEX('Our policies'!$B$4:$B$503,_calc!$E$185)))=0,"","Cover: "&amp;IF(LEN(INDEX('Our policies'!$B$4:$B$503,_calc!$E$185))=0,"",INDEX('Our policies'!$B$4:$B$503,_calc!$E$185))&amp;". ")&amp;IF(LEN(IF(LEN(INDEX('Our policies'!$C$4:$C$503,_calc!$E$185))=0,"",INDEX('Our policies'!$C$4:$C$503,_calc!$E$185)))=0,"","Insurer: "&amp;IF(LEN(INDEX('Our policies'!$C$4:$C$503,_calc!$E$185))=0,"",INDEX('Our policies'!$C$4:$C$503,_calc!$E$185))&amp;". ")&amp;IF(LEN(IF(LEN(INDEX('Our policies'!$D$4:$D$503,_calc!$E$185))=0,"",INDEX('Our policies'!$D$4:$D$503,_calc!$E$185)))=0,"","Broker: "&amp;IF(LEN(INDEX('Our policies'!$D$4:$D$503,_calc!$E$185))=0,"",INDEX('Our policies'!$D$4:$D$503,_calc!$E$185))&amp;". ")&amp;IF(LEN(IF(LEN(INDEX('Our policies'!$E$4:$E$503,_calc!$E$185))=0,"",INDEX('Our policies'!$E$4:$E$503,_calc!$E$185)))=0,"","Policy no.: "&amp;IF(LEN(INDEX('Our policies'!$E$4:$E$503,_calc!$E$185))=0,"",INDEX('Our policies'!$E$4:$E$503,_calc!$E$185))&amp;". ")&amp;IF(LEN(IF(LEN(INDEX('Our policies'!$S$4:$S$503,_calc!$E$185))=0,"",INDEX('Our policies'!$S$4:$S$503,_calc!$E$185)))=0,"",IF(LEN(INDEX('Our policies'!$S$4:$S$503,_calc!$E$185))=0,"",INDEX('Our policies'!$S$4:$S$503,_calc!$E$185)))),TRIM(IF(LEN(IF(LEN(INDEX('Vendor COIs'!$C$4:$C$503,(_calc!$E$185-500)))=0,"",INDEX('Vendor COIs'!$C$4:$C$503,(_calc!$E$185-500))))=0,"","Insurer: "&amp;IF(LEN(INDEX('Vendor COIs'!$C$4:$C$503,(_calc!$E$185-500)))=0,"",INDEX('Vendor COIs'!$C$4:$C$503,(_calc!$E$185-500)))&amp;". ")&amp;IF(LEN(IF(LEN(INDEX('Vendor COIs'!$D$4:$D$503,(_calc!$E$185-500)))=0,"",INDEX('Vendor COIs'!$D$4:$D$503,(_calc!$E$185-500))))=0,"","Policy no.: "&amp;IF(LEN(INDEX('Vendor COIs'!$D$4:$D$503,(_calc!$E$185-500)))=0,"",INDEX('Vendor COIs'!$D$4:$D$503,(_calc!$E$185-500)))&amp;". ")&amp;IF(LEN(IF(LEN(INDEX('Vendor COIs'!$F$4:$F$503,(_calc!$E$185-500)))=0,"",INDEX('Vendor COIs'!$F$4:$F$503,(_calc!$E$185-500))))=0,"","Meets minimum: "&amp;IF(LEN(INDEX('Vendor COIs'!$F$4:$F$503,(_calc!$E$185-500)))=0,"",INDEX('Vendor COIs'!$F$4:$F$503,(_calc!$E$185-500)))&amp;". ")&amp;IF(LEN(IF(LEN(INDEX('Vendor COIs'!$G$4:$G$503,(_calc!$E$185-500)))=0,"",INDEX('Vendor COIs'!$G$4:$G$503,(_calc!$E$185-500))))=0,"","Additional insured: "&amp;IF(LEN(INDEX('Vendor COIs'!$G$4:$G$503,(_calc!$E$185-500)))=0,"",INDEX('Vendor COIs'!$G$4:$G$503,(_calc!$E$185-500)))&amp;". ")&amp;IF(LEN(IF(LEN(INDEX('Vendor COIs'!$M$4:$M$503,(_calc!$E$185-500)))=0,"",INDEX('Vendor COIs'!$M$4:$M$503,(_calc!$E$185-500))))=0,"","Vendor contact: "&amp;IF(LEN(INDEX('Vendor COIs'!$M$4:$M$503,(_calc!$E$185-500)))=0,"",INDEX('Vendor COIs'!$M$4:$M$503,(_calc!$E$185-500)))&amp;". ")&amp;IF(LEN(IF(LEN(INDEX('Vendor COIs'!$P$4:$P$503,(_calc!$E$185-500)))=0,"",INDEX('Vendor COIs'!$P$4:$P$503,(_calc!$E$185-500))))=0,"",IF(LEN(INDEX('Vendor COIs'!$P$4:$P$503,(_calc!$E$185-500)))=0,"",INDEX('Vendor COIs'!$P$4:$P$503,(_calc!$E$185-500)))))))</f>
        <v/>
      </c>
      <c r="G183" s="46">
        <f>IF(_calc!$E$185="","",IF(_calc!$E$185&lt;=500,IF(LEN(INDEX('Our policies'!$R$4:$R$503,_calc!$E$185))=0,"",INDEX('Our policies'!$R$4:$R$503,_calc!$E$185)),IF(LEN(INDEX('Vendor COIs'!$O$4:$O$503,(_calc!$E$185-500)))=0,"",INDEX('Vendor COIs'!$O$4:$O$503,(_calc!$E$185-500)))))</f>
        <v/>
      </c>
      <c r="H183" s="46">
        <f>IF(_calc!$E$185="","",IF(_calc!$E$185&lt;=500,IF(LEN(INDEX('Our policies'!$G$4:$G$503,_calc!$E$185))=0,"",INDEX('Our policies'!$G$4:$G$503,_calc!$E$185)),""))</f>
        <v/>
      </c>
      <c r="I183" s="46">
        <f>IF(_calc!$E$185="","",IF(_calc!$E$185&lt;=500,IF(LEN(INDEX('Our policies'!$H$4:$H$503,_calc!$E$185))=0,"",INDEX('Our policies'!$H$4:$H$503,_calc!$E$185)),""))</f>
        <v/>
      </c>
      <c r="K183" s="46">
        <f>IF(_calc!$E$185="","",IF(_calc!$E$185&lt;=500,IF(LEN(INDEX('Our policies'!$P$4:$P$503,_calc!$E$185))=0,"",INDEX('Our policies'!$P$4:$P$503,_calc!$E$185)),IF(LEN(INDEX('Vendor COIs'!$N$4:$N$503,(_calc!$E$185-500)))=0,"",INDEX('Vendor COIs'!$N$4:$N$503,(_calc!$E$185-500)))))</f>
        <v/>
      </c>
    </row>
    <row r="184">
      <c r="A184" s="46">
        <f>IF(_calc!$E$186="","",IF(_calc!$E$186&lt;=500,IF(LEN(INDEX('Our policies'!$A$4:$A$503,_calc!$E$186))=0,"",INDEX('Our policies'!$A$4:$A$503,_calc!$E$186)),"COI – "&amp;IF(LEN(INDEX('Vendor COIs'!$A$4:$A$503,(_calc!$E$186-500)))=0,"",INDEX('Vendor COIs'!$A$4:$A$503,(_calc!$E$186-500)))&amp;" – "&amp;IF(LEN(INDEX('Vendor COIs'!$B$4:$B$503,(_calc!$E$186-500)))=0,"",INDEX('Vendor COIs'!$B$4:$B$503,(_calc!$E$186-500)))))</f>
        <v/>
      </c>
      <c r="B184" s="46">
        <f>IF(_calc!$E$186="","",IF(_calc!$E$186&lt;=500,IF(ISNUMBER(INDEX('Our policies'!$J$4:$J$503,_calc!$E$186)),TEXT(INDEX('Our policies'!$J$4:$J$503,_calc!$E$186),"yyyy-mm-dd"),""),IF(ISNUMBER(INDEX('Vendor COIs'!$H$4:$H$503,(_calc!$E$186-500))),TEXT(INDEX('Vendor COIs'!$H$4:$H$503,(_calc!$E$186-500)),"yyyy-mm-dd"),"")))</f>
        <v/>
      </c>
      <c r="C184" s="46">
        <f>IF(_calc!$E$186="","",IF(_calc!$E$186&lt;=500,"Insurance","Certificate of insurance"))</f>
        <v/>
      </c>
      <c r="D184" s="46">
        <f>IF(_calc!$E$186="","",IF(_calc!$E$186&lt;=500,IF(ISNUMBER(INDEX('Our policies'!$I$4:$I$503,_calc!$E$186)),TEXT(INDEX('Our policies'!$I$4:$I$503,_calc!$E$186),"yyyy-mm-dd"),""),""))</f>
        <v/>
      </c>
      <c r="E184" s="46">
        <f>IF(_calc!$E$186="","",IF(_calc!$E$186&lt;=500,IF(LEN(INDEX('Our policies'!$Q$4:$Q$503,_calc!$E$186))=0,"",INDEX('Our policies'!$Q$4:$Q$503,_calc!$E$186)),"Medium"))</f>
        <v/>
      </c>
      <c r="F184" s="46">
        <f>IF(_calc!$E$186="","",IF(_calc!$E$186&lt;=500,TRIM(IF(LEN(IF(LEN(INDEX('Our policies'!$B$4:$B$503,_calc!$E$186))=0,"",INDEX('Our policies'!$B$4:$B$503,_calc!$E$186)))=0,"","Cover: "&amp;IF(LEN(INDEX('Our policies'!$B$4:$B$503,_calc!$E$186))=0,"",INDEX('Our policies'!$B$4:$B$503,_calc!$E$186))&amp;". ")&amp;IF(LEN(IF(LEN(INDEX('Our policies'!$C$4:$C$503,_calc!$E$186))=0,"",INDEX('Our policies'!$C$4:$C$503,_calc!$E$186)))=0,"","Insurer: "&amp;IF(LEN(INDEX('Our policies'!$C$4:$C$503,_calc!$E$186))=0,"",INDEX('Our policies'!$C$4:$C$503,_calc!$E$186))&amp;". ")&amp;IF(LEN(IF(LEN(INDEX('Our policies'!$D$4:$D$503,_calc!$E$186))=0,"",INDEX('Our policies'!$D$4:$D$503,_calc!$E$186)))=0,"","Broker: "&amp;IF(LEN(INDEX('Our policies'!$D$4:$D$503,_calc!$E$186))=0,"",INDEX('Our policies'!$D$4:$D$503,_calc!$E$186))&amp;". ")&amp;IF(LEN(IF(LEN(INDEX('Our policies'!$E$4:$E$503,_calc!$E$186))=0,"",INDEX('Our policies'!$E$4:$E$503,_calc!$E$186)))=0,"","Policy no.: "&amp;IF(LEN(INDEX('Our policies'!$E$4:$E$503,_calc!$E$186))=0,"",INDEX('Our policies'!$E$4:$E$503,_calc!$E$186))&amp;". ")&amp;IF(LEN(IF(LEN(INDEX('Our policies'!$S$4:$S$503,_calc!$E$186))=0,"",INDEX('Our policies'!$S$4:$S$503,_calc!$E$186)))=0,"",IF(LEN(INDEX('Our policies'!$S$4:$S$503,_calc!$E$186))=0,"",INDEX('Our policies'!$S$4:$S$503,_calc!$E$186)))),TRIM(IF(LEN(IF(LEN(INDEX('Vendor COIs'!$C$4:$C$503,(_calc!$E$186-500)))=0,"",INDEX('Vendor COIs'!$C$4:$C$503,(_calc!$E$186-500))))=0,"","Insurer: "&amp;IF(LEN(INDEX('Vendor COIs'!$C$4:$C$503,(_calc!$E$186-500)))=0,"",INDEX('Vendor COIs'!$C$4:$C$503,(_calc!$E$186-500)))&amp;". ")&amp;IF(LEN(IF(LEN(INDEX('Vendor COIs'!$D$4:$D$503,(_calc!$E$186-500)))=0,"",INDEX('Vendor COIs'!$D$4:$D$503,(_calc!$E$186-500))))=0,"","Policy no.: "&amp;IF(LEN(INDEX('Vendor COIs'!$D$4:$D$503,(_calc!$E$186-500)))=0,"",INDEX('Vendor COIs'!$D$4:$D$503,(_calc!$E$186-500)))&amp;". ")&amp;IF(LEN(IF(LEN(INDEX('Vendor COIs'!$F$4:$F$503,(_calc!$E$186-500)))=0,"",INDEX('Vendor COIs'!$F$4:$F$503,(_calc!$E$186-500))))=0,"","Meets minimum: "&amp;IF(LEN(INDEX('Vendor COIs'!$F$4:$F$503,(_calc!$E$186-500)))=0,"",INDEX('Vendor COIs'!$F$4:$F$503,(_calc!$E$186-500)))&amp;". ")&amp;IF(LEN(IF(LEN(INDEX('Vendor COIs'!$G$4:$G$503,(_calc!$E$186-500)))=0,"",INDEX('Vendor COIs'!$G$4:$G$503,(_calc!$E$186-500))))=0,"","Additional insured: "&amp;IF(LEN(INDEX('Vendor COIs'!$G$4:$G$503,(_calc!$E$186-500)))=0,"",INDEX('Vendor COIs'!$G$4:$G$503,(_calc!$E$186-500)))&amp;". ")&amp;IF(LEN(IF(LEN(INDEX('Vendor COIs'!$M$4:$M$503,(_calc!$E$186-500)))=0,"",INDEX('Vendor COIs'!$M$4:$M$503,(_calc!$E$186-500))))=0,"","Vendor contact: "&amp;IF(LEN(INDEX('Vendor COIs'!$M$4:$M$503,(_calc!$E$186-500)))=0,"",INDEX('Vendor COIs'!$M$4:$M$503,(_calc!$E$186-500)))&amp;". ")&amp;IF(LEN(IF(LEN(INDEX('Vendor COIs'!$P$4:$P$503,(_calc!$E$186-500)))=0,"",INDEX('Vendor COIs'!$P$4:$P$503,(_calc!$E$186-500))))=0,"",IF(LEN(INDEX('Vendor COIs'!$P$4:$P$503,(_calc!$E$186-500)))=0,"",INDEX('Vendor COIs'!$P$4:$P$503,(_calc!$E$186-500)))))))</f>
        <v/>
      </c>
      <c r="G184" s="46">
        <f>IF(_calc!$E$186="","",IF(_calc!$E$186&lt;=500,IF(LEN(INDEX('Our policies'!$R$4:$R$503,_calc!$E$186))=0,"",INDEX('Our policies'!$R$4:$R$503,_calc!$E$186)),IF(LEN(INDEX('Vendor COIs'!$O$4:$O$503,(_calc!$E$186-500)))=0,"",INDEX('Vendor COIs'!$O$4:$O$503,(_calc!$E$186-500)))))</f>
        <v/>
      </c>
      <c r="H184" s="46">
        <f>IF(_calc!$E$186="","",IF(_calc!$E$186&lt;=500,IF(LEN(INDEX('Our policies'!$G$4:$G$503,_calc!$E$186))=0,"",INDEX('Our policies'!$G$4:$G$503,_calc!$E$186)),""))</f>
        <v/>
      </c>
      <c r="I184" s="46">
        <f>IF(_calc!$E$186="","",IF(_calc!$E$186&lt;=500,IF(LEN(INDEX('Our policies'!$H$4:$H$503,_calc!$E$186))=0,"",INDEX('Our policies'!$H$4:$H$503,_calc!$E$186)),""))</f>
        <v/>
      </c>
      <c r="K184" s="46">
        <f>IF(_calc!$E$186="","",IF(_calc!$E$186&lt;=500,IF(LEN(INDEX('Our policies'!$P$4:$P$503,_calc!$E$186))=0,"",INDEX('Our policies'!$P$4:$P$503,_calc!$E$186)),IF(LEN(INDEX('Vendor COIs'!$N$4:$N$503,(_calc!$E$186-500)))=0,"",INDEX('Vendor COIs'!$N$4:$N$503,(_calc!$E$186-500)))))</f>
        <v/>
      </c>
    </row>
    <row r="185">
      <c r="A185" s="46">
        <f>IF(_calc!$E$187="","",IF(_calc!$E$187&lt;=500,IF(LEN(INDEX('Our policies'!$A$4:$A$503,_calc!$E$187))=0,"",INDEX('Our policies'!$A$4:$A$503,_calc!$E$187)),"COI – "&amp;IF(LEN(INDEX('Vendor COIs'!$A$4:$A$503,(_calc!$E$187-500)))=0,"",INDEX('Vendor COIs'!$A$4:$A$503,(_calc!$E$187-500)))&amp;" – "&amp;IF(LEN(INDEX('Vendor COIs'!$B$4:$B$503,(_calc!$E$187-500)))=0,"",INDEX('Vendor COIs'!$B$4:$B$503,(_calc!$E$187-500)))))</f>
        <v/>
      </c>
      <c r="B185" s="46">
        <f>IF(_calc!$E$187="","",IF(_calc!$E$187&lt;=500,IF(ISNUMBER(INDEX('Our policies'!$J$4:$J$503,_calc!$E$187)),TEXT(INDEX('Our policies'!$J$4:$J$503,_calc!$E$187),"yyyy-mm-dd"),""),IF(ISNUMBER(INDEX('Vendor COIs'!$H$4:$H$503,(_calc!$E$187-500))),TEXT(INDEX('Vendor COIs'!$H$4:$H$503,(_calc!$E$187-500)),"yyyy-mm-dd"),"")))</f>
        <v/>
      </c>
      <c r="C185" s="46">
        <f>IF(_calc!$E$187="","",IF(_calc!$E$187&lt;=500,"Insurance","Certificate of insurance"))</f>
        <v/>
      </c>
      <c r="D185" s="46">
        <f>IF(_calc!$E$187="","",IF(_calc!$E$187&lt;=500,IF(ISNUMBER(INDEX('Our policies'!$I$4:$I$503,_calc!$E$187)),TEXT(INDEX('Our policies'!$I$4:$I$503,_calc!$E$187),"yyyy-mm-dd"),""),""))</f>
        <v/>
      </c>
      <c r="E185" s="46">
        <f>IF(_calc!$E$187="","",IF(_calc!$E$187&lt;=500,IF(LEN(INDEX('Our policies'!$Q$4:$Q$503,_calc!$E$187))=0,"",INDEX('Our policies'!$Q$4:$Q$503,_calc!$E$187)),"Medium"))</f>
        <v/>
      </c>
      <c r="F185" s="46">
        <f>IF(_calc!$E$187="","",IF(_calc!$E$187&lt;=500,TRIM(IF(LEN(IF(LEN(INDEX('Our policies'!$B$4:$B$503,_calc!$E$187))=0,"",INDEX('Our policies'!$B$4:$B$503,_calc!$E$187)))=0,"","Cover: "&amp;IF(LEN(INDEX('Our policies'!$B$4:$B$503,_calc!$E$187))=0,"",INDEX('Our policies'!$B$4:$B$503,_calc!$E$187))&amp;". ")&amp;IF(LEN(IF(LEN(INDEX('Our policies'!$C$4:$C$503,_calc!$E$187))=0,"",INDEX('Our policies'!$C$4:$C$503,_calc!$E$187)))=0,"","Insurer: "&amp;IF(LEN(INDEX('Our policies'!$C$4:$C$503,_calc!$E$187))=0,"",INDEX('Our policies'!$C$4:$C$503,_calc!$E$187))&amp;". ")&amp;IF(LEN(IF(LEN(INDEX('Our policies'!$D$4:$D$503,_calc!$E$187))=0,"",INDEX('Our policies'!$D$4:$D$503,_calc!$E$187)))=0,"","Broker: "&amp;IF(LEN(INDEX('Our policies'!$D$4:$D$503,_calc!$E$187))=0,"",INDEX('Our policies'!$D$4:$D$503,_calc!$E$187))&amp;". ")&amp;IF(LEN(IF(LEN(INDEX('Our policies'!$E$4:$E$503,_calc!$E$187))=0,"",INDEX('Our policies'!$E$4:$E$503,_calc!$E$187)))=0,"","Policy no.: "&amp;IF(LEN(INDEX('Our policies'!$E$4:$E$503,_calc!$E$187))=0,"",INDEX('Our policies'!$E$4:$E$503,_calc!$E$187))&amp;". ")&amp;IF(LEN(IF(LEN(INDEX('Our policies'!$S$4:$S$503,_calc!$E$187))=0,"",INDEX('Our policies'!$S$4:$S$503,_calc!$E$187)))=0,"",IF(LEN(INDEX('Our policies'!$S$4:$S$503,_calc!$E$187))=0,"",INDEX('Our policies'!$S$4:$S$503,_calc!$E$187)))),TRIM(IF(LEN(IF(LEN(INDEX('Vendor COIs'!$C$4:$C$503,(_calc!$E$187-500)))=0,"",INDEX('Vendor COIs'!$C$4:$C$503,(_calc!$E$187-500))))=0,"","Insurer: "&amp;IF(LEN(INDEX('Vendor COIs'!$C$4:$C$503,(_calc!$E$187-500)))=0,"",INDEX('Vendor COIs'!$C$4:$C$503,(_calc!$E$187-500)))&amp;". ")&amp;IF(LEN(IF(LEN(INDEX('Vendor COIs'!$D$4:$D$503,(_calc!$E$187-500)))=0,"",INDEX('Vendor COIs'!$D$4:$D$503,(_calc!$E$187-500))))=0,"","Policy no.: "&amp;IF(LEN(INDEX('Vendor COIs'!$D$4:$D$503,(_calc!$E$187-500)))=0,"",INDEX('Vendor COIs'!$D$4:$D$503,(_calc!$E$187-500)))&amp;". ")&amp;IF(LEN(IF(LEN(INDEX('Vendor COIs'!$F$4:$F$503,(_calc!$E$187-500)))=0,"",INDEX('Vendor COIs'!$F$4:$F$503,(_calc!$E$187-500))))=0,"","Meets minimum: "&amp;IF(LEN(INDEX('Vendor COIs'!$F$4:$F$503,(_calc!$E$187-500)))=0,"",INDEX('Vendor COIs'!$F$4:$F$503,(_calc!$E$187-500)))&amp;". ")&amp;IF(LEN(IF(LEN(INDEX('Vendor COIs'!$G$4:$G$503,(_calc!$E$187-500)))=0,"",INDEX('Vendor COIs'!$G$4:$G$503,(_calc!$E$187-500))))=0,"","Additional insured: "&amp;IF(LEN(INDEX('Vendor COIs'!$G$4:$G$503,(_calc!$E$187-500)))=0,"",INDEX('Vendor COIs'!$G$4:$G$503,(_calc!$E$187-500)))&amp;". ")&amp;IF(LEN(IF(LEN(INDEX('Vendor COIs'!$M$4:$M$503,(_calc!$E$187-500)))=0,"",INDEX('Vendor COIs'!$M$4:$M$503,(_calc!$E$187-500))))=0,"","Vendor contact: "&amp;IF(LEN(INDEX('Vendor COIs'!$M$4:$M$503,(_calc!$E$187-500)))=0,"",INDEX('Vendor COIs'!$M$4:$M$503,(_calc!$E$187-500)))&amp;". ")&amp;IF(LEN(IF(LEN(INDEX('Vendor COIs'!$P$4:$P$503,(_calc!$E$187-500)))=0,"",INDEX('Vendor COIs'!$P$4:$P$503,(_calc!$E$187-500))))=0,"",IF(LEN(INDEX('Vendor COIs'!$P$4:$P$503,(_calc!$E$187-500)))=0,"",INDEX('Vendor COIs'!$P$4:$P$503,(_calc!$E$187-500)))))))</f>
        <v/>
      </c>
      <c r="G185" s="46">
        <f>IF(_calc!$E$187="","",IF(_calc!$E$187&lt;=500,IF(LEN(INDEX('Our policies'!$R$4:$R$503,_calc!$E$187))=0,"",INDEX('Our policies'!$R$4:$R$503,_calc!$E$187)),IF(LEN(INDEX('Vendor COIs'!$O$4:$O$503,(_calc!$E$187-500)))=0,"",INDEX('Vendor COIs'!$O$4:$O$503,(_calc!$E$187-500)))))</f>
        <v/>
      </c>
      <c r="H185" s="46">
        <f>IF(_calc!$E$187="","",IF(_calc!$E$187&lt;=500,IF(LEN(INDEX('Our policies'!$G$4:$G$503,_calc!$E$187))=0,"",INDEX('Our policies'!$G$4:$G$503,_calc!$E$187)),""))</f>
        <v/>
      </c>
      <c r="I185" s="46">
        <f>IF(_calc!$E$187="","",IF(_calc!$E$187&lt;=500,IF(LEN(INDEX('Our policies'!$H$4:$H$503,_calc!$E$187))=0,"",INDEX('Our policies'!$H$4:$H$503,_calc!$E$187)),""))</f>
        <v/>
      </c>
      <c r="K185" s="46">
        <f>IF(_calc!$E$187="","",IF(_calc!$E$187&lt;=500,IF(LEN(INDEX('Our policies'!$P$4:$P$503,_calc!$E$187))=0,"",INDEX('Our policies'!$P$4:$P$503,_calc!$E$187)),IF(LEN(INDEX('Vendor COIs'!$N$4:$N$503,(_calc!$E$187-500)))=0,"",INDEX('Vendor COIs'!$N$4:$N$503,(_calc!$E$187-500)))))</f>
        <v/>
      </c>
    </row>
    <row r="186">
      <c r="A186" s="46">
        <f>IF(_calc!$E$188="","",IF(_calc!$E$188&lt;=500,IF(LEN(INDEX('Our policies'!$A$4:$A$503,_calc!$E$188))=0,"",INDEX('Our policies'!$A$4:$A$503,_calc!$E$188)),"COI – "&amp;IF(LEN(INDEX('Vendor COIs'!$A$4:$A$503,(_calc!$E$188-500)))=0,"",INDEX('Vendor COIs'!$A$4:$A$503,(_calc!$E$188-500)))&amp;" – "&amp;IF(LEN(INDEX('Vendor COIs'!$B$4:$B$503,(_calc!$E$188-500)))=0,"",INDEX('Vendor COIs'!$B$4:$B$503,(_calc!$E$188-500)))))</f>
        <v/>
      </c>
      <c r="B186" s="46">
        <f>IF(_calc!$E$188="","",IF(_calc!$E$188&lt;=500,IF(ISNUMBER(INDEX('Our policies'!$J$4:$J$503,_calc!$E$188)),TEXT(INDEX('Our policies'!$J$4:$J$503,_calc!$E$188),"yyyy-mm-dd"),""),IF(ISNUMBER(INDEX('Vendor COIs'!$H$4:$H$503,(_calc!$E$188-500))),TEXT(INDEX('Vendor COIs'!$H$4:$H$503,(_calc!$E$188-500)),"yyyy-mm-dd"),"")))</f>
        <v/>
      </c>
      <c r="C186" s="46">
        <f>IF(_calc!$E$188="","",IF(_calc!$E$188&lt;=500,"Insurance","Certificate of insurance"))</f>
        <v/>
      </c>
      <c r="D186" s="46">
        <f>IF(_calc!$E$188="","",IF(_calc!$E$188&lt;=500,IF(ISNUMBER(INDEX('Our policies'!$I$4:$I$503,_calc!$E$188)),TEXT(INDEX('Our policies'!$I$4:$I$503,_calc!$E$188),"yyyy-mm-dd"),""),""))</f>
        <v/>
      </c>
      <c r="E186" s="46">
        <f>IF(_calc!$E$188="","",IF(_calc!$E$188&lt;=500,IF(LEN(INDEX('Our policies'!$Q$4:$Q$503,_calc!$E$188))=0,"",INDEX('Our policies'!$Q$4:$Q$503,_calc!$E$188)),"Medium"))</f>
        <v/>
      </c>
      <c r="F186" s="46">
        <f>IF(_calc!$E$188="","",IF(_calc!$E$188&lt;=500,TRIM(IF(LEN(IF(LEN(INDEX('Our policies'!$B$4:$B$503,_calc!$E$188))=0,"",INDEX('Our policies'!$B$4:$B$503,_calc!$E$188)))=0,"","Cover: "&amp;IF(LEN(INDEX('Our policies'!$B$4:$B$503,_calc!$E$188))=0,"",INDEX('Our policies'!$B$4:$B$503,_calc!$E$188))&amp;". ")&amp;IF(LEN(IF(LEN(INDEX('Our policies'!$C$4:$C$503,_calc!$E$188))=0,"",INDEX('Our policies'!$C$4:$C$503,_calc!$E$188)))=0,"","Insurer: "&amp;IF(LEN(INDEX('Our policies'!$C$4:$C$503,_calc!$E$188))=0,"",INDEX('Our policies'!$C$4:$C$503,_calc!$E$188))&amp;". ")&amp;IF(LEN(IF(LEN(INDEX('Our policies'!$D$4:$D$503,_calc!$E$188))=0,"",INDEX('Our policies'!$D$4:$D$503,_calc!$E$188)))=0,"","Broker: "&amp;IF(LEN(INDEX('Our policies'!$D$4:$D$503,_calc!$E$188))=0,"",INDEX('Our policies'!$D$4:$D$503,_calc!$E$188))&amp;". ")&amp;IF(LEN(IF(LEN(INDEX('Our policies'!$E$4:$E$503,_calc!$E$188))=0,"",INDEX('Our policies'!$E$4:$E$503,_calc!$E$188)))=0,"","Policy no.: "&amp;IF(LEN(INDEX('Our policies'!$E$4:$E$503,_calc!$E$188))=0,"",INDEX('Our policies'!$E$4:$E$503,_calc!$E$188))&amp;". ")&amp;IF(LEN(IF(LEN(INDEX('Our policies'!$S$4:$S$503,_calc!$E$188))=0,"",INDEX('Our policies'!$S$4:$S$503,_calc!$E$188)))=0,"",IF(LEN(INDEX('Our policies'!$S$4:$S$503,_calc!$E$188))=0,"",INDEX('Our policies'!$S$4:$S$503,_calc!$E$188)))),TRIM(IF(LEN(IF(LEN(INDEX('Vendor COIs'!$C$4:$C$503,(_calc!$E$188-500)))=0,"",INDEX('Vendor COIs'!$C$4:$C$503,(_calc!$E$188-500))))=0,"","Insurer: "&amp;IF(LEN(INDEX('Vendor COIs'!$C$4:$C$503,(_calc!$E$188-500)))=0,"",INDEX('Vendor COIs'!$C$4:$C$503,(_calc!$E$188-500)))&amp;". ")&amp;IF(LEN(IF(LEN(INDEX('Vendor COIs'!$D$4:$D$503,(_calc!$E$188-500)))=0,"",INDEX('Vendor COIs'!$D$4:$D$503,(_calc!$E$188-500))))=0,"","Policy no.: "&amp;IF(LEN(INDEX('Vendor COIs'!$D$4:$D$503,(_calc!$E$188-500)))=0,"",INDEX('Vendor COIs'!$D$4:$D$503,(_calc!$E$188-500)))&amp;". ")&amp;IF(LEN(IF(LEN(INDEX('Vendor COIs'!$F$4:$F$503,(_calc!$E$188-500)))=0,"",INDEX('Vendor COIs'!$F$4:$F$503,(_calc!$E$188-500))))=0,"","Meets minimum: "&amp;IF(LEN(INDEX('Vendor COIs'!$F$4:$F$503,(_calc!$E$188-500)))=0,"",INDEX('Vendor COIs'!$F$4:$F$503,(_calc!$E$188-500)))&amp;". ")&amp;IF(LEN(IF(LEN(INDEX('Vendor COIs'!$G$4:$G$503,(_calc!$E$188-500)))=0,"",INDEX('Vendor COIs'!$G$4:$G$503,(_calc!$E$188-500))))=0,"","Additional insured: "&amp;IF(LEN(INDEX('Vendor COIs'!$G$4:$G$503,(_calc!$E$188-500)))=0,"",INDEX('Vendor COIs'!$G$4:$G$503,(_calc!$E$188-500)))&amp;". ")&amp;IF(LEN(IF(LEN(INDEX('Vendor COIs'!$M$4:$M$503,(_calc!$E$188-500)))=0,"",INDEX('Vendor COIs'!$M$4:$M$503,(_calc!$E$188-500))))=0,"","Vendor contact: "&amp;IF(LEN(INDEX('Vendor COIs'!$M$4:$M$503,(_calc!$E$188-500)))=0,"",INDEX('Vendor COIs'!$M$4:$M$503,(_calc!$E$188-500)))&amp;". ")&amp;IF(LEN(IF(LEN(INDEX('Vendor COIs'!$P$4:$P$503,(_calc!$E$188-500)))=0,"",INDEX('Vendor COIs'!$P$4:$P$503,(_calc!$E$188-500))))=0,"",IF(LEN(INDEX('Vendor COIs'!$P$4:$P$503,(_calc!$E$188-500)))=0,"",INDEX('Vendor COIs'!$P$4:$P$503,(_calc!$E$188-500)))))))</f>
        <v/>
      </c>
      <c r="G186" s="46">
        <f>IF(_calc!$E$188="","",IF(_calc!$E$188&lt;=500,IF(LEN(INDEX('Our policies'!$R$4:$R$503,_calc!$E$188))=0,"",INDEX('Our policies'!$R$4:$R$503,_calc!$E$188)),IF(LEN(INDEX('Vendor COIs'!$O$4:$O$503,(_calc!$E$188-500)))=0,"",INDEX('Vendor COIs'!$O$4:$O$503,(_calc!$E$188-500)))))</f>
        <v/>
      </c>
      <c r="H186" s="46">
        <f>IF(_calc!$E$188="","",IF(_calc!$E$188&lt;=500,IF(LEN(INDEX('Our policies'!$G$4:$G$503,_calc!$E$188))=0,"",INDEX('Our policies'!$G$4:$G$503,_calc!$E$188)),""))</f>
        <v/>
      </c>
      <c r="I186" s="46">
        <f>IF(_calc!$E$188="","",IF(_calc!$E$188&lt;=500,IF(LEN(INDEX('Our policies'!$H$4:$H$503,_calc!$E$188))=0,"",INDEX('Our policies'!$H$4:$H$503,_calc!$E$188)),""))</f>
        <v/>
      </c>
      <c r="K186" s="46">
        <f>IF(_calc!$E$188="","",IF(_calc!$E$188&lt;=500,IF(LEN(INDEX('Our policies'!$P$4:$P$503,_calc!$E$188))=0,"",INDEX('Our policies'!$P$4:$P$503,_calc!$E$188)),IF(LEN(INDEX('Vendor COIs'!$N$4:$N$503,(_calc!$E$188-500)))=0,"",INDEX('Vendor COIs'!$N$4:$N$503,(_calc!$E$188-500)))))</f>
        <v/>
      </c>
    </row>
    <row r="187">
      <c r="A187" s="46">
        <f>IF(_calc!$E$189="","",IF(_calc!$E$189&lt;=500,IF(LEN(INDEX('Our policies'!$A$4:$A$503,_calc!$E$189))=0,"",INDEX('Our policies'!$A$4:$A$503,_calc!$E$189)),"COI – "&amp;IF(LEN(INDEX('Vendor COIs'!$A$4:$A$503,(_calc!$E$189-500)))=0,"",INDEX('Vendor COIs'!$A$4:$A$503,(_calc!$E$189-500)))&amp;" – "&amp;IF(LEN(INDEX('Vendor COIs'!$B$4:$B$503,(_calc!$E$189-500)))=0,"",INDEX('Vendor COIs'!$B$4:$B$503,(_calc!$E$189-500)))))</f>
        <v/>
      </c>
      <c r="B187" s="46">
        <f>IF(_calc!$E$189="","",IF(_calc!$E$189&lt;=500,IF(ISNUMBER(INDEX('Our policies'!$J$4:$J$503,_calc!$E$189)),TEXT(INDEX('Our policies'!$J$4:$J$503,_calc!$E$189),"yyyy-mm-dd"),""),IF(ISNUMBER(INDEX('Vendor COIs'!$H$4:$H$503,(_calc!$E$189-500))),TEXT(INDEX('Vendor COIs'!$H$4:$H$503,(_calc!$E$189-500)),"yyyy-mm-dd"),"")))</f>
        <v/>
      </c>
      <c r="C187" s="46">
        <f>IF(_calc!$E$189="","",IF(_calc!$E$189&lt;=500,"Insurance","Certificate of insurance"))</f>
        <v/>
      </c>
      <c r="D187" s="46">
        <f>IF(_calc!$E$189="","",IF(_calc!$E$189&lt;=500,IF(ISNUMBER(INDEX('Our policies'!$I$4:$I$503,_calc!$E$189)),TEXT(INDEX('Our policies'!$I$4:$I$503,_calc!$E$189),"yyyy-mm-dd"),""),""))</f>
        <v/>
      </c>
      <c r="E187" s="46">
        <f>IF(_calc!$E$189="","",IF(_calc!$E$189&lt;=500,IF(LEN(INDEX('Our policies'!$Q$4:$Q$503,_calc!$E$189))=0,"",INDEX('Our policies'!$Q$4:$Q$503,_calc!$E$189)),"Medium"))</f>
        <v/>
      </c>
      <c r="F187" s="46">
        <f>IF(_calc!$E$189="","",IF(_calc!$E$189&lt;=500,TRIM(IF(LEN(IF(LEN(INDEX('Our policies'!$B$4:$B$503,_calc!$E$189))=0,"",INDEX('Our policies'!$B$4:$B$503,_calc!$E$189)))=0,"","Cover: "&amp;IF(LEN(INDEX('Our policies'!$B$4:$B$503,_calc!$E$189))=0,"",INDEX('Our policies'!$B$4:$B$503,_calc!$E$189))&amp;". ")&amp;IF(LEN(IF(LEN(INDEX('Our policies'!$C$4:$C$503,_calc!$E$189))=0,"",INDEX('Our policies'!$C$4:$C$503,_calc!$E$189)))=0,"","Insurer: "&amp;IF(LEN(INDEX('Our policies'!$C$4:$C$503,_calc!$E$189))=0,"",INDEX('Our policies'!$C$4:$C$503,_calc!$E$189))&amp;". ")&amp;IF(LEN(IF(LEN(INDEX('Our policies'!$D$4:$D$503,_calc!$E$189))=0,"",INDEX('Our policies'!$D$4:$D$503,_calc!$E$189)))=0,"","Broker: "&amp;IF(LEN(INDEX('Our policies'!$D$4:$D$503,_calc!$E$189))=0,"",INDEX('Our policies'!$D$4:$D$503,_calc!$E$189))&amp;". ")&amp;IF(LEN(IF(LEN(INDEX('Our policies'!$E$4:$E$503,_calc!$E$189))=0,"",INDEX('Our policies'!$E$4:$E$503,_calc!$E$189)))=0,"","Policy no.: "&amp;IF(LEN(INDEX('Our policies'!$E$4:$E$503,_calc!$E$189))=0,"",INDEX('Our policies'!$E$4:$E$503,_calc!$E$189))&amp;". ")&amp;IF(LEN(IF(LEN(INDEX('Our policies'!$S$4:$S$503,_calc!$E$189))=0,"",INDEX('Our policies'!$S$4:$S$503,_calc!$E$189)))=0,"",IF(LEN(INDEX('Our policies'!$S$4:$S$503,_calc!$E$189))=0,"",INDEX('Our policies'!$S$4:$S$503,_calc!$E$189)))),TRIM(IF(LEN(IF(LEN(INDEX('Vendor COIs'!$C$4:$C$503,(_calc!$E$189-500)))=0,"",INDEX('Vendor COIs'!$C$4:$C$503,(_calc!$E$189-500))))=0,"","Insurer: "&amp;IF(LEN(INDEX('Vendor COIs'!$C$4:$C$503,(_calc!$E$189-500)))=0,"",INDEX('Vendor COIs'!$C$4:$C$503,(_calc!$E$189-500)))&amp;". ")&amp;IF(LEN(IF(LEN(INDEX('Vendor COIs'!$D$4:$D$503,(_calc!$E$189-500)))=0,"",INDEX('Vendor COIs'!$D$4:$D$503,(_calc!$E$189-500))))=0,"","Policy no.: "&amp;IF(LEN(INDEX('Vendor COIs'!$D$4:$D$503,(_calc!$E$189-500)))=0,"",INDEX('Vendor COIs'!$D$4:$D$503,(_calc!$E$189-500)))&amp;". ")&amp;IF(LEN(IF(LEN(INDEX('Vendor COIs'!$F$4:$F$503,(_calc!$E$189-500)))=0,"",INDEX('Vendor COIs'!$F$4:$F$503,(_calc!$E$189-500))))=0,"","Meets minimum: "&amp;IF(LEN(INDEX('Vendor COIs'!$F$4:$F$503,(_calc!$E$189-500)))=0,"",INDEX('Vendor COIs'!$F$4:$F$503,(_calc!$E$189-500)))&amp;". ")&amp;IF(LEN(IF(LEN(INDEX('Vendor COIs'!$G$4:$G$503,(_calc!$E$189-500)))=0,"",INDEX('Vendor COIs'!$G$4:$G$503,(_calc!$E$189-500))))=0,"","Additional insured: "&amp;IF(LEN(INDEX('Vendor COIs'!$G$4:$G$503,(_calc!$E$189-500)))=0,"",INDEX('Vendor COIs'!$G$4:$G$503,(_calc!$E$189-500)))&amp;". ")&amp;IF(LEN(IF(LEN(INDEX('Vendor COIs'!$M$4:$M$503,(_calc!$E$189-500)))=0,"",INDEX('Vendor COIs'!$M$4:$M$503,(_calc!$E$189-500))))=0,"","Vendor contact: "&amp;IF(LEN(INDEX('Vendor COIs'!$M$4:$M$503,(_calc!$E$189-500)))=0,"",INDEX('Vendor COIs'!$M$4:$M$503,(_calc!$E$189-500)))&amp;". ")&amp;IF(LEN(IF(LEN(INDEX('Vendor COIs'!$P$4:$P$503,(_calc!$E$189-500)))=0,"",INDEX('Vendor COIs'!$P$4:$P$503,(_calc!$E$189-500))))=0,"",IF(LEN(INDEX('Vendor COIs'!$P$4:$P$503,(_calc!$E$189-500)))=0,"",INDEX('Vendor COIs'!$P$4:$P$503,(_calc!$E$189-500)))))))</f>
        <v/>
      </c>
      <c r="G187" s="46">
        <f>IF(_calc!$E$189="","",IF(_calc!$E$189&lt;=500,IF(LEN(INDEX('Our policies'!$R$4:$R$503,_calc!$E$189))=0,"",INDEX('Our policies'!$R$4:$R$503,_calc!$E$189)),IF(LEN(INDEX('Vendor COIs'!$O$4:$O$503,(_calc!$E$189-500)))=0,"",INDEX('Vendor COIs'!$O$4:$O$503,(_calc!$E$189-500)))))</f>
        <v/>
      </c>
      <c r="H187" s="46">
        <f>IF(_calc!$E$189="","",IF(_calc!$E$189&lt;=500,IF(LEN(INDEX('Our policies'!$G$4:$G$503,_calc!$E$189))=0,"",INDEX('Our policies'!$G$4:$G$503,_calc!$E$189)),""))</f>
        <v/>
      </c>
      <c r="I187" s="46">
        <f>IF(_calc!$E$189="","",IF(_calc!$E$189&lt;=500,IF(LEN(INDEX('Our policies'!$H$4:$H$503,_calc!$E$189))=0,"",INDEX('Our policies'!$H$4:$H$503,_calc!$E$189)),""))</f>
        <v/>
      </c>
      <c r="K187" s="46">
        <f>IF(_calc!$E$189="","",IF(_calc!$E$189&lt;=500,IF(LEN(INDEX('Our policies'!$P$4:$P$503,_calc!$E$189))=0,"",INDEX('Our policies'!$P$4:$P$503,_calc!$E$189)),IF(LEN(INDEX('Vendor COIs'!$N$4:$N$503,(_calc!$E$189-500)))=0,"",INDEX('Vendor COIs'!$N$4:$N$503,(_calc!$E$189-500)))))</f>
        <v/>
      </c>
    </row>
    <row r="188">
      <c r="A188" s="46">
        <f>IF(_calc!$E$190="","",IF(_calc!$E$190&lt;=500,IF(LEN(INDEX('Our policies'!$A$4:$A$503,_calc!$E$190))=0,"",INDEX('Our policies'!$A$4:$A$503,_calc!$E$190)),"COI – "&amp;IF(LEN(INDEX('Vendor COIs'!$A$4:$A$503,(_calc!$E$190-500)))=0,"",INDEX('Vendor COIs'!$A$4:$A$503,(_calc!$E$190-500)))&amp;" – "&amp;IF(LEN(INDEX('Vendor COIs'!$B$4:$B$503,(_calc!$E$190-500)))=0,"",INDEX('Vendor COIs'!$B$4:$B$503,(_calc!$E$190-500)))))</f>
        <v/>
      </c>
      <c r="B188" s="46">
        <f>IF(_calc!$E$190="","",IF(_calc!$E$190&lt;=500,IF(ISNUMBER(INDEX('Our policies'!$J$4:$J$503,_calc!$E$190)),TEXT(INDEX('Our policies'!$J$4:$J$503,_calc!$E$190),"yyyy-mm-dd"),""),IF(ISNUMBER(INDEX('Vendor COIs'!$H$4:$H$503,(_calc!$E$190-500))),TEXT(INDEX('Vendor COIs'!$H$4:$H$503,(_calc!$E$190-500)),"yyyy-mm-dd"),"")))</f>
        <v/>
      </c>
      <c r="C188" s="46">
        <f>IF(_calc!$E$190="","",IF(_calc!$E$190&lt;=500,"Insurance","Certificate of insurance"))</f>
        <v/>
      </c>
      <c r="D188" s="46">
        <f>IF(_calc!$E$190="","",IF(_calc!$E$190&lt;=500,IF(ISNUMBER(INDEX('Our policies'!$I$4:$I$503,_calc!$E$190)),TEXT(INDEX('Our policies'!$I$4:$I$503,_calc!$E$190),"yyyy-mm-dd"),""),""))</f>
        <v/>
      </c>
      <c r="E188" s="46">
        <f>IF(_calc!$E$190="","",IF(_calc!$E$190&lt;=500,IF(LEN(INDEX('Our policies'!$Q$4:$Q$503,_calc!$E$190))=0,"",INDEX('Our policies'!$Q$4:$Q$503,_calc!$E$190)),"Medium"))</f>
        <v/>
      </c>
      <c r="F188" s="46">
        <f>IF(_calc!$E$190="","",IF(_calc!$E$190&lt;=500,TRIM(IF(LEN(IF(LEN(INDEX('Our policies'!$B$4:$B$503,_calc!$E$190))=0,"",INDEX('Our policies'!$B$4:$B$503,_calc!$E$190)))=0,"","Cover: "&amp;IF(LEN(INDEX('Our policies'!$B$4:$B$503,_calc!$E$190))=0,"",INDEX('Our policies'!$B$4:$B$503,_calc!$E$190))&amp;". ")&amp;IF(LEN(IF(LEN(INDEX('Our policies'!$C$4:$C$503,_calc!$E$190))=0,"",INDEX('Our policies'!$C$4:$C$503,_calc!$E$190)))=0,"","Insurer: "&amp;IF(LEN(INDEX('Our policies'!$C$4:$C$503,_calc!$E$190))=0,"",INDEX('Our policies'!$C$4:$C$503,_calc!$E$190))&amp;". ")&amp;IF(LEN(IF(LEN(INDEX('Our policies'!$D$4:$D$503,_calc!$E$190))=0,"",INDEX('Our policies'!$D$4:$D$503,_calc!$E$190)))=0,"","Broker: "&amp;IF(LEN(INDEX('Our policies'!$D$4:$D$503,_calc!$E$190))=0,"",INDEX('Our policies'!$D$4:$D$503,_calc!$E$190))&amp;". ")&amp;IF(LEN(IF(LEN(INDEX('Our policies'!$E$4:$E$503,_calc!$E$190))=0,"",INDEX('Our policies'!$E$4:$E$503,_calc!$E$190)))=0,"","Policy no.: "&amp;IF(LEN(INDEX('Our policies'!$E$4:$E$503,_calc!$E$190))=0,"",INDEX('Our policies'!$E$4:$E$503,_calc!$E$190))&amp;". ")&amp;IF(LEN(IF(LEN(INDEX('Our policies'!$S$4:$S$503,_calc!$E$190))=0,"",INDEX('Our policies'!$S$4:$S$503,_calc!$E$190)))=0,"",IF(LEN(INDEX('Our policies'!$S$4:$S$503,_calc!$E$190))=0,"",INDEX('Our policies'!$S$4:$S$503,_calc!$E$190)))),TRIM(IF(LEN(IF(LEN(INDEX('Vendor COIs'!$C$4:$C$503,(_calc!$E$190-500)))=0,"",INDEX('Vendor COIs'!$C$4:$C$503,(_calc!$E$190-500))))=0,"","Insurer: "&amp;IF(LEN(INDEX('Vendor COIs'!$C$4:$C$503,(_calc!$E$190-500)))=0,"",INDEX('Vendor COIs'!$C$4:$C$503,(_calc!$E$190-500)))&amp;". ")&amp;IF(LEN(IF(LEN(INDEX('Vendor COIs'!$D$4:$D$503,(_calc!$E$190-500)))=0,"",INDEX('Vendor COIs'!$D$4:$D$503,(_calc!$E$190-500))))=0,"","Policy no.: "&amp;IF(LEN(INDEX('Vendor COIs'!$D$4:$D$503,(_calc!$E$190-500)))=0,"",INDEX('Vendor COIs'!$D$4:$D$503,(_calc!$E$190-500)))&amp;". ")&amp;IF(LEN(IF(LEN(INDEX('Vendor COIs'!$F$4:$F$503,(_calc!$E$190-500)))=0,"",INDEX('Vendor COIs'!$F$4:$F$503,(_calc!$E$190-500))))=0,"","Meets minimum: "&amp;IF(LEN(INDEX('Vendor COIs'!$F$4:$F$503,(_calc!$E$190-500)))=0,"",INDEX('Vendor COIs'!$F$4:$F$503,(_calc!$E$190-500)))&amp;". ")&amp;IF(LEN(IF(LEN(INDEX('Vendor COIs'!$G$4:$G$503,(_calc!$E$190-500)))=0,"",INDEX('Vendor COIs'!$G$4:$G$503,(_calc!$E$190-500))))=0,"","Additional insured: "&amp;IF(LEN(INDEX('Vendor COIs'!$G$4:$G$503,(_calc!$E$190-500)))=0,"",INDEX('Vendor COIs'!$G$4:$G$503,(_calc!$E$190-500)))&amp;". ")&amp;IF(LEN(IF(LEN(INDEX('Vendor COIs'!$M$4:$M$503,(_calc!$E$190-500)))=0,"",INDEX('Vendor COIs'!$M$4:$M$503,(_calc!$E$190-500))))=0,"","Vendor contact: "&amp;IF(LEN(INDEX('Vendor COIs'!$M$4:$M$503,(_calc!$E$190-500)))=0,"",INDEX('Vendor COIs'!$M$4:$M$503,(_calc!$E$190-500)))&amp;". ")&amp;IF(LEN(IF(LEN(INDEX('Vendor COIs'!$P$4:$P$503,(_calc!$E$190-500)))=0,"",INDEX('Vendor COIs'!$P$4:$P$503,(_calc!$E$190-500))))=0,"",IF(LEN(INDEX('Vendor COIs'!$P$4:$P$503,(_calc!$E$190-500)))=0,"",INDEX('Vendor COIs'!$P$4:$P$503,(_calc!$E$190-500)))))))</f>
        <v/>
      </c>
      <c r="G188" s="46">
        <f>IF(_calc!$E$190="","",IF(_calc!$E$190&lt;=500,IF(LEN(INDEX('Our policies'!$R$4:$R$503,_calc!$E$190))=0,"",INDEX('Our policies'!$R$4:$R$503,_calc!$E$190)),IF(LEN(INDEX('Vendor COIs'!$O$4:$O$503,(_calc!$E$190-500)))=0,"",INDEX('Vendor COIs'!$O$4:$O$503,(_calc!$E$190-500)))))</f>
        <v/>
      </c>
      <c r="H188" s="46">
        <f>IF(_calc!$E$190="","",IF(_calc!$E$190&lt;=500,IF(LEN(INDEX('Our policies'!$G$4:$G$503,_calc!$E$190))=0,"",INDEX('Our policies'!$G$4:$G$503,_calc!$E$190)),""))</f>
        <v/>
      </c>
      <c r="I188" s="46">
        <f>IF(_calc!$E$190="","",IF(_calc!$E$190&lt;=500,IF(LEN(INDEX('Our policies'!$H$4:$H$503,_calc!$E$190))=0,"",INDEX('Our policies'!$H$4:$H$503,_calc!$E$190)),""))</f>
        <v/>
      </c>
      <c r="K188" s="46">
        <f>IF(_calc!$E$190="","",IF(_calc!$E$190&lt;=500,IF(LEN(INDEX('Our policies'!$P$4:$P$503,_calc!$E$190))=0,"",INDEX('Our policies'!$P$4:$P$503,_calc!$E$190)),IF(LEN(INDEX('Vendor COIs'!$N$4:$N$503,(_calc!$E$190-500)))=0,"",INDEX('Vendor COIs'!$N$4:$N$503,(_calc!$E$190-500)))))</f>
        <v/>
      </c>
    </row>
    <row r="189">
      <c r="A189" s="46">
        <f>IF(_calc!$E$191="","",IF(_calc!$E$191&lt;=500,IF(LEN(INDEX('Our policies'!$A$4:$A$503,_calc!$E$191))=0,"",INDEX('Our policies'!$A$4:$A$503,_calc!$E$191)),"COI – "&amp;IF(LEN(INDEX('Vendor COIs'!$A$4:$A$503,(_calc!$E$191-500)))=0,"",INDEX('Vendor COIs'!$A$4:$A$503,(_calc!$E$191-500)))&amp;" – "&amp;IF(LEN(INDEX('Vendor COIs'!$B$4:$B$503,(_calc!$E$191-500)))=0,"",INDEX('Vendor COIs'!$B$4:$B$503,(_calc!$E$191-500)))))</f>
        <v/>
      </c>
      <c r="B189" s="46">
        <f>IF(_calc!$E$191="","",IF(_calc!$E$191&lt;=500,IF(ISNUMBER(INDEX('Our policies'!$J$4:$J$503,_calc!$E$191)),TEXT(INDEX('Our policies'!$J$4:$J$503,_calc!$E$191),"yyyy-mm-dd"),""),IF(ISNUMBER(INDEX('Vendor COIs'!$H$4:$H$503,(_calc!$E$191-500))),TEXT(INDEX('Vendor COIs'!$H$4:$H$503,(_calc!$E$191-500)),"yyyy-mm-dd"),"")))</f>
        <v/>
      </c>
      <c r="C189" s="46">
        <f>IF(_calc!$E$191="","",IF(_calc!$E$191&lt;=500,"Insurance","Certificate of insurance"))</f>
        <v/>
      </c>
      <c r="D189" s="46">
        <f>IF(_calc!$E$191="","",IF(_calc!$E$191&lt;=500,IF(ISNUMBER(INDEX('Our policies'!$I$4:$I$503,_calc!$E$191)),TEXT(INDEX('Our policies'!$I$4:$I$503,_calc!$E$191),"yyyy-mm-dd"),""),""))</f>
        <v/>
      </c>
      <c r="E189" s="46">
        <f>IF(_calc!$E$191="","",IF(_calc!$E$191&lt;=500,IF(LEN(INDEX('Our policies'!$Q$4:$Q$503,_calc!$E$191))=0,"",INDEX('Our policies'!$Q$4:$Q$503,_calc!$E$191)),"Medium"))</f>
        <v/>
      </c>
      <c r="F189" s="46">
        <f>IF(_calc!$E$191="","",IF(_calc!$E$191&lt;=500,TRIM(IF(LEN(IF(LEN(INDEX('Our policies'!$B$4:$B$503,_calc!$E$191))=0,"",INDEX('Our policies'!$B$4:$B$503,_calc!$E$191)))=0,"","Cover: "&amp;IF(LEN(INDEX('Our policies'!$B$4:$B$503,_calc!$E$191))=0,"",INDEX('Our policies'!$B$4:$B$503,_calc!$E$191))&amp;". ")&amp;IF(LEN(IF(LEN(INDEX('Our policies'!$C$4:$C$503,_calc!$E$191))=0,"",INDEX('Our policies'!$C$4:$C$503,_calc!$E$191)))=0,"","Insurer: "&amp;IF(LEN(INDEX('Our policies'!$C$4:$C$503,_calc!$E$191))=0,"",INDEX('Our policies'!$C$4:$C$503,_calc!$E$191))&amp;". ")&amp;IF(LEN(IF(LEN(INDEX('Our policies'!$D$4:$D$503,_calc!$E$191))=0,"",INDEX('Our policies'!$D$4:$D$503,_calc!$E$191)))=0,"","Broker: "&amp;IF(LEN(INDEX('Our policies'!$D$4:$D$503,_calc!$E$191))=0,"",INDEX('Our policies'!$D$4:$D$503,_calc!$E$191))&amp;". ")&amp;IF(LEN(IF(LEN(INDEX('Our policies'!$E$4:$E$503,_calc!$E$191))=0,"",INDEX('Our policies'!$E$4:$E$503,_calc!$E$191)))=0,"","Policy no.: "&amp;IF(LEN(INDEX('Our policies'!$E$4:$E$503,_calc!$E$191))=0,"",INDEX('Our policies'!$E$4:$E$503,_calc!$E$191))&amp;". ")&amp;IF(LEN(IF(LEN(INDEX('Our policies'!$S$4:$S$503,_calc!$E$191))=0,"",INDEX('Our policies'!$S$4:$S$503,_calc!$E$191)))=0,"",IF(LEN(INDEX('Our policies'!$S$4:$S$503,_calc!$E$191))=0,"",INDEX('Our policies'!$S$4:$S$503,_calc!$E$191)))),TRIM(IF(LEN(IF(LEN(INDEX('Vendor COIs'!$C$4:$C$503,(_calc!$E$191-500)))=0,"",INDEX('Vendor COIs'!$C$4:$C$503,(_calc!$E$191-500))))=0,"","Insurer: "&amp;IF(LEN(INDEX('Vendor COIs'!$C$4:$C$503,(_calc!$E$191-500)))=0,"",INDEX('Vendor COIs'!$C$4:$C$503,(_calc!$E$191-500)))&amp;". ")&amp;IF(LEN(IF(LEN(INDEX('Vendor COIs'!$D$4:$D$503,(_calc!$E$191-500)))=0,"",INDEX('Vendor COIs'!$D$4:$D$503,(_calc!$E$191-500))))=0,"","Policy no.: "&amp;IF(LEN(INDEX('Vendor COIs'!$D$4:$D$503,(_calc!$E$191-500)))=0,"",INDEX('Vendor COIs'!$D$4:$D$503,(_calc!$E$191-500)))&amp;". ")&amp;IF(LEN(IF(LEN(INDEX('Vendor COIs'!$F$4:$F$503,(_calc!$E$191-500)))=0,"",INDEX('Vendor COIs'!$F$4:$F$503,(_calc!$E$191-500))))=0,"","Meets minimum: "&amp;IF(LEN(INDEX('Vendor COIs'!$F$4:$F$503,(_calc!$E$191-500)))=0,"",INDEX('Vendor COIs'!$F$4:$F$503,(_calc!$E$191-500)))&amp;". ")&amp;IF(LEN(IF(LEN(INDEX('Vendor COIs'!$G$4:$G$503,(_calc!$E$191-500)))=0,"",INDEX('Vendor COIs'!$G$4:$G$503,(_calc!$E$191-500))))=0,"","Additional insured: "&amp;IF(LEN(INDEX('Vendor COIs'!$G$4:$G$503,(_calc!$E$191-500)))=0,"",INDEX('Vendor COIs'!$G$4:$G$503,(_calc!$E$191-500)))&amp;". ")&amp;IF(LEN(IF(LEN(INDEX('Vendor COIs'!$M$4:$M$503,(_calc!$E$191-500)))=0,"",INDEX('Vendor COIs'!$M$4:$M$503,(_calc!$E$191-500))))=0,"","Vendor contact: "&amp;IF(LEN(INDEX('Vendor COIs'!$M$4:$M$503,(_calc!$E$191-500)))=0,"",INDEX('Vendor COIs'!$M$4:$M$503,(_calc!$E$191-500)))&amp;". ")&amp;IF(LEN(IF(LEN(INDEX('Vendor COIs'!$P$4:$P$503,(_calc!$E$191-500)))=0,"",INDEX('Vendor COIs'!$P$4:$P$503,(_calc!$E$191-500))))=0,"",IF(LEN(INDEX('Vendor COIs'!$P$4:$P$503,(_calc!$E$191-500)))=0,"",INDEX('Vendor COIs'!$P$4:$P$503,(_calc!$E$191-500)))))))</f>
        <v/>
      </c>
      <c r="G189" s="46">
        <f>IF(_calc!$E$191="","",IF(_calc!$E$191&lt;=500,IF(LEN(INDEX('Our policies'!$R$4:$R$503,_calc!$E$191))=0,"",INDEX('Our policies'!$R$4:$R$503,_calc!$E$191)),IF(LEN(INDEX('Vendor COIs'!$O$4:$O$503,(_calc!$E$191-500)))=0,"",INDEX('Vendor COIs'!$O$4:$O$503,(_calc!$E$191-500)))))</f>
        <v/>
      </c>
      <c r="H189" s="46">
        <f>IF(_calc!$E$191="","",IF(_calc!$E$191&lt;=500,IF(LEN(INDEX('Our policies'!$G$4:$G$503,_calc!$E$191))=0,"",INDEX('Our policies'!$G$4:$G$503,_calc!$E$191)),""))</f>
        <v/>
      </c>
      <c r="I189" s="46">
        <f>IF(_calc!$E$191="","",IF(_calc!$E$191&lt;=500,IF(LEN(INDEX('Our policies'!$H$4:$H$503,_calc!$E$191))=0,"",INDEX('Our policies'!$H$4:$H$503,_calc!$E$191)),""))</f>
        <v/>
      </c>
      <c r="K189" s="46">
        <f>IF(_calc!$E$191="","",IF(_calc!$E$191&lt;=500,IF(LEN(INDEX('Our policies'!$P$4:$P$503,_calc!$E$191))=0,"",INDEX('Our policies'!$P$4:$P$503,_calc!$E$191)),IF(LEN(INDEX('Vendor COIs'!$N$4:$N$503,(_calc!$E$191-500)))=0,"",INDEX('Vendor COIs'!$N$4:$N$503,(_calc!$E$191-500)))))</f>
        <v/>
      </c>
    </row>
    <row r="190">
      <c r="A190" s="46">
        <f>IF(_calc!$E$192="","",IF(_calc!$E$192&lt;=500,IF(LEN(INDEX('Our policies'!$A$4:$A$503,_calc!$E$192))=0,"",INDEX('Our policies'!$A$4:$A$503,_calc!$E$192)),"COI – "&amp;IF(LEN(INDEX('Vendor COIs'!$A$4:$A$503,(_calc!$E$192-500)))=0,"",INDEX('Vendor COIs'!$A$4:$A$503,(_calc!$E$192-500)))&amp;" – "&amp;IF(LEN(INDEX('Vendor COIs'!$B$4:$B$503,(_calc!$E$192-500)))=0,"",INDEX('Vendor COIs'!$B$4:$B$503,(_calc!$E$192-500)))))</f>
        <v/>
      </c>
      <c r="B190" s="46">
        <f>IF(_calc!$E$192="","",IF(_calc!$E$192&lt;=500,IF(ISNUMBER(INDEX('Our policies'!$J$4:$J$503,_calc!$E$192)),TEXT(INDEX('Our policies'!$J$4:$J$503,_calc!$E$192),"yyyy-mm-dd"),""),IF(ISNUMBER(INDEX('Vendor COIs'!$H$4:$H$503,(_calc!$E$192-500))),TEXT(INDEX('Vendor COIs'!$H$4:$H$503,(_calc!$E$192-500)),"yyyy-mm-dd"),"")))</f>
        <v/>
      </c>
      <c r="C190" s="46">
        <f>IF(_calc!$E$192="","",IF(_calc!$E$192&lt;=500,"Insurance","Certificate of insurance"))</f>
        <v/>
      </c>
      <c r="D190" s="46">
        <f>IF(_calc!$E$192="","",IF(_calc!$E$192&lt;=500,IF(ISNUMBER(INDEX('Our policies'!$I$4:$I$503,_calc!$E$192)),TEXT(INDEX('Our policies'!$I$4:$I$503,_calc!$E$192),"yyyy-mm-dd"),""),""))</f>
        <v/>
      </c>
      <c r="E190" s="46">
        <f>IF(_calc!$E$192="","",IF(_calc!$E$192&lt;=500,IF(LEN(INDEX('Our policies'!$Q$4:$Q$503,_calc!$E$192))=0,"",INDEX('Our policies'!$Q$4:$Q$503,_calc!$E$192)),"Medium"))</f>
        <v/>
      </c>
      <c r="F190" s="46">
        <f>IF(_calc!$E$192="","",IF(_calc!$E$192&lt;=500,TRIM(IF(LEN(IF(LEN(INDEX('Our policies'!$B$4:$B$503,_calc!$E$192))=0,"",INDEX('Our policies'!$B$4:$B$503,_calc!$E$192)))=0,"","Cover: "&amp;IF(LEN(INDEX('Our policies'!$B$4:$B$503,_calc!$E$192))=0,"",INDEX('Our policies'!$B$4:$B$503,_calc!$E$192))&amp;". ")&amp;IF(LEN(IF(LEN(INDEX('Our policies'!$C$4:$C$503,_calc!$E$192))=0,"",INDEX('Our policies'!$C$4:$C$503,_calc!$E$192)))=0,"","Insurer: "&amp;IF(LEN(INDEX('Our policies'!$C$4:$C$503,_calc!$E$192))=0,"",INDEX('Our policies'!$C$4:$C$503,_calc!$E$192))&amp;". ")&amp;IF(LEN(IF(LEN(INDEX('Our policies'!$D$4:$D$503,_calc!$E$192))=0,"",INDEX('Our policies'!$D$4:$D$503,_calc!$E$192)))=0,"","Broker: "&amp;IF(LEN(INDEX('Our policies'!$D$4:$D$503,_calc!$E$192))=0,"",INDEX('Our policies'!$D$4:$D$503,_calc!$E$192))&amp;". ")&amp;IF(LEN(IF(LEN(INDEX('Our policies'!$E$4:$E$503,_calc!$E$192))=0,"",INDEX('Our policies'!$E$4:$E$503,_calc!$E$192)))=0,"","Policy no.: "&amp;IF(LEN(INDEX('Our policies'!$E$4:$E$503,_calc!$E$192))=0,"",INDEX('Our policies'!$E$4:$E$503,_calc!$E$192))&amp;". ")&amp;IF(LEN(IF(LEN(INDEX('Our policies'!$S$4:$S$503,_calc!$E$192))=0,"",INDEX('Our policies'!$S$4:$S$503,_calc!$E$192)))=0,"",IF(LEN(INDEX('Our policies'!$S$4:$S$503,_calc!$E$192))=0,"",INDEX('Our policies'!$S$4:$S$503,_calc!$E$192)))),TRIM(IF(LEN(IF(LEN(INDEX('Vendor COIs'!$C$4:$C$503,(_calc!$E$192-500)))=0,"",INDEX('Vendor COIs'!$C$4:$C$503,(_calc!$E$192-500))))=0,"","Insurer: "&amp;IF(LEN(INDEX('Vendor COIs'!$C$4:$C$503,(_calc!$E$192-500)))=0,"",INDEX('Vendor COIs'!$C$4:$C$503,(_calc!$E$192-500)))&amp;". ")&amp;IF(LEN(IF(LEN(INDEX('Vendor COIs'!$D$4:$D$503,(_calc!$E$192-500)))=0,"",INDEX('Vendor COIs'!$D$4:$D$503,(_calc!$E$192-500))))=0,"","Policy no.: "&amp;IF(LEN(INDEX('Vendor COIs'!$D$4:$D$503,(_calc!$E$192-500)))=0,"",INDEX('Vendor COIs'!$D$4:$D$503,(_calc!$E$192-500)))&amp;". ")&amp;IF(LEN(IF(LEN(INDEX('Vendor COIs'!$F$4:$F$503,(_calc!$E$192-500)))=0,"",INDEX('Vendor COIs'!$F$4:$F$503,(_calc!$E$192-500))))=0,"","Meets minimum: "&amp;IF(LEN(INDEX('Vendor COIs'!$F$4:$F$503,(_calc!$E$192-500)))=0,"",INDEX('Vendor COIs'!$F$4:$F$503,(_calc!$E$192-500)))&amp;". ")&amp;IF(LEN(IF(LEN(INDEX('Vendor COIs'!$G$4:$G$503,(_calc!$E$192-500)))=0,"",INDEX('Vendor COIs'!$G$4:$G$503,(_calc!$E$192-500))))=0,"","Additional insured: "&amp;IF(LEN(INDEX('Vendor COIs'!$G$4:$G$503,(_calc!$E$192-500)))=0,"",INDEX('Vendor COIs'!$G$4:$G$503,(_calc!$E$192-500)))&amp;". ")&amp;IF(LEN(IF(LEN(INDEX('Vendor COIs'!$M$4:$M$503,(_calc!$E$192-500)))=0,"",INDEX('Vendor COIs'!$M$4:$M$503,(_calc!$E$192-500))))=0,"","Vendor contact: "&amp;IF(LEN(INDEX('Vendor COIs'!$M$4:$M$503,(_calc!$E$192-500)))=0,"",INDEX('Vendor COIs'!$M$4:$M$503,(_calc!$E$192-500)))&amp;". ")&amp;IF(LEN(IF(LEN(INDEX('Vendor COIs'!$P$4:$P$503,(_calc!$E$192-500)))=0,"",INDEX('Vendor COIs'!$P$4:$P$503,(_calc!$E$192-500))))=0,"",IF(LEN(INDEX('Vendor COIs'!$P$4:$P$503,(_calc!$E$192-500)))=0,"",INDEX('Vendor COIs'!$P$4:$P$503,(_calc!$E$192-500)))))))</f>
        <v/>
      </c>
      <c r="G190" s="46">
        <f>IF(_calc!$E$192="","",IF(_calc!$E$192&lt;=500,IF(LEN(INDEX('Our policies'!$R$4:$R$503,_calc!$E$192))=0,"",INDEX('Our policies'!$R$4:$R$503,_calc!$E$192)),IF(LEN(INDEX('Vendor COIs'!$O$4:$O$503,(_calc!$E$192-500)))=0,"",INDEX('Vendor COIs'!$O$4:$O$503,(_calc!$E$192-500)))))</f>
        <v/>
      </c>
      <c r="H190" s="46">
        <f>IF(_calc!$E$192="","",IF(_calc!$E$192&lt;=500,IF(LEN(INDEX('Our policies'!$G$4:$G$503,_calc!$E$192))=0,"",INDEX('Our policies'!$G$4:$G$503,_calc!$E$192)),""))</f>
        <v/>
      </c>
      <c r="I190" s="46">
        <f>IF(_calc!$E$192="","",IF(_calc!$E$192&lt;=500,IF(LEN(INDEX('Our policies'!$H$4:$H$503,_calc!$E$192))=0,"",INDEX('Our policies'!$H$4:$H$503,_calc!$E$192)),""))</f>
        <v/>
      </c>
      <c r="K190" s="46">
        <f>IF(_calc!$E$192="","",IF(_calc!$E$192&lt;=500,IF(LEN(INDEX('Our policies'!$P$4:$P$503,_calc!$E$192))=0,"",INDEX('Our policies'!$P$4:$P$503,_calc!$E$192)),IF(LEN(INDEX('Vendor COIs'!$N$4:$N$503,(_calc!$E$192-500)))=0,"",INDEX('Vendor COIs'!$N$4:$N$503,(_calc!$E$192-500)))))</f>
        <v/>
      </c>
    </row>
    <row r="191">
      <c r="A191" s="46">
        <f>IF(_calc!$E$193="","",IF(_calc!$E$193&lt;=500,IF(LEN(INDEX('Our policies'!$A$4:$A$503,_calc!$E$193))=0,"",INDEX('Our policies'!$A$4:$A$503,_calc!$E$193)),"COI – "&amp;IF(LEN(INDEX('Vendor COIs'!$A$4:$A$503,(_calc!$E$193-500)))=0,"",INDEX('Vendor COIs'!$A$4:$A$503,(_calc!$E$193-500)))&amp;" – "&amp;IF(LEN(INDEX('Vendor COIs'!$B$4:$B$503,(_calc!$E$193-500)))=0,"",INDEX('Vendor COIs'!$B$4:$B$503,(_calc!$E$193-500)))))</f>
        <v/>
      </c>
      <c r="B191" s="46">
        <f>IF(_calc!$E$193="","",IF(_calc!$E$193&lt;=500,IF(ISNUMBER(INDEX('Our policies'!$J$4:$J$503,_calc!$E$193)),TEXT(INDEX('Our policies'!$J$4:$J$503,_calc!$E$193),"yyyy-mm-dd"),""),IF(ISNUMBER(INDEX('Vendor COIs'!$H$4:$H$503,(_calc!$E$193-500))),TEXT(INDEX('Vendor COIs'!$H$4:$H$503,(_calc!$E$193-500)),"yyyy-mm-dd"),"")))</f>
        <v/>
      </c>
      <c r="C191" s="46">
        <f>IF(_calc!$E$193="","",IF(_calc!$E$193&lt;=500,"Insurance","Certificate of insurance"))</f>
        <v/>
      </c>
      <c r="D191" s="46">
        <f>IF(_calc!$E$193="","",IF(_calc!$E$193&lt;=500,IF(ISNUMBER(INDEX('Our policies'!$I$4:$I$503,_calc!$E$193)),TEXT(INDEX('Our policies'!$I$4:$I$503,_calc!$E$193),"yyyy-mm-dd"),""),""))</f>
        <v/>
      </c>
      <c r="E191" s="46">
        <f>IF(_calc!$E$193="","",IF(_calc!$E$193&lt;=500,IF(LEN(INDEX('Our policies'!$Q$4:$Q$503,_calc!$E$193))=0,"",INDEX('Our policies'!$Q$4:$Q$503,_calc!$E$193)),"Medium"))</f>
        <v/>
      </c>
      <c r="F191" s="46">
        <f>IF(_calc!$E$193="","",IF(_calc!$E$193&lt;=500,TRIM(IF(LEN(IF(LEN(INDEX('Our policies'!$B$4:$B$503,_calc!$E$193))=0,"",INDEX('Our policies'!$B$4:$B$503,_calc!$E$193)))=0,"","Cover: "&amp;IF(LEN(INDEX('Our policies'!$B$4:$B$503,_calc!$E$193))=0,"",INDEX('Our policies'!$B$4:$B$503,_calc!$E$193))&amp;". ")&amp;IF(LEN(IF(LEN(INDEX('Our policies'!$C$4:$C$503,_calc!$E$193))=0,"",INDEX('Our policies'!$C$4:$C$503,_calc!$E$193)))=0,"","Insurer: "&amp;IF(LEN(INDEX('Our policies'!$C$4:$C$503,_calc!$E$193))=0,"",INDEX('Our policies'!$C$4:$C$503,_calc!$E$193))&amp;". ")&amp;IF(LEN(IF(LEN(INDEX('Our policies'!$D$4:$D$503,_calc!$E$193))=0,"",INDEX('Our policies'!$D$4:$D$503,_calc!$E$193)))=0,"","Broker: "&amp;IF(LEN(INDEX('Our policies'!$D$4:$D$503,_calc!$E$193))=0,"",INDEX('Our policies'!$D$4:$D$503,_calc!$E$193))&amp;". ")&amp;IF(LEN(IF(LEN(INDEX('Our policies'!$E$4:$E$503,_calc!$E$193))=0,"",INDEX('Our policies'!$E$4:$E$503,_calc!$E$193)))=0,"","Policy no.: "&amp;IF(LEN(INDEX('Our policies'!$E$4:$E$503,_calc!$E$193))=0,"",INDEX('Our policies'!$E$4:$E$503,_calc!$E$193))&amp;". ")&amp;IF(LEN(IF(LEN(INDEX('Our policies'!$S$4:$S$503,_calc!$E$193))=0,"",INDEX('Our policies'!$S$4:$S$503,_calc!$E$193)))=0,"",IF(LEN(INDEX('Our policies'!$S$4:$S$503,_calc!$E$193))=0,"",INDEX('Our policies'!$S$4:$S$503,_calc!$E$193)))),TRIM(IF(LEN(IF(LEN(INDEX('Vendor COIs'!$C$4:$C$503,(_calc!$E$193-500)))=0,"",INDEX('Vendor COIs'!$C$4:$C$503,(_calc!$E$193-500))))=0,"","Insurer: "&amp;IF(LEN(INDEX('Vendor COIs'!$C$4:$C$503,(_calc!$E$193-500)))=0,"",INDEX('Vendor COIs'!$C$4:$C$503,(_calc!$E$193-500)))&amp;". ")&amp;IF(LEN(IF(LEN(INDEX('Vendor COIs'!$D$4:$D$503,(_calc!$E$193-500)))=0,"",INDEX('Vendor COIs'!$D$4:$D$503,(_calc!$E$193-500))))=0,"","Policy no.: "&amp;IF(LEN(INDEX('Vendor COIs'!$D$4:$D$503,(_calc!$E$193-500)))=0,"",INDEX('Vendor COIs'!$D$4:$D$503,(_calc!$E$193-500)))&amp;". ")&amp;IF(LEN(IF(LEN(INDEX('Vendor COIs'!$F$4:$F$503,(_calc!$E$193-500)))=0,"",INDEX('Vendor COIs'!$F$4:$F$503,(_calc!$E$193-500))))=0,"","Meets minimum: "&amp;IF(LEN(INDEX('Vendor COIs'!$F$4:$F$503,(_calc!$E$193-500)))=0,"",INDEX('Vendor COIs'!$F$4:$F$503,(_calc!$E$193-500)))&amp;". ")&amp;IF(LEN(IF(LEN(INDEX('Vendor COIs'!$G$4:$G$503,(_calc!$E$193-500)))=0,"",INDEX('Vendor COIs'!$G$4:$G$503,(_calc!$E$193-500))))=0,"","Additional insured: "&amp;IF(LEN(INDEX('Vendor COIs'!$G$4:$G$503,(_calc!$E$193-500)))=0,"",INDEX('Vendor COIs'!$G$4:$G$503,(_calc!$E$193-500)))&amp;". ")&amp;IF(LEN(IF(LEN(INDEX('Vendor COIs'!$M$4:$M$503,(_calc!$E$193-500)))=0,"",INDEX('Vendor COIs'!$M$4:$M$503,(_calc!$E$193-500))))=0,"","Vendor contact: "&amp;IF(LEN(INDEX('Vendor COIs'!$M$4:$M$503,(_calc!$E$193-500)))=0,"",INDEX('Vendor COIs'!$M$4:$M$503,(_calc!$E$193-500)))&amp;". ")&amp;IF(LEN(IF(LEN(INDEX('Vendor COIs'!$P$4:$P$503,(_calc!$E$193-500)))=0,"",INDEX('Vendor COIs'!$P$4:$P$503,(_calc!$E$193-500))))=0,"",IF(LEN(INDEX('Vendor COIs'!$P$4:$P$503,(_calc!$E$193-500)))=0,"",INDEX('Vendor COIs'!$P$4:$P$503,(_calc!$E$193-500)))))))</f>
        <v/>
      </c>
      <c r="G191" s="46">
        <f>IF(_calc!$E$193="","",IF(_calc!$E$193&lt;=500,IF(LEN(INDEX('Our policies'!$R$4:$R$503,_calc!$E$193))=0,"",INDEX('Our policies'!$R$4:$R$503,_calc!$E$193)),IF(LEN(INDEX('Vendor COIs'!$O$4:$O$503,(_calc!$E$193-500)))=0,"",INDEX('Vendor COIs'!$O$4:$O$503,(_calc!$E$193-500)))))</f>
        <v/>
      </c>
      <c r="H191" s="46">
        <f>IF(_calc!$E$193="","",IF(_calc!$E$193&lt;=500,IF(LEN(INDEX('Our policies'!$G$4:$G$503,_calc!$E$193))=0,"",INDEX('Our policies'!$G$4:$G$503,_calc!$E$193)),""))</f>
        <v/>
      </c>
      <c r="I191" s="46">
        <f>IF(_calc!$E$193="","",IF(_calc!$E$193&lt;=500,IF(LEN(INDEX('Our policies'!$H$4:$H$503,_calc!$E$193))=0,"",INDEX('Our policies'!$H$4:$H$503,_calc!$E$193)),""))</f>
        <v/>
      </c>
      <c r="K191" s="46">
        <f>IF(_calc!$E$193="","",IF(_calc!$E$193&lt;=500,IF(LEN(INDEX('Our policies'!$P$4:$P$503,_calc!$E$193))=0,"",INDEX('Our policies'!$P$4:$P$503,_calc!$E$193)),IF(LEN(INDEX('Vendor COIs'!$N$4:$N$503,(_calc!$E$193-500)))=0,"",INDEX('Vendor COIs'!$N$4:$N$503,(_calc!$E$193-500)))))</f>
        <v/>
      </c>
    </row>
    <row r="192">
      <c r="A192" s="46">
        <f>IF(_calc!$E$194="","",IF(_calc!$E$194&lt;=500,IF(LEN(INDEX('Our policies'!$A$4:$A$503,_calc!$E$194))=0,"",INDEX('Our policies'!$A$4:$A$503,_calc!$E$194)),"COI – "&amp;IF(LEN(INDEX('Vendor COIs'!$A$4:$A$503,(_calc!$E$194-500)))=0,"",INDEX('Vendor COIs'!$A$4:$A$503,(_calc!$E$194-500)))&amp;" – "&amp;IF(LEN(INDEX('Vendor COIs'!$B$4:$B$503,(_calc!$E$194-500)))=0,"",INDEX('Vendor COIs'!$B$4:$B$503,(_calc!$E$194-500)))))</f>
        <v/>
      </c>
      <c r="B192" s="46">
        <f>IF(_calc!$E$194="","",IF(_calc!$E$194&lt;=500,IF(ISNUMBER(INDEX('Our policies'!$J$4:$J$503,_calc!$E$194)),TEXT(INDEX('Our policies'!$J$4:$J$503,_calc!$E$194),"yyyy-mm-dd"),""),IF(ISNUMBER(INDEX('Vendor COIs'!$H$4:$H$503,(_calc!$E$194-500))),TEXT(INDEX('Vendor COIs'!$H$4:$H$503,(_calc!$E$194-500)),"yyyy-mm-dd"),"")))</f>
        <v/>
      </c>
      <c r="C192" s="46">
        <f>IF(_calc!$E$194="","",IF(_calc!$E$194&lt;=500,"Insurance","Certificate of insurance"))</f>
        <v/>
      </c>
      <c r="D192" s="46">
        <f>IF(_calc!$E$194="","",IF(_calc!$E$194&lt;=500,IF(ISNUMBER(INDEX('Our policies'!$I$4:$I$503,_calc!$E$194)),TEXT(INDEX('Our policies'!$I$4:$I$503,_calc!$E$194),"yyyy-mm-dd"),""),""))</f>
        <v/>
      </c>
      <c r="E192" s="46">
        <f>IF(_calc!$E$194="","",IF(_calc!$E$194&lt;=500,IF(LEN(INDEX('Our policies'!$Q$4:$Q$503,_calc!$E$194))=0,"",INDEX('Our policies'!$Q$4:$Q$503,_calc!$E$194)),"Medium"))</f>
        <v/>
      </c>
      <c r="F192" s="46">
        <f>IF(_calc!$E$194="","",IF(_calc!$E$194&lt;=500,TRIM(IF(LEN(IF(LEN(INDEX('Our policies'!$B$4:$B$503,_calc!$E$194))=0,"",INDEX('Our policies'!$B$4:$B$503,_calc!$E$194)))=0,"","Cover: "&amp;IF(LEN(INDEX('Our policies'!$B$4:$B$503,_calc!$E$194))=0,"",INDEX('Our policies'!$B$4:$B$503,_calc!$E$194))&amp;". ")&amp;IF(LEN(IF(LEN(INDEX('Our policies'!$C$4:$C$503,_calc!$E$194))=0,"",INDEX('Our policies'!$C$4:$C$503,_calc!$E$194)))=0,"","Insurer: "&amp;IF(LEN(INDEX('Our policies'!$C$4:$C$503,_calc!$E$194))=0,"",INDEX('Our policies'!$C$4:$C$503,_calc!$E$194))&amp;". ")&amp;IF(LEN(IF(LEN(INDEX('Our policies'!$D$4:$D$503,_calc!$E$194))=0,"",INDEX('Our policies'!$D$4:$D$503,_calc!$E$194)))=0,"","Broker: "&amp;IF(LEN(INDEX('Our policies'!$D$4:$D$503,_calc!$E$194))=0,"",INDEX('Our policies'!$D$4:$D$503,_calc!$E$194))&amp;". ")&amp;IF(LEN(IF(LEN(INDEX('Our policies'!$E$4:$E$503,_calc!$E$194))=0,"",INDEX('Our policies'!$E$4:$E$503,_calc!$E$194)))=0,"","Policy no.: "&amp;IF(LEN(INDEX('Our policies'!$E$4:$E$503,_calc!$E$194))=0,"",INDEX('Our policies'!$E$4:$E$503,_calc!$E$194))&amp;". ")&amp;IF(LEN(IF(LEN(INDEX('Our policies'!$S$4:$S$503,_calc!$E$194))=0,"",INDEX('Our policies'!$S$4:$S$503,_calc!$E$194)))=0,"",IF(LEN(INDEX('Our policies'!$S$4:$S$503,_calc!$E$194))=0,"",INDEX('Our policies'!$S$4:$S$503,_calc!$E$194)))),TRIM(IF(LEN(IF(LEN(INDEX('Vendor COIs'!$C$4:$C$503,(_calc!$E$194-500)))=0,"",INDEX('Vendor COIs'!$C$4:$C$503,(_calc!$E$194-500))))=0,"","Insurer: "&amp;IF(LEN(INDEX('Vendor COIs'!$C$4:$C$503,(_calc!$E$194-500)))=0,"",INDEX('Vendor COIs'!$C$4:$C$503,(_calc!$E$194-500)))&amp;". ")&amp;IF(LEN(IF(LEN(INDEX('Vendor COIs'!$D$4:$D$503,(_calc!$E$194-500)))=0,"",INDEX('Vendor COIs'!$D$4:$D$503,(_calc!$E$194-500))))=0,"","Policy no.: "&amp;IF(LEN(INDEX('Vendor COIs'!$D$4:$D$503,(_calc!$E$194-500)))=0,"",INDEX('Vendor COIs'!$D$4:$D$503,(_calc!$E$194-500)))&amp;". ")&amp;IF(LEN(IF(LEN(INDEX('Vendor COIs'!$F$4:$F$503,(_calc!$E$194-500)))=0,"",INDEX('Vendor COIs'!$F$4:$F$503,(_calc!$E$194-500))))=0,"","Meets minimum: "&amp;IF(LEN(INDEX('Vendor COIs'!$F$4:$F$503,(_calc!$E$194-500)))=0,"",INDEX('Vendor COIs'!$F$4:$F$503,(_calc!$E$194-500)))&amp;". ")&amp;IF(LEN(IF(LEN(INDEX('Vendor COIs'!$G$4:$G$503,(_calc!$E$194-500)))=0,"",INDEX('Vendor COIs'!$G$4:$G$503,(_calc!$E$194-500))))=0,"","Additional insured: "&amp;IF(LEN(INDEX('Vendor COIs'!$G$4:$G$503,(_calc!$E$194-500)))=0,"",INDEX('Vendor COIs'!$G$4:$G$503,(_calc!$E$194-500)))&amp;". ")&amp;IF(LEN(IF(LEN(INDEX('Vendor COIs'!$M$4:$M$503,(_calc!$E$194-500)))=0,"",INDEX('Vendor COIs'!$M$4:$M$503,(_calc!$E$194-500))))=0,"","Vendor contact: "&amp;IF(LEN(INDEX('Vendor COIs'!$M$4:$M$503,(_calc!$E$194-500)))=0,"",INDEX('Vendor COIs'!$M$4:$M$503,(_calc!$E$194-500)))&amp;". ")&amp;IF(LEN(IF(LEN(INDEX('Vendor COIs'!$P$4:$P$503,(_calc!$E$194-500)))=0,"",INDEX('Vendor COIs'!$P$4:$P$503,(_calc!$E$194-500))))=0,"",IF(LEN(INDEX('Vendor COIs'!$P$4:$P$503,(_calc!$E$194-500)))=0,"",INDEX('Vendor COIs'!$P$4:$P$503,(_calc!$E$194-500)))))))</f>
        <v/>
      </c>
      <c r="G192" s="46">
        <f>IF(_calc!$E$194="","",IF(_calc!$E$194&lt;=500,IF(LEN(INDEX('Our policies'!$R$4:$R$503,_calc!$E$194))=0,"",INDEX('Our policies'!$R$4:$R$503,_calc!$E$194)),IF(LEN(INDEX('Vendor COIs'!$O$4:$O$503,(_calc!$E$194-500)))=0,"",INDEX('Vendor COIs'!$O$4:$O$503,(_calc!$E$194-500)))))</f>
        <v/>
      </c>
      <c r="H192" s="46">
        <f>IF(_calc!$E$194="","",IF(_calc!$E$194&lt;=500,IF(LEN(INDEX('Our policies'!$G$4:$G$503,_calc!$E$194))=0,"",INDEX('Our policies'!$G$4:$G$503,_calc!$E$194)),""))</f>
        <v/>
      </c>
      <c r="I192" s="46">
        <f>IF(_calc!$E$194="","",IF(_calc!$E$194&lt;=500,IF(LEN(INDEX('Our policies'!$H$4:$H$503,_calc!$E$194))=0,"",INDEX('Our policies'!$H$4:$H$503,_calc!$E$194)),""))</f>
        <v/>
      </c>
      <c r="K192" s="46">
        <f>IF(_calc!$E$194="","",IF(_calc!$E$194&lt;=500,IF(LEN(INDEX('Our policies'!$P$4:$P$503,_calc!$E$194))=0,"",INDEX('Our policies'!$P$4:$P$503,_calc!$E$194)),IF(LEN(INDEX('Vendor COIs'!$N$4:$N$503,(_calc!$E$194-500)))=0,"",INDEX('Vendor COIs'!$N$4:$N$503,(_calc!$E$194-500)))))</f>
        <v/>
      </c>
    </row>
    <row r="193">
      <c r="A193" s="46">
        <f>IF(_calc!$E$195="","",IF(_calc!$E$195&lt;=500,IF(LEN(INDEX('Our policies'!$A$4:$A$503,_calc!$E$195))=0,"",INDEX('Our policies'!$A$4:$A$503,_calc!$E$195)),"COI – "&amp;IF(LEN(INDEX('Vendor COIs'!$A$4:$A$503,(_calc!$E$195-500)))=0,"",INDEX('Vendor COIs'!$A$4:$A$503,(_calc!$E$195-500)))&amp;" – "&amp;IF(LEN(INDEX('Vendor COIs'!$B$4:$B$503,(_calc!$E$195-500)))=0,"",INDEX('Vendor COIs'!$B$4:$B$503,(_calc!$E$195-500)))))</f>
        <v/>
      </c>
      <c r="B193" s="46">
        <f>IF(_calc!$E$195="","",IF(_calc!$E$195&lt;=500,IF(ISNUMBER(INDEX('Our policies'!$J$4:$J$503,_calc!$E$195)),TEXT(INDEX('Our policies'!$J$4:$J$503,_calc!$E$195),"yyyy-mm-dd"),""),IF(ISNUMBER(INDEX('Vendor COIs'!$H$4:$H$503,(_calc!$E$195-500))),TEXT(INDEX('Vendor COIs'!$H$4:$H$503,(_calc!$E$195-500)),"yyyy-mm-dd"),"")))</f>
        <v/>
      </c>
      <c r="C193" s="46">
        <f>IF(_calc!$E$195="","",IF(_calc!$E$195&lt;=500,"Insurance","Certificate of insurance"))</f>
        <v/>
      </c>
      <c r="D193" s="46">
        <f>IF(_calc!$E$195="","",IF(_calc!$E$195&lt;=500,IF(ISNUMBER(INDEX('Our policies'!$I$4:$I$503,_calc!$E$195)),TEXT(INDEX('Our policies'!$I$4:$I$503,_calc!$E$195),"yyyy-mm-dd"),""),""))</f>
        <v/>
      </c>
      <c r="E193" s="46">
        <f>IF(_calc!$E$195="","",IF(_calc!$E$195&lt;=500,IF(LEN(INDEX('Our policies'!$Q$4:$Q$503,_calc!$E$195))=0,"",INDEX('Our policies'!$Q$4:$Q$503,_calc!$E$195)),"Medium"))</f>
        <v/>
      </c>
      <c r="F193" s="46">
        <f>IF(_calc!$E$195="","",IF(_calc!$E$195&lt;=500,TRIM(IF(LEN(IF(LEN(INDEX('Our policies'!$B$4:$B$503,_calc!$E$195))=0,"",INDEX('Our policies'!$B$4:$B$503,_calc!$E$195)))=0,"","Cover: "&amp;IF(LEN(INDEX('Our policies'!$B$4:$B$503,_calc!$E$195))=0,"",INDEX('Our policies'!$B$4:$B$503,_calc!$E$195))&amp;". ")&amp;IF(LEN(IF(LEN(INDEX('Our policies'!$C$4:$C$503,_calc!$E$195))=0,"",INDEX('Our policies'!$C$4:$C$503,_calc!$E$195)))=0,"","Insurer: "&amp;IF(LEN(INDEX('Our policies'!$C$4:$C$503,_calc!$E$195))=0,"",INDEX('Our policies'!$C$4:$C$503,_calc!$E$195))&amp;". ")&amp;IF(LEN(IF(LEN(INDEX('Our policies'!$D$4:$D$503,_calc!$E$195))=0,"",INDEX('Our policies'!$D$4:$D$503,_calc!$E$195)))=0,"","Broker: "&amp;IF(LEN(INDEX('Our policies'!$D$4:$D$503,_calc!$E$195))=0,"",INDEX('Our policies'!$D$4:$D$503,_calc!$E$195))&amp;". ")&amp;IF(LEN(IF(LEN(INDEX('Our policies'!$E$4:$E$503,_calc!$E$195))=0,"",INDEX('Our policies'!$E$4:$E$503,_calc!$E$195)))=0,"","Policy no.: "&amp;IF(LEN(INDEX('Our policies'!$E$4:$E$503,_calc!$E$195))=0,"",INDEX('Our policies'!$E$4:$E$503,_calc!$E$195))&amp;". ")&amp;IF(LEN(IF(LEN(INDEX('Our policies'!$S$4:$S$503,_calc!$E$195))=0,"",INDEX('Our policies'!$S$4:$S$503,_calc!$E$195)))=0,"",IF(LEN(INDEX('Our policies'!$S$4:$S$503,_calc!$E$195))=0,"",INDEX('Our policies'!$S$4:$S$503,_calc!$E$195)))),TRIM(IF(LEN(IF(LEN(INDEX('Vendor COIs'!$C$4:$C$503,(_calc!$E$195-500)))=0,"",INDEX('Vendor COIs'!$C$4:$C$503,(_calc!$E$195-500))))=0,"","Insurer: "&amp;IF(LEN(INDEX('Vendor COIs'!$C$4:$C$503,(_calc!$E$195-500)))=0,"",INDEX('Vendor COIs'!$C$4:$C$503,(_calc!$E$195-500)))&amp;". ")&amp;IF(LEN(IF(LEN(INDEX('Vendor COIs'!$D$4:$D$503,(_calc!$E$195-500)))=0,"",INDEX('Vendor COIs'!$D$4:$D$503,(_calc!$E$195-500))))=0,"","Policy no.: "&amp;IF(LEN(INDEX('Vendor COIs'!$D$4:$D$503,(_calc!$E$195-500)))=0,"",INDEX('Vendor COIs'!$D$4:$D$503,(_calc!$E$195-500)))&amp;". ")&amp;IF(LEN(IF(LEN(INDEX('Vendor COIs'!$F$4:$F$503,(_calc!$E$195-500)))=0,"",INDEX('Vendor COIs'!$F$4:$F$503,(_calc!$E$195-500))))=0,"","Meets minimum: "&amp;IF(LEN(INDEX('Vendor COIs'!$F$4:$F$503,(_calc!$E$195-500)))=0,"",INDEX('Vendor COIs'!$F$4:$F$503,(_calc!$E$195-500)))&amp;". ")&amp;IF(LEN(IF(LEN(INDEX('Vendor COIs'!$G$4:$G$503,(_calc!$E$195-500)))=0,"",INDEX('Vendor COIs'!$G$4:$G$503,(_calc!$E$195-500))))=0,"","Additional insured: "&amp;IF(LEN(INDEX('Vendor COIs'!$G$4:$G$503,(_calc!$E$195-500)))=0,"",INDEX('Vendor COIs'!$G$4:$G$503,(_calc!$E$195-500)))&amp;". ")&amp;IF(LEN(IF(LEN(INDEX('Vendor COIs'!$M$4:$M$503,(_calc!$E$195-500)))=0,"",INDEX('Vendor COIs'!$M$4:$M$503,(_calc!$E$195-500))))=0,"","Vendor contact: "&amp;IF(LEN(INDEX('Vendor COIs'!$M$4:$M$503,(_calc!$E$195-500)))=0,"",INDEX('Vendor COIs'!$M$4:$M$503,(_calc!$E$195-500)))&amp;". ")&amp;IF(LEN(IF(LEN(INDEX('Vendor COIs'!$P$4:$P$503,(_calc!$E$195-500)))=0,"",INDEX('Vendor COIs'!$P$4:$P$503,(_calc!$E$195-500))))=0,"",IF(LEN(INDEX('Vendor COIs'!$P$4:$P$503,(_calc!$E$195-500)))=0,"",INDEX('Vendor COIs'!$P$4:$P$503,(_calc!$E$195-500)))))))</f>
        <v/>
      </c>
      <c r="G193" s="46">
        <f>IF(_calc!$E$195="","",IF(_calc!$E$195&lt;=500,IF(LEN(INDEX('Our policies'!$R$4:$R$503,_calc!$E$195))=0,"",INDEX('Our policies'!$R$4:$R$503,_calc!$E$195)),IF(LEN(INDEX('Vendor COIs'!$O$4:$O$503,(_calc!$E$195-500)))=0,"",INDEX('Vendor COIs'!$O$4:$O$503,(_calc!$E$195-500)))))</f>
        <v/>
      </c>
      <c r="H193" s="46">
        <f>IF(_calc!$E$195="","",IF(_calc!$E$195&lt;=500,IF(LEN(INDEX('Our policies'!$G$4:$G$503,_calc!$E$195))=0,"",INDEX('Our policies'!$G$4:$G$503,_calc!$E$195)),""))</f>
        <v/>
      </c>
      <c r="I193" s="46">
        <f>IF(_calc!$E$195="","",IF(_calc!$E$195&lt;=500,IF(LEN(INDEX('Our policies'!$H$4:$H$503,_calc!$E$195))=0,"",INDEX('Our policies'!$H$4:$H$503,_calc!$E$195)),""))</f>
        <v/>
      </c>
      <c r="K193" s="46">
        <f>IF(_calc!$E$195="","",IF(_calc!$E$195&lt;=500,IF(LEN(INDEX('Our policies'!$P$4:$P$503,_calc!$E$195))=0,"",INDEX('Our policies'!$P$4:$P$503,_calc!$E$195)),IF(LEN(INDEX('Vendor COIs'!$N$4:$N$503,(_calc!$E$195-500)))=0,"",INDEX('Vendor COIs'!$N$4:$N$503,(_calc!$E$195-500)))))</f>
        <v/>
      </c>
    </row>
    <row r="194">
      <c r="A194" s="46">
        <f>IF(_calc!$E$196="","",IF(_calc!$E$196&lt;=500,IF(LEN(INDEX('Our policies'!$A$4:$A$503,_calc!$E$196))=0,"",INDEX('Our policies'!$A$4:$A$503,_calc!$E$196)),"COI – "&amp;IF(LEN(INDEX('Vendor COIs'!$A$4:$A$503,(_calc!$E$196-500)))=0,"",INDEX('Vendor COIs'!$A$4:$A$503,(_calc!$E$196-500)))&amp;" – "&amp;IF(LEN(INDEX('Vendor COIs'!$B$4:$B$503,(_calc!$E$196-500)))=0,"",INDEX('Vendor COIs'!$B$4:$B$503,(_calc!$E$196-500)))))</f>
        <v/>
      </c>
      <c r="B194" s="46">
        <f>IF(_calc!$E$196="","",IF(_calc!$E$196&lt;=500,IF(ISNUMBER(INDEX('Our policies'!$J$4:$J$503,_calc!$E$196)),TEXT(INDEX('Our policies'!$J$4:$J$503,_calc!$E$196),"yyyy-mm-dd"),""),IF(ISNUMBER(INDEX('Vendor COIs'!$H$4:$H$503,(_calc!$E$196-500))),TEXT(INDEX('Vendor COIs'!$H$4:$H$503,(_calc!$E$196-500)),"yyyy-mm-dd"),"")))</f>
        <v/>
      </c>
      <c r="C194" s="46">
        <f>IF(_calc!$E$196="","",IF(_calc!$E$196&lt;=500,"Insurance","Certificate of insurance"))</f>
        <v/>
      </c>
      <c r="D194" s="46">
        <f>IF(_calc!$E$196="","",IF(_calc!$E$196&lt;=500,IF(ISNUMBER(INDEX('Our policies'!$I$4:$I$503,_calc!$E$196)),TEXT(INDEX('Our policies'!$I$4:$I$503,_calc!$E$196),"yyyy-mm-dd"),""),""))</f>
        <v/>
      </c>
      <c r="E194" s="46">
        <f>IF(_calc!$E$196="","",IF(_calc!$E$196&lt;=500,IF(LEN(INDEX('Our policies'!$Q$4:$Q$503,_calc!$E$196))=0,"",INDEX('Our policies'!$Q$4:$Q$503,_calc!$E$196)),"Medium"))</f>
        <v/>
      </c>
      <c r="F194" s="46">
        <f>IF(_calc!$E$196="","",IF(_calc!$E$196&lt;=500,TRIM(IF(LEN(IF(LEN(INDEX('Our policies'!$B$4:$B$503,_calc!$E$196))=0,"",INDEX('Our policies'!$B$4:$B$503,_calc!$E$196)))=0,"","Cover: "&amp;IF(LEN(INDEX('Our policies'!$B$4:$B$503,_calc!$E$196))=0,"",INDEX('Our policies'!$B$4:$B$503,_calc!$E$196))&amp;". ")&amp;IF(LEN(IF(LEN(INDEX('Our policies'!$C$4:$C$503,_calc!$E$196))=0,"",INDEX('Our policies'!$C$4:$C$503,_calc!$E$196)))=0,"","Insurer: "&amp;IF(LEN(INDEX('Our policies'!$C$4:$C$503,_calc!$E$196))=0,"",INDEX('Our policies'!$C$4:$C$503,_calc!$E$196))&amp;". ")&amp;IF(LEN(IF(LEN(INDEX('Our policies'!$D$4:$D$503,_calc!$E$196))=0,"",INDEX('Our policies'!$D$4:$D$503,_calc!$E$196)))=0,"","Broker: "&amp;IF(LEN(INDEX('Our policies'!$D$4:$D$503,_calc!$E$196))=0,"",INDEX('Our policies'!$D$4:$D$503,_calc!$E$196))&amp;". ")&amp;IF(LEN(IF(LEN(INDEX('Our policies'!$E$4:$E$503,_calc!$E$196))=0,"",INDEX('Our policies'!$E$4:$E$503,_calc!$E$196)))=0,"","Policy no.: "&amp;IF(LEN(INDEX('Our policies'!$E$4:$E$503,_calc!$E$196))=0,"",INDEX('Our policies'!$E$4:$E$503,_calc!$E$196))&amp;". ")&amp;IF(LEN(IF(LEN(INDEX('Our policies'!$S$4:$S$503,_calc!$E$196))=0,"",INDEX('Our policies'!$S$4:$S$503,_calc!$E$196)))=0,"",IF(LEN(INDEX('Our policies'!$S$4:$S$503,_calc!$E$196))=0,"",INDEX('Our policies'!$S$4:$S$503,_calc!$E$196)))),TRIM(IF(LEN(IF(LEN(INDEX('Vendor COIs'!$C$4:$C$503,(_calc!$E$196-500)))=0,"",INDEX('Vendor COIs'!$C$4:$C$503,(_calc!$E$196-500))))=0,"","Insurer: "&amp;IF(LEN(INDEX('Vendor COIs'!$C$4:$C$503,(_calc!$E$196-500)))=0,"",INDEX('Vendor COIs'!$C$4:$C$503,(_calc!$E$196-500)))&amp;". ")&amp;IF(LEN(IF(LEN(INDEX('Vendor COIs'!$D$4:$D$503,(_calc!$E$196-500)))=0,"",INDEX('Vendor COIs'!$D$4:$D$503,(_calc!$E$196-500))))=0,"","Policy no.: "&amp;IF(LEN(INDEX('Vendor COIs'!$D$4:$D$503,(_calc!$E$196-500)))=0,"",INDEX('Vendor COIs'!$D$4:$D$503,(_calc!$E$196-500)))&amp;". ")&amp;IF(LEN(IF(LEN(INDEX('Vendor COIs'!$F$4:$F$503,(_calc!$E$196-500)))=0,"",INDEX('Vendor COIs'!$F$4:$F$503,(_calc!$E$196-500))))=0,"","Meets minimum: "&amp;IF(LEN(INDEX('Vendor COIs'!$F$4:$F$503,(_calc!$E$196-500)))=0,"",INDEX('Vendor COIs'!$F$4:$F$503,(_calc!$E$196-500)))&amp;". ")&amp;IF(LEN(IF(LEN(INDEX('Vendor COIs'!$G$4:$G$503,(_calc!$E$196-500)))=0,"",INDEX('Vendor COIs'!$G$4:$G$503,(_calc!$E$196-500))))=0,"","Additional insured: "&amp;IF(LEN(INDEX('Vendor COIs'!$G$4:$G$503,(_calc!$E$196-500)))=0,"",INDEX('Vendor COIs'!$G$4:$G$503,(_calc!$E$196-500)))&amp;". ")&amp;IF(LEN(IF(LEN(INDEX('Vendor COIs'!$M$4:$M$503,(_calc!$E$196-500)))=0,"",INDEX('Vendor COIs'!$M$4:$M$503,(_calc!$E$196-500))))=0,"","Vendor contact: "&amp;IF(LEN(INDEX('Vendor COIs'!$M$4:$M$503,(_calc!$E$196-500)))=0,"",INDEX('Vendor COIs'!$M$4:$M$503,(_calc!$E$196-500)))&amp;". ")&amp;IF(LEN(IF(LEN(INDEX('Vendor COIs'!$P$4:$P$503,(_calc!$E$196-500)))=0,"",INDEX('Vendor COIs'!$P$4:$P$503,(_calc!$E$196-500))))=0,"",IF(LEN(INDEX('Vendor COIs'!$P$4:$P$503,(_calc!$E$196-500)))=0,"",INDEX('Vendor COIs'!$P$4:$P$503,(_calc!$E$196-500)))))))</f>
        <v/>
      </c>
      <c r="G194" s="46">
        <f>IF(_calc!$E$196="","",IF(_calc!$E$196&lt;=500,IF(LEN(INDEX('Our policies'!$R$4:$R$503,_calc!$E$196))=0,"",INDEX('Our policies'!$R$4:$R$503,_calc!$E$196)),IF(LEN(INDEX('Vendor COIs'!$O$4:$O$503,(_calc!$E$196-500)))=0,"",INDEX('Vendor COIs'!$O$4:$O$503,(_calc!$E$196-500)))))</f>
        <v/>
      </c>
      <c r="H194" s="46">
        <f>IF(_calc!$E$196="","",IF(_calc!$E$196&lt;=500,IF(LEN(INDEX('Our policies'!$G$4:$G$503,_calc!$E$196))=0,"",INDEX('Our policies'!$G$4:$G$503,_calc!$E$196)),""))</f>
        <v/>
      </c>
      <c r="I194" s="46">
        <f>IF(_calc!$E$196="","",IF(_calc!$E$196&lt;=500,IF(LEN(INDEX('Our policies'!$H$4:$H$503,_calc!$E$196))=0,"",INDEX('Our policies'!$H$4:$H$503,_calc!$E$196)),""))</f>
        <v/>
      </c>
      <c r="K194" s="46">
        <f>IF(_calc!$E$196="","",IF(_calc!$E$196&lt;=500,IF(LEN(INDEX('Our policies'!$P$4:$P$503,_calc!$E$196))=0,"",INDEX('Our policies'!$P$4:$P$503,_calc!$E$196)),IF(LEN(INDEX('Vendor COIs'!$N$4:$N$503,(_calc!$E$196-500)))=0,"",INDEX('Vendor COIs'!$N$4:$N$503,(_calc!$E$196-500)))))</f>
        <v/>
      </c>
    </row>
    <row r="195">
      <c r="A195" s="46">
        <f>IF(_calc!$E$197="","",IF(_calc!$E$197&lt;=500,IF(LEN(INDEX('Our policies'!$A$4:$A$503,_calc!$E$197))=0,"",INDEX('Our policies'!$A$4:$A$503,_calc!$E$197)),"COI – "&amp;IF(LEN(INDEX('Vendor COIs'!$A$4:$A$503,(_calc!$E$197-500)))=0,"",INDEX('Vendor COIs'!$A$4:$A$503,(_calc!$E$197-500)))&amp;" – "&amp;IF(LEN(INDEX('Vendor COIs'!$B$4:$B$503,(_calc!$E$197-500)))=0,"",INDEX('Vendor COIs'!$B$4:$B$503,(_calc!$E$197-500)))))</f>
        <v/>
      </c>
      <c r="B195" s="46">
        <f>IF(_calc!$E$197="","",IF(_calc!$E$197&lt;=500,IF(ISNUMBER(INDEX('Our policies'!$J$4:$J$503,_calc!$E$197)),TEXT(INDEX('Our policies'!$J$4:$J$503,_calc!$E$197),"yyyy-mm-dd"),""),IF(ISNUMBER(INDEX('Vendor COIs'!$H$4:$H$503,(_calc!$E$197-500))),TEXT(INDEX('Vendor COIs'!$H$4:$H$503,(_calc!$E$197-500)),"yyyy-mm-dd"),"")))</f>
        <v/>
      </c>
      <c r="C195" s="46">
        <f>IF(_calc!$E$197="","",IF(_calc!$E$197&lt;=500,"Insurance","Certificate of insurance"))</f>
        <v/>
      </c>
      <c r="D195" s="46">
        <f>IF(_calc!$E$197="","",IF(_calc!$E$197&lt;=500,IF(ISNUMBER(INDEX('Our policies'!$I$4:$I$503,_calc!$E$197)),TEXT(INDEX('Our policies'!$I$4:$I$503,_calc!$E$197),"yyyy-mm-dd"),""),""))</f>
        <v/>
      </c>
      <c r="E195" s="46">
        <f>IF(_calc!$E$197="","",IF(_calc!$E$197&lt;=500,IF(LEN(INDEX('Our policies'!$Q$4:$Q$503,_calc!$E$197))=0,"",INDEX('Our policies'!$Q$4:$Q$503,_calc!$E$197)),"Medium"))</f>
        <v/>
      </c>
      <c r="F195" s="46">
        <f>IF(_calc!$E$197="","",IF(_calc!$E$197&lt;=500,TRIM(IF(LEN(IF(LEN(INDEX('Our policies'!$B$4:$B$503,_calc!$E$197))=0,"",INDEX('Our policies'!$B$4:$B$503,_calc!$E$197)))=0,"","Cover: "&amp;IF(LEN(INDEX('Our policies'!$B$4:$B$503,_calc!$E$197))=0,"",INDEX('Our policies'!$B$4:$B$503,_calc!$E$197))&amp;". ")&amp;IF(LEN(IF(LEN(INDEX('Our policies'!$C$4:$C$503,_calc!$E$197))=0,"",INDEX('Our policies'!$C$4:$C$503,_calc!$E$197)))=0,"","Insurer: "&amp;IF(LEN(INDEX('Our policies'!$C$4:$C$503,_calc!$E$197))=0,"",INDEX('Our policies'!$C$4:$C$503,_calc!$E$197))&amp;". ")&amp;IF(LEN(IF(LEN(INDEX('Our policies'!$D$4:$D$503,_calc!$E$197))=0,"",INDEX('Our policies'!$D$4:$D$503,_calc!$E$197)))=0,"","Broker: "&amp;IF(LEN(INDEX('Our policies'!$D$4:$D$503,_calc!$E$197))=0,"",INDEX('Our policies'!$D$4:$D$503,_calc!$E$197))&amp;". ")&amp;IF(LEN(IF(LEN(INDEX('Our policies'!$E$4:$E$503,_calc!$E$197))=0,"",INDEX('Our policies'!$E$4:$E$503,_calc!$E$197)))=0,"","Policy no.: "&amp;IF(LEN(INDEX('Our policies'!$E$4:$E$503,_calc!$E$197))=0,"",INDEX('Our policies'!$E$4:$E$503,_calc!$E$197))&amp;". ")&amp;IF(LEN(IF(LEN(INDEX('Our policies'!$S$4:$S$503,_calc!$E$197))=0,"",INDEX('Our policies'!$S$4:$S$503,_calc!$E$197)))=0,"",IF(LEN(INDEX('Our policies'!$S$4:$S$503,_calc!$E$197))=0,"",INDEX('Our policies'!$S$4:$S$503,_calc!$E$197)))),TRIM(IF(LEN(IF(LEN(INDEX('Vendor COIs'!$C$4:$C$503,(_calc!$E$197-500)))=0,"",INDEX('Vendor COIs'!$C$4:$C$503,(_calc!$E$197-500))))=0,"","Insurer: "&amp;IF(LEN(INDEX('Vendor COIs'!$C$4:$C$503,(_calc!$E$197-500)))=0,"",INDEX('Vendor COIs'!$C$4:$C$503,(_calc!$E$197-500)))&amp;". ")&amp;IF(LEN(IF(LEN(INDEX('Vendor COIs'!$D$4:$D$503,(_calc!$E$197-500)))=0,"",INDEX('Vendor COIs'!$D$4:$D$503,(_calc!$E$197-500))))=0,"","Policy no.: "&amp;IF(LEN(INDEX('Vendor COIs'!$D$4:$D$503,(_calc!$E$197-500)))=0,"",INDEX('Vendor COIs'!$D$4:$D$503,(_calc!$E$197-500)))&amp;". ")&amp;IF(LEN(IF(LEN(INDEX('Vendor COIs'!$F$4:$F$503,(_calc!$E$197-500)))=0,"",INDEX('Vendor COIs'!$F$4:$F$503,(_calc!$E$197-500))))=0,"","Meets minimum: "&amp;IF(LEN(INDEX('Vendor COIs'!$F$4:$F$503,(_calc!$E$197-500)))=0,"",INDEX('Vendor COIs'!$F$4:$F$503,(_calc!$E$197-500)))&amp;". ")&amp;IF(LEN(IF(LEN(INDEX('Vendor COIs'!$G$4:$G$503,(_calc!$E$197-500)))=0,"",INDEX('Vendor COIs'!$G$4:$G$503,(_calc!$E$197-500))))=0,"","Additional insured: "&amp;IF(LEN(INDEX('Vendor COIs'!$G$4:$G$503,(_calc!$E$197-500)))=0,"",INDEX('Vendor COIs'!$G$4:$G$503,(_calc!$E$197-500)))&amp;". ")&amp;IF(LEN(IF(LEN(INDEX('Vendor COIs'!$M$4:$M$503,(_calc!$E$197-500)))=0,"",INDEX('Vendor COIs'!$M$4:$M$503,(_calc!$E$197-500))))=0,"","Vendor contact: "&amp;IF(LEN(INDEX('Vendor COIs'!$M$4:$M$503,(_calc!$E$197-500)))=0,"",INDEX('Vendor COIs'!$M$4:$M$503,(_calc!$E$197-500)))&amp;". ")&amp;IF(LEN(IF(LEN(INDEX('Vendor COIs'!$P$4:$P$503,(_calc!$E$197-500)))=0,"",INDEX('Vendor COIs'!$P$4:$P$503,(_calc!$E$197-500))))=0,"",IF(LEN(INDEX('Vendor COIs'!$P$4:$P$503,(_calc!$E$197-500)))=0,"",INDEX('Vendor COIs'!$P$4:$P$503,(_calc!$E$197-500)))))))</f>
        <v/>
      </c>
      <c r="G195" s="46">
        <f>IF(_calc!$E$197="","",IF(_calc!$E$197&lt;=500,IF(LEN(INDEX('Our policies'!$R$4:$R$503,_calc!$E$197))=0,"",INDEX('Our policies'!$R$4:$R$503,_calc!$E$197)),IF(LEN(INDEX('Vendor COIs'!$O$4:$O$503,(_calc!$E$197-500)))=0,"",INDEX('Vendor COIs'!$O$4:$O$503,(_calc!$E$197-500)))))</f>
        <v/>
      </c>
      <c r="H195" s="46">
        <f>IF(_calc!$E$197="","",IF(_calc!$E$197&lt;=500,IF(LEN(INDEX('Our policies'!$G$4:$G$503,_calc!$E$197))=0,"",INDEX('Our policies'!$G$4:$G$503,_calc!$E$197)),""))</f>
        <v/>
      </c>
      <c r="I195" s="46">
        <f>IF(_calc!$E$197="","",IF(_calc!$E$197&lt;=500,IF(LEN(INDEX('Our policies'!$H$4:$H$503,_calc!$E$197))=0,"",INDEX('Our policies'!$H$4:$H$503,_calc!$E$197)),""))</f>
        <v/>
      </c>
      <c r="K195" s="46">
        <f>IF(_calc!$E$197="","",IF(_calc!$E$197&lt;=500,IF(LEN(INDEX('Our policies'!$P$4:$P$503,_calc!$E$197))=0,"",INDEX('Our policies'!$P$4:$P$503,_calc!$E$197)),IF(LEN(INDEX('Vendor COIs'!$N$4:$N$503,(_calc!$E$197-500)))=0,"",INDEX('Vendor COIs'!$N$4:$N$503,(_calc!$E$197-500)))))</f>
        <v/>
      </c>
    </row>
    <row r="196">
      <c r="A196" s="46">
        <f>IF(_calc!$E$198="","",IF(_calc!$E$198&lt;=500,IF(LEN(INDEX('Our policies'!$A$4:$A$503,_calc!$E$198))=0,"",INDEX('Our policies'!$A$4:$A$503,_calc!$E$198)),"COI – "&amp;IF(LEN(INDEX('Vendor COIs'!$A$4:$A$503,(_calc!$E$198-500)))=0,"",INDEX('Vendor COIs'!$A$4:$A$503,(_calc!$E$198-500)))&amp;" – "&amp;IF(LEN(INDEX('Vendor COIs'!$B$4:$B$503,(_calc!$E$198-500)))=0,"",INDEX('Vendor COIs'!$B$4:$B$503,(_calc!$E$198-500)))))</f>
        <v/>
      </c>
      <c r="B196" s="46">
        <f>IF(_calc!$E$198="","",IF(_calc!$E$198&lt;=500,IF(ISNUMBER(INDEX('Our policies'!$J$4:$J$503,_calc!$E$198)),TEXT(INDEX('Our policies'!$J$4:$J$503,_calc!$E$198),"yyyy-mm-dd"),""),IF(ISNUMBER(INDEX('Vendor COIs'!$H$4:$H$503,(_calc!$E$198-500))),TEXT(INDEX('Vendor COIs'!$H$4:$H$503,(_calc!$E$198-500)),"yyyy-mm-dd"),"")))</f>
        <v/>
      </c>
      <c r="C196" s="46">
        <f>IF(_calc!$E$198="","",IF(_calc!$E$198&lt;=500,"Insurance","Certificate of insurance"))</f>
        <v/>
      </c>
      <c r="D196" s="46">
        <f>IF(_calc!$E$198="","",IF(_calc!$E$198&lt;=500,IF(ISNUMBER(INDEX('Our policies'!$I$4:$I$503,_calc!$E$198)),TEXT(INDEX('Our policies'!$I$4:$I$503,_calc!$E$198),"yyyy-mm-dd"),""),""))</f>
        <v/>
      </c>
      <c r="E196" s="46">
        <f>IF(_calc!$E$198="","",IF(_calc!$E$198&lt;=500,IF(LEN(INDEX('Our policies'!$Q$4:$Q$503,_calc!$E$198))=0,"",INDEX('Our policies'!$Q$4:$Q$503,_calc!$E$198)),"Medium"))</f>
        <v/>
      </c>
      <c r="F196" s="46">
        <f>IF(_calc!$E$198="","",IF(_calc!$E$198&lt;=500,TRIM(IF(LEN(IF(LEN(INDEX('Our policies'!$B$4:$B$503,_calc!$E$198))=0,"",INDEX('Our policies'!$B$4:$B$503,_calc!$E$198)))=0,"","Cover: "&amp;IF(LEN(INDEX('Our policies'!$B$4:$B$503,_calc!$E$198))=0,"",INDEX('Our policies'!$B$4:$B$503,_calc!$E$198))&amp;". ")&amp;IF(LEN(IF(LEN(INDEX('Our policies'!$C$4:$C$503,_calc!$E$198))=0,"",INDEX('Our policies'!$C$4:$C$503,_calc!$E$198)))=0,"","Insurer: "&amp;IF(LEN(INDEX('Our policies'!$C$4:$C$503,_calc!$E$198))=0,"",INDEX('Our policies'!$C$4:$C$503,_calc!$E$198))&amp;". ")&amp;IF(LEN(IF(LEN(INDEX('Our policies'!$D$4:$D$503,_calc!$E$198))=0,"",INDEX('Our policies'!$D$4:$D$503,_calc!$E$198)))=0,"","Broker: "&amp;IF(LEN(INDEX('Our policies'!$D$4:$D$503,_calc!$E$198))=0,"",INDEX('Our policies'!$D$4:$D$503,_calc!$E$198))&amp;". ")&amp;IF(LEN(IF(LEN(INDEX('Our policies'!$E$4:$E$503,_calc!$E$198))=0,"",INDEX('Our policies'!$E$4:$E$503,_calc!$E$198)))=0,"","Policy no.: "&amp;IF(LEN(INDEX('Our policies'!$E$4:$E$503,_calc!$E$198))=0,"",INDEX('Our policies'!$E$4:$E$503,_calc!$E$198))&amp;". ")&amp;IF(LEN(IF(LEN(INDEX('Our policies'!$S$4:$S$503,_calc!$E$198))=0,"",INDEX('Our policies'!$S$4:$S$503,_calc!$E$198)))=0,"",IF(LEN(INDEX('Our policies'!$S$4:$S$503,_calc!$E$198))=0,"",INDEX('Our policies'!$S$4:$S$503,_calc!$E$198)))),TRIM(IF(LEN(IF(LEN(INDEX('Vendor COIs'!$C$4:$C$503,(_calc!$E$198-500)))=0,"",INDEX('Vendor COIs'!$C$4:$C$503,(_calc!$E$198-500))))=0,"","Insurer: "&amp;IF(LEN(INDEX('Vendor COIs'!$C$4:$C$503,(_calc!$E$198-500)))=0,"",INDEX('Vendor COIs'!$C$4:$C$503,(_calc!$E$198-500)))&amp;". ")&amp;IF(LEN(IF(LEN(INDEX('Vendor COIs'!$D$4:$D$503,(_calc!$E$198-500)))=0,"",INDEX('Vendor COIs'!$D$4:$D$503,(_calc!$E$198-500))))=0,"","Policy no.: "&amp;IF(LEN(INDEX('Vendor COIs'!$D$4:$D$503,(_calc!$E$198-500)))=0,"",INDEX('Vendor COIs'!$D$4:$D$503,(_calc!$E$198-500)))&amp;". ")&amp;IF(LEN(IF(LEN(INDEX('Vendor COIs'!$F$4:$F$503,(_calc!$E$198-500)))=0,"",INDEX('Vendor COIs'!$F$4:$F$503,(_calc!$E$198-500))))=0,"","Meets minimum: "&amp;IF(LEN(INDEX('Vendor COIs'!$F$4:$F$503,(_calc!$E$198-500)))=0,"",INDEX('Vendor COIs'!$F$4:$F$503,(_calc!$E$198-500)))&amp;". ")&amp;IF(LEN(IF(LEN(INDEX('Vendor COIs'!$G$4:$G$503,(_calc!$E$198-500)))=0,"",INDEX('Vendor COIs'!$G$4:$G$503,(_calc!$E$198-500))))=0,"","Additional insured: "&amp;IF(LEN(INDEX('Vendor COIs'!$G$4:$G$503,(_calc!$E$198-500)))=0,"",INDEX('Vendor COIs'!$G$4:$G$503,(_calc!$E$198-500)))&amp;". ")&amp;IF(LEN(IF(LEN(INDEX('Vendor COIs'!$M$4:$M$503,(_calc!$E$198-500)))=0,"",INDEX('Vendor COIs'!$M$4:$M$503,(_calc!$E$198-500))))=0,"","Vendor contact: "&amp;IF(LEN(INDEX('Vendor COIs'!$M$4:$M$503,(_calc!$E$198-500)))=0,"",INDEX('Vendor COIs'!$M$4:$M$503,(_calc!$E$198-500)))&amp;". ")&amp;IF(LEN(IF(LEN(INDEX('Vendor COIs'!$P$4:$P$503,(_calc!$E$198-500)))=0,"",INDEX('Vendor COIs'!$P$4:$P$503,(_calc!$E$198-500))))=0,"",IF(LEN(INDEX('Vendor COIs'!$P$4:$P$503,(_calc!$E$198-500)))=0,"",INDEX('Vendor COIs'!$P$4:$P$503,(_calc!$E$198-500)))))))</f>
        <v/>
      </c>
      <c r="G196" s="46">
        <f>IF(_calc!$E$198="","",IF(_calc!$E$198&lt;=500,IF(LEN(INDEX('Our policies'!$R$4:$R$503,_calc!$E$198))=0,"",INDEX('Our policies'!$R$4:$R$503,_calc!$E$198)),IF(LEN(INDEX('Vendor COIs'!$O$4:$O$503,(_calc!$E$198-500)))=0,"",INDEX('Vendor COIs'!$O$4:$O$503,(_calc!$E$198-500)))))</f>
        <v/>
      </c>
      <c r="H196" s="46">
        <f>IF(_calc!$E$198="","",IF(_calc!$E$198&lt;=500,IF(LEN(INDEX('Our policies'!$G$4:$G$503,_calc!$E$198))=0,"",INDEX('Our policies'!$G$4:$G$503,_calc!$E$198)),""))</f>
        <v/>
      </c>
      <c r="I196" s="46">
        <f>IF(_calc!$E$198="","",IF(_calc!$E$198&lt;=500,IF(LEN(INDEX('Our policies'!$H$4:$H$503,_calc!$E$198))=0,"",INDEX('Our policies'!$H$4:$H$503,_calc!$E$198)),""))</f>
        <v/>
      </c>
      <c r="K196" s="46">
        <f>IF(_calc!$E$198="","",IF(_calc!$E$198&lt;=500,IF(LEN(INDEX('Our policies'!$P$4:$P$503,_calc!$E$198))=0,"",INDEX('Our policies'!$P$4:$P$503,_calc!$E$198)),IF(LEN(INDEX('Vendor COIs'!$N$4:$N$503,(_calc!$E$198-500)))=0,"",INDEX('Vendor COIs'!$N$4:$N$503,(_calc!$E$198-500)))))</f>
        <v/>
      </c>
    </row>
    <row r="197">
      <c r="A197" s="46">
        <f>IF(_calc!$E$199="","",IF(_calc!$E$199&lt;=500,IF(LEN(INDEX('Our policies'!$A$4:$A$503,_calc!$E$199))=0,"",INDEX('Our policies'!$A$4:$A$503,_calc!$E$199)),"COI – "&amp;IF(LEN(INDEX('Vendor COIs'!$A$4:$A$503,(_calc!$E$199-500)))=0,"",INDEX('Vendor COIs'!$A$4:$A$503,(_calc!$E$199-500)))&amp;" – "&amp;IF(LEN(INDEX('Vendor COIs'!$B$4:$B$503,(_calc!$E$199-500)))=0,"",INDEX('Vendor COIs'!$B$4:$B$503,(_calc!$E$199-500)))))</f>
        <v/>
      </c>
      <c r="B197" s="46">
        <f>IF(_calc!$E$199="","",IF(_calc!$E$199&lt;=500,IF(ISNUMBER(INDEX('Our policies'!$J$4:$J$503,_calc!$E$199)),TEXT(INDEX('Our policies'!$J$4:$J$503,_calc!$E$199),"yyyy-mm-dd"),""),IF(ISNUMBER(INDEX('Vendor COIs'!$H$4:$H$503,(_calc!$E$199-500))),TEXT(INDEX('Vendor COIs'!$H$4:$H$503,(_calc!$E$199-500)),"yyyy-mm-dd"),"")))</f>
        <v/>
      </c>
      <c r="C197" s="46">
        <f>IF(_calc!$E$199="","",IF(_calc!$E$199&lt;=500,"Insurance","Certificate of insurance"))</f>
        <v/>
      </c>
      <c r="D197" s="46">
        <f>IF(_calc!$E$199="","",IF(_calc!$E$199&lt;=500,IF(ISNUMBER(INDEX('Our policies'!$I$4:$I$503,_calc!$E$199)),TEXT(INDEX('Our policies'!$I$4:$I$503,_calc!$E$199),"yyyy-mm-dd"),""),""))</f>
        <v/>
      </c>
      <c r="E197" s="46">
        <f>IF(_calc!$E$199="","",IF(_calc!$E$199&lt;=500,IF(LEN(INDEX('Our policies'!$Q$4:$Q$503,_calc!$E$199))=0,"",INDEX('Our policies'!$Q$4:$Q$503,_calc!$E$199)),"Medium"))</f>
        <v/>
      </c>
      <c r="F197" s="46">
        <f>IF(_calc!$E$199="","",IF(_calc!$E$199&lt;=500,TRIM(IF(LEN(IF(LEN(INDEX('Our policies'!$B$4:$B$503,_calc!$E$199))=0,"",INDEX('Our policies'!$B$4:$B$503,_calc!$E$199)))=0,"","Cover: "&amp;IF(LEN(INDEX('Our policies'!$B$4:$B$503,_calc!$E$199))=0,"",INDEX('Our policies'!$B$4:$B$503,_calc!$E$199))&amp;". ")&amp;IF(LEN(IF(LEN(INDEX('Our policies'!$C$4:$C$503,_calc!$E$199))=0,"",INDEX('Our policies'!$C$4:$C$503,_calc!$E$199)))=0,"","Insurer: "&amp;IF(LEN(INDEX('Our policies'!$C$4:$C$503,_calc!$E$199))=0,"",INDEX('Our policies'!$C$4:$C$503,_calc!$E$199))&amp;". ")&amp;IF(LEN(IF(LEN(INDEX('Our policies'!$D$4:$D$503,_calc!$E$199))=0,"",INDEX('Our policies'!$D$4:$D$503,_calc!$E$199)))=0,"","Broker: "&amp;IF(LEN(INDEX('Our policies'!$D$4:$D$503,_calc!$E$199))=0,"",INDEX('Our policies'!$D$4:$D$503,_calc!$E$199))&amp;". ")&amp;IF(LEN(IF(LEN(INDEX('Our policies'!$E$4:$E$503,_calc!$E$199))=0,"",INDEX('Our policies'!$E$4:$E$503,_calc!$E$199)))=0,"","Policy no.: "&amp;IF(LEN(INDEX('Our policies'!$E$4:$E$503,_calc!$E$199))=0,"",INDEX('Our policies'!$E$4:$E$503,_calc!$E$199))&amp;". ")&amp;IF(LEN(IF(LEN(INDEX('Our policies'!$S$4:$S$503,_calc!$E$199))=0,"",INDEX('Our policies'!$S$4:$S$503,_calc!$E$199)))=0,"",IF(LEN(INDEX('Our policies'!$S$4:$S$503,_calc!$E$199))=0,"",INDEX('Our policies'!$S$4:$S$503,_calc!$E$199)))),TRIM(IF(LEN(IF(LEN(INDEX('Vendor COIs'!$C$4:$C$503,(_calc!$E$199-500)))=0,"",INDEX('Vendor COIs'!$C$4:$C$503,(_calc!$E$199-500))))=0,"","Insurer: "&amp;IF(LEN(INDEX('Vendor COIs'!$C$4:$C$503,(_calc!$E$199-500)))=0,"",INDEX('Vendor COIs'!$C$4:$C$503,(_calc!$E$199-500)))&amp;". ")&amp;IF(LEN(IF(LEN(INDEX('Vendor COIs'!$D$4:$D$503,(_calc!$E$199-500)))=0,"",INDEX('Vendor COIs'!$D$4:$D$503,(_calc!$E$199-500))))=0,"","Policy no.: "&amp;IF(LEN(INDEX('Vendor COIs'!$D$4:$D$503,(_calc!$E$199-500)))=0,"",INDEX('Vendor COIs'!$D$4:$D$503,(_calc!$E$199-500)))&amp;". ")&amp;IF(LEN(IF(LEN(INDEX('Vendor COIs'!$F$4:$F$503,(_calc!$E$199-500)))=0,"",INDEX('Vendor COIs'!$F$4:$F$503,(_calc!$E$199-500))))=0,"","Meets minimum: "&amp;IF(LEN(INDEX('Vendor COIs'!$F$4:$F$503,(_calc!$E$199-500)))=0,"",INDEX('Vendor COIs'!$F$4:$F$503,(_calc!$E$199-500)))&amp;". ")&amp;IF(LEN(IF(LEN(INDEX('Vendor COIs'!$G$4:$G$503,(_calc!$E$199-500)))=0,"",INDEX('Vendor COIs'!$G$4:$G$503,(_calc!$E$199-500))))=0,"","Additional insured: "&amp;IF(LEN(INDEX('Vendor COIs'!$G$4:$G$503,(_calc!$E$199-500)))=0,"",INDEX('Vendor COIs'!$G$4:$G$503,(_calc!$E$199-500)))&amp;". ")&amp;IF(LEN(IF(LEN(INDEX('Vendor COIs'!$M$4:$M$503,(_calc!$E$199-500)))=0,"",INDEX('Vendor COIs'!$M$4:$M$503,(_calc!$E$199-500))))=0,"","Vendor contact: "&amp;IF(LEN(INDEX('Vendor COIs'!$M$4:$M$503,(_calc!$E$199-500)))=0,"",INDEX('Vendor COIs'!$M$4:$M$503,(_calc!$E$199-500)))&amp;". ")&amp;IF(LEN(IF(LEN(INDEX('Vendor COIs'!$P$4:$P$503,(_calc!$E$199-500)))=0,"",INDEX('Vendor COIs'!$P$4:$P$503,(_calc!$E$199-500))))=0,"",IF(LEN(INDEX('Vendor COIs'!$P$4:$P$503,(_calc!$E$199-500)))=0,"",INDEX('Vendor COIs'!$P$4:$P$503,(_calc!$E$199-500)))))))</f>
        <v/>
      </c>
      <c r="G197" s="46">
        <f>IF(_calc!$E$199="","",IF(_calc!$E$199&lt;=500,IF(LEN(INDEX('Our policies'!$R$4:$R$503,_calc!$E$199))=0,"",INDEX('Our policies'!$R$4:$R$503,_calc!$E$199)),IF(LEN(INDEX('Vendor COIs'!$O$4:$O$503,(_calc!$E$199-500)))=0,"",INDEX('Vendor COIs'!$O$4:$O$503,(_calc!$E$199-500)))))</f>
        <v/>
      </c>
      <c r="H197" s="46">
        <f>IF(_calc!$E$199="","",IF(_calc!$E$199&lt;=500,IF(LEN(INDEX('Our policies'!$G$4:$G$503,_calc!$E$199))=0,"",INDEX('Our policies'!$G$4:$G$503,_calc!$E$199)),""))</f>
        <v/>
      </c>
      <c r="I197" s="46">
        <f>IF(_calc!$E$199="","",IF(_calc!$E$199&lt;=500,IF(LEN(INDEX('Our policies'!$H$4:$H$503,_calc!$E$199))=0,"",INDEX('Our policies'!$H$4:$H$503,_calc!$E$199)),""))</f>
        <v/>
      </c>
      <c r="K197" s="46">
        <f>IF(_calc!$E$199="","",IF(_calc!$E$199&lt;=500,IF(LEN(INDEX('Our policies'!$P$4:$P$503,_calc!$E$199))=0,"",INDEX('Our policies'!$P$4:$P$503,_calc!$E$199)),IF(LEN(INDEX('Vendor COIs'!$N$4:$N$503,(_calc!$E$199-500)))=0,"",INDEX('Vendor COIs'!$N$4:$N$503,(_calc!$E$199-500)))))</f>
        <v/>
      </c>
    </row>
    <row r="198">
      <c r="A198" s="46">
        <f>IF(_calc!$E$200="","",IF(_calc!$E$200&lt;=500,IF(LEN(INDEX('Our policies'!$A$4:$A$503,_calc!$E$200))=0,"",INDEX('Our policies'!$A$4:$A$503,_calc!$E$200)),"COI – "&amp;IF(LEN(INDEX('Vendor COIs'!$A$4:$A$503,(_calc!$E$200-500)))=0,"",INDEX('Vendor COIs'!$A$4:$A$503,(_calc!$E$200-500)))&amp;" – "&amp;IF(LEN(INDEX('Vendor COIs'!$B$4:$B$503,(_calc!$E$200-500)))=0,"",INDEX('Vendor COIs'!$B$4:$B$503,(_calc!$E$200-500)))))</f>
        <v/>
      </c>
      <c r="B198" s="46">
        <f>IF(_calc!$E$200="","",IF(_calc!$E$200&lt;=500,IF(ISNUMBER(INDEX('Our policies'!$J$4:$J$503,_calc!$E$200)),TEXT(INDEX('Our policies'!$J$4:$J$503,_calc!$E$200),"yyyy-mm-dd"),""),IF(ISNUMBER(INDEX('Vendor COIs'!$H$4:$H$503,(_calc!$E$200-500))),TEXT(INDEX('Vendor COIs'!$H$4:$H$503,(_calc!$E$200-500)),"yyyy-mm-dd"),"")))</f>
        <v/>
      </c>
      <c r="C198" s="46">
        <f>IF(_calc!$E$200="","",IF(_calc!$E$200&lt;=500,"Insurance","Certificate of insurance"))</f>
        <v/>
      </c>
      <c r="D198" s="46">
        <f>IF(_calc!$E$200="","",IF(_calc!$E$200&lt;=500,IF(ISNUMBER(INDEX('Our policies'!$I$4:$I$503,_calc!$E$200)),TEXT(INDEX('Our policies'!$I$4:$I$503,_calc!$E$200),"yyyy-mm-dd"),""),""))</f>
        <v/>
      </c>
      <c r="E198" s="46">
        <f>IF(_calc!$E$200="","",IF(_calc!$E$200&lt;=500,IF(LEN(INDEX('Our policies'!$Q$4:$Q$503,_calc!$E$200))=0,"",INDEX('Our policies'!$Q$4:$Q$503,_calc!$E$200)),"Medium"))</f>
        <v/>
      </c>
      <c r="F198" s="46">
        <f>IF(_calc!$E$200="","",IF(_calc!$E$200&lt;=500,TRIM(IF(LEN(IF(LEN(INDEX('Our policies'!$B$4:$B$503,_calc!$E$200))=0,"",INDEX('Our policies'!$B$4:$B$503,_calc!$E$200)))=0,"","Cover: "&amp;IF(LEN(INDEX('Our policies'!$B$4:$B$503,_calc!$E$200))=0,"",INDEX('Our policies'!$B$4:$B$503,_calc!$E$200))&amp;". ")&amp;IF(LEN(IF(LEN(INDEX('Our policies'!$C$4:$C$503,_calc!$E$200))=0,"",INDEX('Our policies'!$C$4:$C$503,_calc!$E$200)))=0,"","Insurer: "&amp;IF(LEN(INDEX('Our policies'!$C$4:$C$503,_calc!$E$200))=0,"",INDEX('Our policies'!$C$4:$C$503,_calc!$E$200))&amp;". ")&amp;IF(LEN(IF(LEN(INDEX('Our policies'!$D$4:$D$503,_calc!$E$200))=0,"",INDEX('Our policies'!$D$4:$D$503,_calc!$E$200)))=0,"","Broker: "&amp;IF(LEN(INDEX('Our policies'!$D$4:$D$503,_calc!$E$200))=0,"",INDEX('Our policies'!$D$4:$D$503,_calc!$E$200))&amp;". ")&amp;IF(LEN(IF(LEN(INDEX('Our policies'!$E$4:$E$503,_calc!$E$200))=0,"",INDEX('Our policies'!$E$4:$E$503,_calc!$E$200)))=0,"","Policy no.: "&amp;IF(LEN(INDEX('Our policies'!$E$4:$E$503,_calc!$E$200))=0,"",INDEX('Our policies'!$E$4:$E$503,_calc!$E$200))&amp;". ")&amp;IF(LEN(IF(LEN(INDEX('Our policies'!$S$4:$S$503,_calc!$E$200))=0,"",INDEX('Our policies'!$S$4:$S$503,_calc!$E$200)))=0,"",IF(LEN(INDEX('Our policies'!$S$4:$S$503,_calc!$E$200))=0,"",INDEX('Our policies'!$S$4:$S$503,_calc!$E$200)))),TRIM(IF(LEN(IF(LEN(INDEX('Vendor COIs'!$C$4:$C$503,(_calc!$E$200-500)))=0,"",INDEX('Vendor COIs'!$C$4:$C$503,(_calc!$E$200-500))))=0,"","Insurer: "&amp;IF(LEN(INDEX('Vendor COIs'!$C$4:$C$503,(_calc!$E$200-500)))=0,"",INDEX('Vendor COIs'!$C$4:$C$503,(_calc!$E$200-500)))&amp;". ")&amp;IF(LEN(IF(LEN(INDEX('Vendor COIs'!$D$4:$D$503,(_calc!$E$200-500)))=0,"",INDEX('Vendor COIs'!$D$4:$D$503,(_calc!$E$200-500))))=0,"","Policy no.: "&amp;IF(LEN(INDEX('Vendor COIs'!$D$4:$D$503,(_calc!$E$200-500)))=0,"",INDEX('Vendor COIs'!$D$4:$D$503,(_calc!$E$200-500)))&amp;". ")&amp;IF(LEN(IF(LEN(INDEX('Vendor COIs'!$F$4:$F$503,(_calc!$E$200-500)))=0,"",INDEX('Vendor COIs'!$F$4:$F$503,(_calc!$E$200-500))))=0,"","Meets minimum: "&amp;IF(LEN(INDEX('Vendor COIs'!$F$4:$F$503,(_calc!$E$200-500)))=0,"",INDEX('Vendor COIs'!$F$4:$F$503,(_calc!$E$200-500)))&amp;". ")&amp;IF(LEN(IF(LEN(INDEX('Vendor COIs'!$G$4:$G$503,(_calc!$E$200-500)))=0,"",INDEX('Vendor COIs'!$G$4:$G$503,(_calc!$E$200-500))))=0,"","Additional insured: "&amp;IF(LEN(INDEX('Vendor COIs'!$G$4:$G$503,(_calc!$E$200-500)))=0,"",INDEX('Vendor COIs'!$G$4:$G$503,(_calc!$E$200-500)))&amp;". ")&amp;IF(LEN(IF(LEN(INDEX('Vendor COIs'!$M$4:$M$503,(_calc!$E$200-500)))=0,"",INDEX('Vendor COIs'!$M$4:$M$503,(_calc!$E$200-500))))=0,"","Vendor contact: "&amp;IF(LEN(INDEX('Vendor COIs'!$M$4:$M$503,(_calc!$E$200-500)))=0,"",INDEX('Vendor COIs'!$M$4:$M$503,(_calc!$E$200-500)))&amp;". ")&amp;IF(LEN(IF(LEN(INDEX('Vendor COIs'!$P$4:$P$503,(_calc!$E$200-500)))=0,"",INDEX('Vendor COIs'!$P$4:$P$503,(_calc!$E$200-500))))=0,"",IF(LEN(INDEX('Vendor COIs'!$P$4:$P$503,(_calc!$E$200-500)))=0,"",INDEX('Vendor COIs'!$P$4:$P$503,(_calc!$E$200-500)))))))</f>
        <v/>
      </c>
      <c r="G198" s="46">
        <f>IF(_calc!$E$200="","",IF(_calc!$E$200&lt;=500,IF(LEN(INDEX('Our policies'!$R$4:$R$503,_calc!$E$200))=0,"",INDEX('Our policies'!$R$4:$R$503,_calc!$E$200)),IF(LEN(INDEX('Vendor COIs'!$O$4:$O$503,(_calc!$E$200-500)))=0,"",INDEX('Vendor COIs'!$O$4:$O$503,(_calc!$E$200-500)))))</f>
        <v/>
      </c>
      <c r="H198" s="46">
        <f>IF(_calc!$E$200="","",IF(_calc!$E$200&lt;=500,IF(LEN(INDEX('Our policies'!$G$4:$G$503,_calc!$E$200))=0,"",INDEX('Our policies'!$G$4:$G$503,_calc!$E$200)),""))</f>
        <v/>
      </c>
      <c r="I198" s="46">
        <f>IF(_calc!$E$200="","",IF(_calc!$E$200&lt;=500,IF(LEN(INDEX('Our policies'!$H$4:$H$503,_calc!$E$200))=0,"",INDEX('Our policies'!$H$4:$H$503,_calc!$E$200)),""))</f>
        <v/>
      </c>
      <c r="K198" s="46">
        <f>IF(_calc!$E$200="","",IF(_calc!$E$200&lt;=500,IF(LEN(INDEX('Our policies'!$P$4:$P$503,_calc!$E$200))=0,"",INDEX('Our policies'!$P$4:$P$503,_calc!$E$200)),IF(LEN(INDEX('Vendor COIs'!$N$4:$N$503,(_calc!$E$200-500)))=0,"",INDEX('Vendor COIs'!$N$4:$N$503,(_calc!$E$200-500)))))</f>
        <v/>
      </c>
    </row>
    <row r="199">
      <c r="A199" s="46">
        <f>IF(_calc!$E$201="","",IF(_calc!$E$201&lt;=500,IF(LEN(INDEX('Our policies'!$A$4:$A$503,_calc!$E$201))=0,"",INDEX('Our policies'!$A$4:$A$503,_calc!$E$201)),"COI – "&amp;IF(LEN(INDEX('Vendor COIs'!$A$4:$A$503,(_calc!$E$201-500)))=0,"",INDEX('Vendor COIs'!$A$4:$A$503,(_calc!$E$201-500)))&amp;" – "&amp;IF(LEN(INDEX('Vendor COIs'!$B$4:$B$503,(_calc!$E$201-500)))=0,"",INDEX('Vendor COIs'!$B$4:$B$503,(_calc!$E$201-500)))))</f>
        <v/>
      </c>
      <c r="B199" s="46">
        <f>IF(_calc!$E$201="","",IF(_calc!$E$201&lt;=500,IF(ISNUMBER(INDEX('Our policies'!$J$4:$J$503,_calc!$E$201)),TEXT(INDEX('Our policies'!$J$4:$J$503,_calc!$E$201),"yyyy-mm-dd"),""),IF(ISNUMBER(INDEX('Vendor COIs'!$H$4:$H$503,(_calc!$E$201-500))),TEXT(INDEX('Vendor COIs'!$H$4:$H$503,(_calc!$E$201-500)),"yyyy-mm-dd"),"")))</f>
        <v/>
      </c>
      <c r="C199" s="46">
        <f>IF(_calc!$E$201="","",IF(_calc!$E$201&lt;=500,"Insurance","Certificate of insurance"))</f>
        <v/>
      </c>
      <c r="D199" s="46">
        <f>IF(_calc!$E$201="","",IF(_calc!$E$201&lt;=500,IF(ISNUMBER(INDEX('Our policies'!$I$4:$I$503,_calc!$E$201)),TEXT(INDEX('Our policies'!$I$4:$I$503,_calc!$E$201),"yyyy-mm-dd"),""),""))</f>
        <v/>
      </c>
      <c r="E199" s="46">
        <f>IF(_calc!$E$201="","",IF(_calc!$E$201&lt;=500,IF(LEN(INDEX('Our policies'!$Q$4:$Q$503,_calc!$E$201))=0,"",INDEX('Our policies'!$Q$4:$Q$503,_calc!$E$201)),"Medium"))</f>
        <v/>
      </c>
      <c r="F199" s="46">
        <f>IF(_calc!$E$201="","",IF(_calc!$E$201&lt;=500,TRIM(IF(LEN(IF(LEN(INDEX('Our policies'!$B$4:$B$503,_calc!$E$201))=0,"",INDEX('Our policies'!$B$4:$B$503,_calc!$E$201)))=0,"","Cover: "&amp;IF(LEN(INDEX('Our policies'!$B$4:$B$503,_calc!$E$201))=0,"",INDEX('Our policies'!$B$4:$B$503,_calc!$E$201))&amp;". ")&amp;IF(LEN(IF(LEN(INDEX('Our policies'!$C$4:$C$503,_calc!$E$201))=0,"",INDEX('Our policies'!$C$4:$C$503,_calc!$E$201)))=0,"","Insurer: "&amp;IF(LEN(INDEX('Our policies'!$C$4:$C$503,_calc!$E$201))=0,"",INDEX('Our policies'!$C$4:$C$503,_calc!$E$201))&amp;". ")&amp;IF(LEN(IF(LEN(INDEX('Our policies'!$D$4:$D$503,_calc!$E$201))=0,"",INDEX('Our policies'!$D$4:$D$503,_calc!$E$201)))=0,"","Broker: "&amp;IF(LEN(INDEX('Our policies'!$D$4:$D$503,_calc!$E$201))=0,"",INDEX('Our policies'!$D$4:$D$503,_calc!$E$201))&amp;". ")&amp;IF(LEN(IF(LEN(INDEX('Our policies'!$E$4:$E$503,_calc!$E$201))=0,"",INDEX('Our policies'!$E$4:$E$503,_calc!$E$201)))=0,"","Policy no.: "&amp;IF(LEN(INDEX('Our policies'!$E$4:$E$503,_calc!$E$201))=0,"",INDEX('Our policies'!$E$4:$E$503,_calc!$E$201))&amp;". ")&amp;IF(LEN(IF(LEN(INDEX('Our policies'!$S$4:$S$503,_calc!$E$201))=0,"",INDEX('Our policies'!$S$4:$S$503,_calc!$E$201)))=0,"",IF(LEN(INDEX('Our policies'!$S$4:$S$503,_calc!$E$201))=0,"",INDEX('Our policies'!$S$4:$S$503,_calc!$E$201)))),TRIM(IF(LEN(IF(LEN(INDEX('Vendor COIs'!$C$4:$C$503,(_calc!$E$201-500)))=0,"",INDEX('Vendor COIs'!$C$4:$C$503,(_calc!$E$201-500))))=0,"","Insurer: "&amp;IF(LEN(INDEX('Vendor COIs'!$C$4:$C$503,(_calc!$E$201-500)))=0,"",INDEX('Vendor COIs'!$C$4:$C$503,(_calc!$E$201-500)))&amp;". ")&amp;IF(LEN(IF(LEN(INDEX('Vendor COIs'!$D$4:$D$503,(_calc!$E$201-500)))=0,"",INDEX('Vendor COIs'!$D$4:$D$503,(_calc!$E$201-500))))=0,"","Policy no.: "&amp;IF(LEN(INDEX('Vendor COIs'!$D$4:$D$503,(_calc!$E$201-500)))=0,"",INDEX('Vendor COIs'!$D$4:$D$503,(_calc!$E$201-500)))&amp;". ")&amp;IF(LEN(IF(LEN(INDEX('Vendor COIs'!$F$4:$F$503,(_calc!$E$201-500)))=0,"",INDEX('Vendor COIs'!$F$4:$F$503,(_calc!$E$201-500))))=0,"","Meets minimum: "&amp;IF(LEN(INDEX('Vendor COIs'!$F$4:$F$503,(_calc!$E$201-500)))=0,"",INDEX('Vendor COIs'!$F$4:$F$503,(_calc!$E$201-500)))&amp;". ")&amp;IF(LEN(IF(LEN(INDEX('Vendor COIs'!$G$4:$G$503,(_calc!$E$201-500)))=0,"",INDEX('Vendor COIs'!$G$4:$G$503,(_calc!$E$201-500))))=0,"","Additional insured: "&amp;IF(LEN(INDEX('Vendor COIs'!$G$4:$G$503,(_calc!$E$201-500)))=0,"",INDEX('Vendor COIs'!$G$4:$G$503,(_calc!$E$201-500)))&amp;". ")&amp;IF(LEN(IF(LEN(INDEX('Vendor COIs'!$M$4:$M$503,(_calc!$E$201-500)))=0,"",INDEX('Vendor COIs'!$M$4:$M$503,(_calc!$E$201-500))))=0,"","Vendor contact: "&amp;IF(LEN(INDEX('Vendor COIs'!$M$4:$M$503,(_calc!$E$201-500)))=0,"",INDEX('Vendor COIs'!$M$4:$M$503,(_calc!$E$201-500)))&amp;". ")&amp;IF(LEN(IF(LEN(INDEX('Vendor COIs'!$P$4:$P$503,(_calc!$E$201-500)))=0,"",INDEX('Vendor COIs'!$P$4:$P$503,(_calc!$E$201-500))))=0,"",IF(LEN(INDEX('Vendor COIs'!$P$4:$P$503,(_calc!$E$201-500)))=0,"",INDEX('Vendor COIs'!$P$4:$P$503,(_calc!$E$201-500)))))))</f>
        <v/>
      </c>
      <c r="G199" s="46">
        <f>IF(_calc!$E$201="","",IF(_calc!$E$201&lt;=500,IF(LEN(INDEX('Our policies'!$R$4:$R$503,_calc!$E$201))=0,"",INDEX('Our policies'!$R$4:$R$503,_calc!$E$201)),IF(LEN(INDEX('Vendor COIs'!$O$4:$O$503,(_calc!$E$201-500)))=0,"",INDEX('Vendor COIs'!$O$4:$O$503,(_calc!$E$201-500)))))</f>
        <v/>
      </c>
      <c r="H199" s="46">
        <f>IF(_calc!$E$201="","",IF(_calc!$E$201&lt;=500,IF(LEN(INDEX('Our policies'!$G$4:$G$503,_calc!$E$201))=0,"",INDEX('Our policies'!$G$4:$G$503,_calc!$E$201)),""))</f>
        <v/>
      </c>
      <c r="I199" s="46">
        <f>IF(_calc!$E$201="","",IF(_calc!$E$201&lt;=500,IF(LEN(INDEX('Our policies'!$H$4:$H$503,_calc!$E$201))=0,"",INDEX('Our policies'!$H$4:$H$503,_calc!$E$201)),""))</f>
        <v/>
      </c>
      <c r="K199" s="46">
        <f>IF(_calc!$E$201="","",IF(_calc!$E$201&lt;=500,IF(LEN(INDEX('Our policies'!$P$4:$P$503,_calc!$E$201))=0,"",INDEX('Our policies'!$P$4:$P$503,_calc!$E$201)),IF(LEN(INDEX('Vendor COIs'!$N$4:$N$503,(_calc!$E$201-500)))=0,"",INDEX('Vendor COIs'!$N$4:$N$503,(_calc!$E$201-500)))))</f>
        <v/>
      </c>
    </row>
    <row r="200">
      <c r="A200" s="46">
        <f>IF(_calc!$E$202="","",IF(_calc!$E$202&lt;=500,IF(LEN(INDEX('Our policies'!$A$4:$A$503,_calc!$E$202))=0,"",INDEX('Our policies'!$A$4:$A$503,_calc!$E$202)),"COI – "&amp;IF(LEN(INDEX('Vendor COIs'!$A$4:$A$503,(_calc!$E$202-500)))=0,"",INDEX('Vendor COIs'!$A$4:$A$503,(_calc!$E$202-500)))&amp;" – "&amp;IF(LEN(INDEX('Vendor COIs'!$B$4:$B$503,(_calc!$E$202-500)))=0,"",INDEX('Vendor COIs'!$B$4:$B$503,(_calc!$E$202-500)))))</f>
        <v/>
      </c>
      <c r="B200" s="46">
        <f>IF(_calc!$E$202="","",IF(_calc!$E$202&lt;=500,IF(ISNUMBER(INDEX('Our policies'!$J$4:$J$503,_calc!$E$202)),TEXT(INDEX('Our policies'!$J$4:$J$503,_calc!$E$202),"yyyy-mm-dd"),""),IF(ISNUMBER(INDEX('Vendor COIs'!$H$4:$H$503,(_calc!$E$202-500))),TEXT(INDEX('Vendor COIs'!$H$4:$H$503,(_calc!$E$202-500)),"yyyy-mm-dd"),"")))</f>
        <v/>
      </c>
      <c r="C200" s="46">
        <f>IF(_calc!$E$202="","",IF(_calc!$E$202&lt;=500,"Insurance","Certificate of insurance"))</f>
        <v/>
      </c>
      <c r="D200" s="46">
        <f>IF(_calc!$E$202="","",IF(_calc!$E$202&lt;=500,IF(ISNUMBER(INDEX('Our policies'!$I$4:$I$503,_calc!$E$202)),TEXT(INDEX('Our policies'!$I$4:$I$503,_calc!$E$202),"yyyy-mm-dd"),""),""))</f>
        <v/>
      </c>
      <c r="E200" s="46">
        <f>IF(_calc!$E$202="","",IF(_calc!$E$202&lt;=500,IF(LEN(INDEX('Our policies'!$Q$4:$Q$503,_calc!$E$202))=0,"",INDEX('Our policies'!$Q$4:$Q$503,_calc!$E$202)),"Medium"))</f>
        <v/>
      </c>
      <c r="F200" s="46">
        <f>IF(_calc!$E$202="","",IF(_calc!$E$202&lt;=500,TRIM(IF(LEN(IF(LEN(INDEX('Our policies'!$B$4:$B$503,_calc!$E$202))=0,"",INDEX('Our policies'!$B$4:$B$503,_calc!$E$202)))=0,"","Cover: "&amp;IF(LEN(INDEX('Our policies'!$B$4:$B$503,_calc!$E$202))=0,"",INDEX('Our policies'!$B$4:$B$503,_calc!$E$202))&amp;". ")&amp;IF(LEN(IF(LEN(INDEX('Our policies'!$C$4:$C$503,_calc!$E$202))=0,"",INDEX('Our policies'!$C$4:$C$503,_calc!$E$202)))=0,"","Insurer: "&amp;IF(LEN(INDEX('Our policies'!$C$4:$C$503,_calc!$E$202))=0,"",INDEX('Our policies'!$C$4:$C$503,_calc!$E$202))&amp;". ")&amp;IF(LEN(IF(LEN(INDEX('Our policies'!$D$4:$D$503,_calc!$E$202))=0,"",INDEX('Our policies'!$D$4:$D$503,_calc!$E$202)))=0,"","Broker: "&amp;IF(LEN(INDEX('Our policies'!$D$4:$D$503,_calc!$E$202))=0,"",INDEX('Our policies'!$D$4:$D$503,_calc!$E$202))&amp;". ")&amp;IF(LEN(IF(LEN(INDEX('Our policies'!$E$4:$E$503,_calc!$E$202))=0,"",INDEX('Our policies'!$E$4:$E$503,_calc!$E$202)))=0,"","Policy no.: "&amp;IF(LEN(INDEX('Our policies'!$E$4:$E$503,_calc!$E$202))=0,"",INDEX('Our policies'!$E$4:$E$503,_calc!$E$202))&amp;". ")&amp;IF(LEN(IF(LEN(INDEX('Our policies'!$S$4:$S$503,_calc!$E$202))=0,"",INDEX('Our policies'!$S$4:$S$503,_calc!$E$202)))=0,"",IF(LEN(INDEX('Our policies'!$S$4:$S$503,_calc!$E$202))=0,"",INDEX('Our policies'!$S$4:$S$503,_calc!$E$202)))),TRIM(IF(LEN(IF(LEN(INDEX('Vendor COIs'!$C$4:$C$503,(_calc!$E$202-500)))=0,"",INDEX('Vendor COIs'!$C$4:$C$503,(_calc!$E$202-500))))=0,"","Insurer: "&amp;IF(LEN(INDEX('Vendor COIs'!$C$4:$C$503,(_calc!$E$202-500)))=0,"",INDEX('Vendor COIs'!$C$4:$C$503,(_calc!$E$202-500)))&amp;". ")&amp;IF(LEN(IF(LEN(INDEX('Vendor COIs'!$D$4:$D$503,(_calc!$E$202-500)))=0,"",INDEX('Vendor COIs'!$D$4:$D$503,(_calc!$E$202-500))))=0,"","Policy no.: "&amp;IF(LEN(INDEX('Vendor COIs'!$D$4:$D$503,(_calc!$E$202-500)))=0,"",INDEX('Vendor COIs'!$D$4:$D$503,(_calc!$E$202-500)))&amp;". ")&amp;IF(LEN(IF(LEN(INDEX('Vendor COIs'!$F$4:$F$503,(_calc!$E$202-500)))=0,"",INDEX('Vendor COIs'!$F$4:$F$503,(_calc!$E$202-500))))=0,"","Meets minimum: "&amp;IF(LEN(INDEX('Vendor COIs'!$F$4:$F$503,(_calc!$E$202-500)))=0,"",INDEX('Vendor COIs'!$F$4:$F$503,(_calc!$E$202-500)))&amp;". ")&amp;IF(LEN(IF(LEN(INDEX('Vendor COIs'!$G$4:$G$503,(_calc!$E$202-500)))=0,"",INDEX('Vendor COIs'!$G$4:$G$503,(_calc!$E$202-500))))=0,"","Additional insured: "&amp;IF(LEN(INDEX('Vendor COIs'!$G$4:$G$503,(_calc!$E$202-500)))=0,"",INDEX('Vendor COIs'!$G$4:$G$503,(_calc!$E$202-500)))&amp;". ")&amp;IF(LEN(IF(LEN(INDEX('Vendor COIs'!$M$4:$M$503,(_calc!$E$202-500)))=0,"",INDEX('Vendor COIs'!$M$4:$M$503,(_calc!$E$202-500))))=0,"","Vendor contact: "&amp;IF(LEN(INDEX('Vendor COIs'!$M$4:$M$503,(_calc!$E$202-500)))=0,"",INDEX('Vendor COIs'!$M$4:$M$503,(_calc!$E$202-500)))&amp;". ")&amp;IF(LEN(IF(LEN(INDEX('Vendor COIs'!$P$4:$P$503,(_calc!$E$202-500)))=0,"",INDEX('Vendor COIs'!$P$4:$P$503,(_calc!$E$202-500))))=0,"",IF(LEN(INDEX('Vendor COIs'!$P$4:$P$503,(_calc!$E$202-500)))=0,"",INDEX('Vendor COIs'!$P$4:$P$503,(_calc!$E$202-500)))))))</f>
        <v/>
      </c>
      <c r="G200" s="46">
        <f>IF(_calc!$E$202="","",IF(_calc!$E$202&lt;=500,IF(LEN(INDEX('Our policies'!$R$4:$R$503,_calc!$E$202))=0,"",INDEX('Our policies'!$R$4:$R$503,_calc!$E$202)),IF(LEN(INDEX('Vendor COIs'!$O$4:$O$503,(_calc!$E$202-500)))=0,"",INDEX('Vendor COIs'!$O$4:$O$503,(_calc!$E$202-500)))))</f>
        <v/>
      </c>
      <c r="H200" s="46">
        <f>IF(_calc!$E$202="","",IF(_calc!$E$202&lt;=500,IF(LEN(INDEX('Our policies'!$G$4:$G$503,_calc!$E$202))=0,"",INDEX('Our policies'!$G$4:$G$503,_calc!$E$202)),""))</f>
        <v/>
      </c>
      <c r="I200" s="46">
        <f>IF(_calc!$E$202="","",IF(_calc!$E$202&lt;=500,IF(LEN(INDEX('Our policies'!$H$4:$H$503,_calc!$E$202))=0,"",INDEX('Our policies'!$H$4:$H$503,_calc!$E$202)),""))</f>
        <v/>
      </c>
      <c r="K200" s="46">
        <f>IF(_calc!$E$202="","",IF(_calc!$E$202&lt;=500,IF(LEN(INDEX('Our policies'!$P$4:$P$503,_calc!$E$202))=0,"",INDEX('Our policies'!$P$4:$P$503,_calc!$E$202)),IF(LEN(INDEX('Vendor COIs'!$N$4:$N$503,(_calc!$E$202-500)))=0,"",INDEX('Vendor COIs'!$N$4:$N$503,(_calc!$E$202-500)))))</f>
        <v/>
      </c>
    </row>
    <row r="201">
      <c r="A201" s="46">
        <f>IF(_calc!$E$203="","",IF(_calc!$E$203&lt;=500,IF(LEN(INDEX('Our policies'!$A$4:$A$503,_calc!$E$203))=0,"",INDEX('Our policies'!$A$4:$A$503,_calc!$E$203)),"COI – "&amp;IF(LEN(INDEX('Vendor COIs'!$A$4:$A$503,(_calc!$E$203-500)))=0,"",INDEX('Vendor COIs'!$A$4:$A$503,(_calc!$E$203-500)))&amp;" – "&amp;IF(LEN(INDEX('Vendor COIs'!$B$4:$B$503,(_calc!$E$203-500)))=0,"",INDEX('Vendor COIs'!$B$4:$B$503,(_calc!$E$203-500)))))</f>
        <v/>
      </c>
      <c r="B201" s="46">
        <f>IF(_calc!$E$203="","",IF(_calc!$E$203&lt;=500,IF(ISNUMBER(INDEX('Our policies'!$J$4:$J$503,_calc!$E$203)),TEXT(INDEX('Our policies'!$J$4:$J$503,_calc!$E$203),"yyyy-mm-dd"),""),IF(ISNUMBER(INDEX('Vendor COIs'!$H$4:$H$503,(_calc!$E$203-500))),TEXT(INDEX('Vendor COIs'!$H$4:$H$503,(_calc!$E$203-500)),"yyyy-mm-dd"),"")))</f>
        <v/>
      </c>
      <c r="C201" s="46">
        <f>IF(_calc!$E$203="","",IF(_calc!$E$203&lt;=500,"Insurance","Certificate of insurance"))</f>
        <v/>
      </c>
      <c r="D201" s="46">
        <f>IF(_calc!$E$203="","",IF(_calc!$E$203&lt;=500,IF(ISNUMBER(INDEX('Our policies'!$I$4:$I$503,_calc!$E$203)),TEXT(INDEX('Our policies'!$I$4:$I$503,_calc!$E$203),"yyyy-mm-dd"),""),""))</f>
        <v/>
      </c>
      <c r="E201" s="46">
        <f>IF(_calc!$E$203="","",IF(_calc!$E$203&lt;=500,IF(LEN(INDEX('Our policies'!$Q$4:$Q$503,_calc!$E$203))=0,"",INDEX('Our policies'!$Q$4:$Q$503,_calc!$E$203)),"Medium"))</f>
        <v/>
      </c>
      <c r="F201" s="46">
        <f>IF(_calc!$E$203="","",IF(_calc!$E$203&lt;=500,TRIM(IF(LEN(IF(LEN(INDEX('Our policies'!$B$4:$B$503,_calc!$E$203))=0,"",INDEX('Our policies'!$B$4:$B$503,_calc!$E$203)))=0,"","Cover: "&amp;IF(LEN(INDEX('Our policies'!$B$4:$B$503,_calc!$E$203))=0,"",INDEX('Our policies'!$B$4:$B$503,_calc!$E$203))&amp;". ")&amp;IF(LEN(IF(LEN(INDEX('Our policies'!$C$4:$C$503,_calc!$E$203))=0,"",INDEX('Our policies'!$C$4:$C$503,_calc!$E$203)))=0,"","Insurer: "&amp;IF(LEN(INDEX('Our policies'!$C$4:$C$503,_calc!$E$203))=0,"",INDEX('Our policies'!$C$4:$C$503,_calc!$E$203))&amp;". ")&amp;IF(LEN(IF(LEN(INDEX('Our policies'!$D$4:$D$503,_calc!$E$203))=0,"",INDEX('Our policies'!$D$4:$D$503,_calc!$E$203)))=0,"","Broker: "&amp;IF(LEN(INDEX('Our policies'!$D$4:$D$503,_calc!$E$203))=0,"",INDEX('Our policies'!$D$4:$D$503,_calc!$E$203))&amp;". ")&amp;IF(LEN(IF(LEN(INDEX('Our policies'!$E$4:$E$503,_calc!$E$203))=0,"",INDEX('Our policies'!$E$4:$E$503,_calc!$E$203)))=0,"","Policy no.: "&amp;IF(LEN(INDEX('Our policies'!$E$4:$E$503,_calc!$E$203))=0,"",INDEX('Our policies'!$E$4:$E$503,_calc!$E$203))&amp;". ")&amp;IF(LEN(IF(LEN(INDEX('Our policies'!$S$4:$S$503,_calc!$E$203))=0,"",INDEX('Our policies'!$S$4:$S$503,_calc!$E$203)))=0,"",IF(LEN(INDEX('Our policies'!$S$4:$S$503,_calc!$E$203))=0,"",INDEX('Our policies'!$S$4:$S$503,_calc!$E$203)))),TRIM(IF(LEN(IF(LEN(INDEX('Vendor COIs'!$C$4:$C$503,(_calc!$E$203-500)))=0,"",INDEX('Vendor COIs'!$C$4:$C$503,(_calc!$E$203-500))))=0,"","Insurer: "&amp;IF(LEN(INDEX('Vendor COIs'!$C$4:$C$503,(_calc!$E$203-500)))=0,"",INDEX('Vendor COIs'!$C$4:$C$503,(_calc!$E$203-500)))&amp;". ")&amp;IF(LEN(IF(LEN(INDEX('Vendor COIs'!$D$4:$D$503,(_calc!$E$203-500)))=0,"",INDEX('Vendor COIs'!$D$4:$D$503,(_calc!$E$203-500))))=0,"","Policy no.: "&amp;IF(LEN(INDEX('Vendor COIs'!$D$4:$D$503,(_calc!$E$203-500)))=0,"",INDEX('Vendor COIs'!$D$4:$D$503,(_calc!$E$203-500)))&amp;". ")&amp;IF(LEN(IF(LEN(INDEX('Vendor COIs'!$F$4:$F$503,(_calc!$E$203-500)))=0,"",INDEX('Vendor COIs'!$F$4:$F$503,(_calc!$E$203-500))))=0,"","Meets minimum: "&amp;IF(LEN(INDEX('Vendor COIs'!$F$4:$F$503,(_calc!$E$203-500)))=0,"",INDEX('Vendor COIs'!$F$4:$F$503,(_calc!$E$203-500)))&amp;". ")&amp;IF(LEN(IF(LEN(INDEX('Vendor COIs'!$G$4:$G$503,(_calc!$E$203-500)))=0,"",INDEX('Vendor COIs'!$G$4:$G$503,(_calc!$E$203-500))))=0,"","Additional insured: "&amp;IF(LEN(INDEX('Vendor COIs'!$G$4:$G$503,(_calc!$E$203-500)))=0,"",INDEX('Vendor COIs'!$G$4:$G$503,(_calc!$E$203-500)))&amp;". ")&amp;IF(LEN(IF(LEN(INDEX('Vendor COIs'!$M$4:$M$503,(_calc!$E$203-500)))=0,"",INDEX('Vendor COIs'!$M$4:$M$503,(_calc!$E$203-500))))=0,"","Vendor contact: "&amp;IF(LEN(INDEX('Vendor COIs'!$M$4:$M$503,(_calc!$E$203-500)))=0,"",INDEX('Vendor COIs'!$M$4:$M$503,(_calc!$E$203-500)))&amp;". ")&amp;IF(LEN(IF(LEN(INDEX('Vendor COIs'!$P$4:$P$503,(_calc!$E$203-500)))=0,"",INDEX('Vendor COIs'!$P$4:$P$503,(_calc!$E$203-500))))=0,"",IF(LEN(INDEX('Vendor COIs'!$P$4:$P$503,(_calc!$E$203-500)))=0,"",INDEX('Vendor COIs'!$P$4:$P$503,(_calc!$E$203-500)))))))</f>
        <v/>
      </c>
      <c r="G201" s="46">
        <f>IF(_calc!$E$203="","",IF(_calc!$E$203&lt;=500,IF(LEN(INDEX('Our policies'!$R$4:$R$503,_calc!$E$203))=0,"",INDEX('Our policies'!$R$4:$R$503,_calc!$E$203)),IF(LEN(INDEX('Vendor COIs'!$O$4:$O$503,(_calc!$E$203-500)))=0,"",INDEX('Vendor COIs'!$O$4:$O$503,(_calc!$E$203-500)))))</f>
        <v/>
      </c>
      <c r="H201" s="46">
        <f>IF(_calc!$E$203="","",IF(_calc!$E$203&lt;=500,IF(LEN(INDEX('Our policies'!$G$4:$G$503,_calc!$E$203))=0,"",INDEX('Our policies'!$G$4:$G$503,_calc!$E$203)),""))</f>
        <v/>
      </c>
      <c r="I201" s="46">
        <f>IF(_calc!$E$203="","",IF(_calc!$E$203&lt;=500,IF(LEN(INDEX('Our policies'!$H$4:$H$503,_calc!$E$203))=0,"",INDEX('Our policies'!$H$4:$H$503,_calc!$E$203)),""))</f>
        <v/>
      </c>
      <c r="K201" s="46">
        <f>IF(_calc!$E$203="","",IF(_calc!$E$203&lt;=500,IF(LEN(INDEX('Our policies'!$P$4:$P$503,_calc!$E$203))=0,"",INDEX('Our policies'!$P$4:$P$503,_calc!$E$203)),IF(LEN(INDEX('Vendor COIs'!$N$4:$N$503,(_calc!$E$203-500)))=0,"",INDEX('Vendor COIs'!$N$4:$N$503,(_calc!$E$203-500)))))</f>
        <v/>
      </c>
    </row>
    <row r="202">
      <c r="A202" s="46">
        <f>IF(_calc!$E$204="","",IF(_calc!$E$204&lt;=500,IF(LEN(INDEX('Our policies'!$A$4:$A$503,_calc!$E$204))=0,"",INDEX('Our policies'!$A$4:$A$503,_calc!$E$204)),"COI – "&amp;IF(LEN(INDEX('Vendor COIs'!$A$4:$A$503,(_calc!$E$204-500)))=0,"",INDEX('Vendor COIs'!$A$4:$A$503,(_calc!$E$204-500)))&amp;" – "&amp;IF(LEN(INDEX('Vendor COIs'!$B$4:$B$503,(_calc!$E$204-500)))=0,"",INDEX('Vendor COIs'!$B$4:$B$503,(_calc!$E$204-500)))))</f>
        <v/>
      </c>
      <c r="B202" s="46">
        <f>IF(_calc!$E$204="","",IF(_calc!$E$204&lt;=500,IF(ISNUMBER(INDEX('Our policies'!$J$4:$J$503,_calc!$E$204)),TEXT(INDEX('Our policies'!$J$4:$J$503,_calc!$E$204),"yyyy-mm-dd"),""),IF(ISNUMBER(INDEX('Vendor COIs'!$H$4:$H$503,(_calc!$E$204-500))),TEXT(INDEX('Vendor COIs'!$H$4:$H$503,(_calc!$E$204-500)),"yyyy-mm-dd"),"")))</f>
        <v/>
      </c>
      <c r="C202" s="46">
        <f>IF(_calc!$E$204="","",IF(_calc!$E$204&lt;=500,"Insurance","Certificate of insurance"))</f>
        <v/>
      </c>
      <c r="D202" s="46">
        <f>IF(_calc!$E$204="","",IF(_calc!$E$204&lt;=500,IF(ISNUMBER(INDEX('Our policies'!$I$4:$I$503,_calc!$E$204)),TEXT(INDEX('Our policies'!$I$4:$I$503,_calc!$E$204),"yyyy-mm-dd"),""),""))</f>
        <v/>
      </c>
      <c r="E202" s="46">
        <f>IF(_calc!$E$204="","",IF(_calc!$E$204&lt;=500,IF(LEN(INDEX('Our policies'!$Q$4:$Q$503,_calc!$E$204))=0,"",INDEX('Our policies'!$Q$4:$Q$503,_calc!$E$204)),"Medium"))</f>
        <v/>
      </c>
      <c r="F202" s="46">
        <f>IF(_calc!$E$204="","",IF(_calc!$E$204&lt;=500,TRIM(IF(LEN(IF(LEN(INDEX('Our policies'!$B$4:$B$503,_calc!$E$204))=0,"",INDEX('Our policies'!$B$4:$B$503,_calc!$E$204)))=0,"","Cover: "&amp;IF(LEN(INDEX('Our policies'!$B$4:$B$503,_calc!$E$204))=0,"",INDEX('Our policies'!$B$4:$B$503,_calc!$E$204))&amp;". ")&amp;IF(LEN(IF(LEN(INDEX('Our policies'!$C$4:$C$503,_calc!$E$204))=0,"",INDEX('Our policies'!$C$4:$C$503,_calc!$E$204)))=0,"","Insurer: "&amp;IF(LEN(INDEX('Our policies'!$C$4:$C$503,_calc!$E$204))=0,"",INDEX('Our policies'!$C$4:$C$503,_calc!$E$204))&amp;". ")&amp;IF(LEN(IF(LEN(INDEX('Our policies'!$D$4:$D$503,_calc!$E$204))=0,"",INDEX('Our policies'!$D$4:$D$503,_calc!$E$204)))=0,"","Broker: "&amp;IF(LEN(INDEX('Our policies'!$D$4:$D$503,_calc!$E$204))=0,"",INDEX('Our policies'!$D$4:$D$503,_calc!$E$204))&amp;". ")&amp;IF(LEN(IF(LEN(INDEX('Our policies'!$E$4:$E$503,_calc!$E$204))=0,"",INDEX('Our policies'!$E$4:$E$503,_calc!$E$204)))=0,"","Policy no.: "&amp;IF(LEN(INDEX('Our policies'!$E$4:$E$503,_calc!$E$204))=0,"",INDEX('Our policies'!$E$4:$E$503,_calc!$E$204))&amp;". ")&amp;IF(LEN(IF(LEN(INDEX('Our policies'!$S$4:$S$503,_calc!$E$204))=0,"",INDEX('Our policies'!$S$4:$S$503,_calc!$E$204)))=0,"",IF(LEN(INDEX('Our policies'!$S$4:$S$503,_calc!$E$204))=0,"",INDEX('Our policies'!$S$4:$S$503,_calc!$E$204)))),TRIM(IF(LEN(IF(LEN(INDEX('Vendor COIs'!$C$4:$C$503,(_calc!$E$204-500)))=0,"",INDEX('Vendor COIs'!$C$4:$C$503,(_calc!$E$204-500))))=0,"","Insurer: "&amp;IF(LEN(INDEX('Vendor COIs'!$C$4:$C$503,(_calc!$E$204-500)))=0,"",INDEX('Vendor COIs'!$C$4:$C$503,(_calc!$E$204-500)))&amp;". ")&amp;IF(LEN(IF(LEN(INDEX('Vendor COIs'!$D$4:$D$503,(_calc!$E$204-500)))=0,"",INDEX('Vendor COIs'!$D$4:$D$503,(_calc!$E$204-500))))=0,"","Policy no.: "&amp;IF(LEN(INDEX('Vendor COIs'!$D$4:$D$503,(_calc!$E$204-500)))=0,"",INDEX('Vendor COIs'!$D$4:$D$503,(_calc!$E$204-500)))&amp;". ")&amp;IF(LEN(IF(LEN(INDEX('Vendor COIs'!$F$4:$F$503,(_calc!$E$204-500)))=0,"",INDEX('Vendor COIs'!$F$4:$F$503,(_calc!$E$204-500))))=0,"","Meets minimum: "&amp;IF(LEN(INDEX('Vendor COIs'!$F$4:$F$503,(_calc!$E$204-500)))=0,"",INDEX('Vendor COIs'!$F$4:$F$503,(_calc!$E$204-500)))&amp;". ")&amp;IF(LEN(IF(LEN(INDEX('Vendor COIs'!$G$4:$G$503,(_calc!$E$204-500)))=0,"",INDEX('Vendor COIs'!$G$4:$G$503,(_calc!$E$204-500))))=0,"","Additional insured: "&amp;IF(LEN(INDEX('Vendor COIs'!$G$4:$G$503,(_calc!$E$204-500)))=0,"",INDEX('Vendor COIs'!$G$4:$G$503,(_calc!$E$204-500)))&amp;". ")&amp;IF(LEN(IF(LEN(INDEX('Vendor COIs'!$M$4:$M$503,(_calc!$E$204-500)))=0,"",INDEX('Vendor COIs'!$M$4:$M$503,(_calc!$E$204-500))))=0,"","Vendor contact: "&amp;IF(LEN(INDEX('Vendor COIs'!$M$4:$M$503,(_calc!$E$204-500)))=0,"",INDEX('Vendor COIs'!$M$4:$M$503,(_calc!$E$204-500)))&amp;". ")&amp;IF(LEN(IF(LEN(INDEX('Vendor COIs'!$P$4:$P$503,(_calc!$E$204-500)))=0,"",INDEX('Vendor COIs'!$P$4:$P$503,(_calc!$E$204-500))))=0,"",IF(LEN(INDEX('Vendor COIs'!$P$4:$P$503,(_calc!$E$204-500)))=0,"",INDEX('Vendor COIs'!$P$4:$P$503,(_calc!$E$204-500)))))))</f>
        <v/>
      </c>
      <c r="G202" s="46">
        <f>IF(_calc!$E$204="","",IF(_calc!$E$204&lt;=500,IF(LEN(INDEX('Our policies'!$R$4:$R$503,_calc!$E$204))=0,"",INDEX('Our policies'!$R$4:$R$503,_calc!$E$204)),IF(LEN(INDEX('Vendor COIs'!$O$4:$O$503,(_calc!$E$204-500)))=0,"",INDEX('Vendor COIs'!$O$4:$O$503,(_calc!$E$204-500)))))</f>
        <v/>
      </c>
      <c r="H202" s="46">
        <f>IF(_calc!$E$204="","",IF(_calc!$E$204&lt;=500,IF(LEN(INDEX('Our policies'!$G$4:$G$503,_calc!$E$204))=0,"",INDEX('Our policies'!$G$4:$G$503,_calc!$E$204)),""))</f>
        <v/>
      </c>
      <c r="I202" s="46">
        <f>IF(_calc!$E$204="","",IF(_calc!$E$204&lt;=500,IF(LEN(INDEX('Our policies'!$H$4:$H$503,_calc!$E$204))=0,"",INDEX('Our policies'!$H$4:$H$503,_calc!$E$204)),""))</f>
        <v/>
      </c>
      <c r="K202" s="46">
        <f>IF(_calc!$E$204="","",IF(_calc!$E$204&lt;=500,IF(LEN(INDEX('Our policies'!$P$4:$P$503,_calc!$E$204))=0,"",INDEX('Our policies'!$P$4:$P$503,_calc!$E$204)),IF(LEN(INDEX('Vendor COIs'!$N$4:$N$503,(_calc!$E$204-500)))=0,"",INDEX('Vendor COIs'!$N$4:$N$503,(_calc!$E$204-500)))))</f>
        <v/>
      </c>
    </row>
    <row r="203">
      <c r="A203" s="46">
        <f>IF(_calc!$E$205="","",IF(_calc!$E$205&lt;=500,IF(LEN(INDEX('Our policies'!$A$4:$A$503,_calc!$E$205))=0,"",INDEX('Our policies'!$A$4:$A$503,_calc!$E$205)),"COI – "&amp;IF(LEN(INDEX('Vendor COIs'!$A$4:$A$503,(_calc!$E$205-500)))=0,"",INDEX('Vendor COIs'!$A$4:$A$503,(_calc!$E$205-500)))&amp;" – "&amp;IF(LEN(INDEX('Vendor COIs'!$B$4:$B$503,(_calc!$E$205-500)))=0,"",INDEX('Vendor COIs'!$B$4:$B$503,(_calc!$E$205-500)))))</f>
        <v/>
      </c>
      <c r="B203" s="46">
        <f>IF(_calc!$E$205="","",IF(_calc!$E$205&lt;=500,IF(ISNUMBER(INDEX('Our policies'!$J$4:$J$503,_calc!$E$205)),TEXT(INDEX('Our policies'!$J$4:$J$503,_calc!$E$205),"yyyy-mm-dd"),""),IF(ISNUMBER(INDEX('Vendor COIs'!$H$4:$H$503,(_calc!$E$205-500))),TEXT(INDEX('Vendor COIs'!$H$4:$H$503,(_calc!$E$205-500)),"yyyy-mm-dd"),"")))</f>
        <v/>
      </c>
      <c r="C203" s="46">
        <f>IF(_calc!$E$205="","",IF(_calc!$E$205&lt;=500,"Insurance","Certificate of insurance"))</f>
        <v/>
      </c>
      <c r="D203" s="46">
        <f>IF(_calc!$E$205="","",IF(_calc!$E$205&lt;=500,IF(ISNUMBER(INDEX('Our policies'!$I$4:$I$503,_calc!$E$205)),TEXT(INDEX('Our policies'!$I$4:$I$503,_calc!$E$205),"yyyy-mm-dd"),""),""))</f>
        <v/>
      </c>
      <c r="E203" s="46">
        <f>IF(_calc!$E$205="","",IF(_calc!$E$205&lt;=500,IF(LEN(INDEX('Our policies'!$Q$4:$Q$503,_calc!$E$205))=0,"",INDEX('Our policies'!$Q$4:$Q$503,_calc!$E$205)),"Medium"))</f>
        <v/>
      </c>
      <c r="F203" s="46">
        <f>IF(_calc!$E$205="","",IF(_calc!$E$205&lt;=500,TRIM(IF(LEN(IF(LEN(INDEX('Our policies'!$B$4:$B$503,_calc!$E$205))=0,"",INDEX('Our policies'!$B$4:$B$503,_calc!$E$205)))=0,"","Cover: "&amp;IF(LEN(INDEX('Our policies'!$B$4:$B$503,_calc!$E$205))=0,"",INDEX('Our policies'!$B$4:$B$503,_calc!$E$205))&amp;". ")&amp;IF(LEN(IF(LEN(INDEX('Our policies'!$C$4:$C$503,_calc!$E$205))=0,"",INDEX('Our policies'!$C$4:$C$503,_calc!$E$205)))=0,"","Insurer: "&amp;IF(LEN(INDEX('Our policies'!$C$4:$C$503,_calc!$E$205))=0,"",INDEX('Our policies'!$C$4:$C$503,_calc!$E$205))&amp;". ")&amp;IF(LEN(IF(LEN(INDEX('Our policies'!$D$4:$D$503,_calc!$E$205))=0,"",INDEX('Our policies'!$D$4:$D$503,_calc!$E$205)))=0,"","Broker: "&amp;IF(LEN(INDEX('Our policies'!$D$4:$D$503,_calc!$E$205))=0,"",INDEX('Our policies'!$D$4:$D$503,_calc!$E$205))&amp;". ")&amp;IF(LEN(IF(LEN(INDEX('Our policies'!$E$4:$E$503,_calc!$E$205))=0,"",INDEX('Our policies'!$E$4:$E$503,_calc!$E$205)))=0,"","Policy no.: "&amp;IF(LEN(INDEX('Our policies'!$E$4:$E$503,_calc!$E$205))=0,"",INDEX('Our policies'!$E$4:$E$503,_calc!$E$205))&amp;". ")&amp;IF(LEN(IF(LEN(INDEX('Our policies'!$S$4:$S$503,_calc!$E$205))=0,"",INDEX('Our policies'!$S$4:$S$503,_calc!$E$205)))=0,"",IF(LEN(INDEX('Our policies'!$S$4:$S$503,_calc!$E$205))=0,"",INDEX('Our policies'!$S$4:$S$503,_calc!$E$205)))),TRIM(IF(LEN(IF(LEN(INDEX('Vendor COIs'!$C$4:$C$503,(_calc!$E$205-500)))=0,"",INDEX('Vendor COIs'!$C$4:$C$503,(_calc!$E$205-500))))=0,"","Insurer: "&amp;IF(LEN(INDEX('Vendor COIs'!$C$4:$C$503,(_calc!$E$205-500)))=0,"",INDEX('Vendor COIs'!$C$4:$C$503,(_calc!$E$205-500)))&amp;". ")&amp;IF(LEN(IF(LEN(INDEX('Vendor COIs'!$D$4:$D$503,(_calc!$E$205-500)))=0,"",INDEX('Vendor COIs'!$D$4:$D$503,(_calc!$E$205-500))))=0,"","Policy no.: "&amp;IF(LEN(INDEX('Vendor COIs'!$D$4:$D$503,(_calc!$E$205-500)))=0,"",INDEX('Vendor COIs'!$D$4:$D$503,(_calc!$E$205-500)))&amp;". ")&amp;IF(LEN(IF(LEN(INDEX('Vendor COIs'!$F$4:$F$503,(_calc!$E$205-500)))=0,"",INDEX('Vendor COIs'!$F$4:$F$503,(_calc!$E$205-500))))=0,"","Meets minimum: "&amp;IF(LEN(INDEX('Vendor COIs'!$F$4:$F$503,(_calc!$E$205-500)))=0,"",INDEX('Vendor COIs'!$F$4:$F$503,(_calc!$E$205-500)))&amp;". ")&amp;IF(LEN(IF(LEN(INDEX('Vendor COIs'!$G$4:$G$503,(_calc!$E$205-500)))=0,"",INDEX('Vendor COIs'!$G$4:$G$503,(_calc!$E$205-500))))=0,"","Additional insured: "&amp;IF(LEN(INDEX('Vendor COIs'!$G$4:$G$503,(_calc!$E$205-500)))=0,"",INDEX('Vendor COIs'!$G$4:$G$503,(_calc!$E$205-500)))&amp;". ")&amp;IF(LEN(IF(LEN(INDEX('Vendor COIs'!$M$4:$M$503,(_calc!$E$205-500)))=0,"",INDEX('Vendor COIs'!$M$4:$M$503,(_calc!$E$205-500))))=0,"","Vendor contact: "&amp;IF(LEN(INDEX('Vendor COIs'!$M$4:$M$503,(_calc!$E$205-500)))=0,"",INDEX('Vendor COIs'!$M$4:$M$503,(_calc!$E$205-500)))&amp;". ")&amp;IF(LEN(IF(LEN(INDEX('Vendor COIs'!$P$4:$P$503,(_calc!$E$205-500)))=0,"",INDEX('Vendor COIs'!$P$4:$P$503,(_calc!$E$205-500))))=0,"",IF(LEN(INDEX('Vendor COIs'!$P$4:$P$503,(_calc!$E$205-500)))=0,"",INDEX('Vendor COIs'!$P$4:$P$503,(_calc!$E$205-500)))))))</f>
        <v/>
      </c>
      <c r="G203" s="46">
        <f>IF(_calc!$E$205="","",IF(_calc!$E$205&lt;=500,IF(LEN(INDEX('Our policies'!$R$4:$R$503,_calc!$E$205))=0,"",INDEX('Our policies'!$R$4:$R$503,_calc!$E$205)),IF(LEN(INDEX('Vendor COIs'!$O$4:$O$503,(_calc!$E$205-500)))=0,"",INDEX('Vendor COIs'!$O$4:$O$503,(_calc!$E$205-500)))))</f>
        <v/>
      </c>
      <c r="H203" s="46">
        <f>IF(_calc!$E$205="","",IF(_calc!$E$205&lt;=500,IF(LEN(INDEX('Our policies'!$G$4:$G$503,_calc!$E$205))=0,"",INDEX('Our policies'!$G$4:$G$503,_calc!$E$205)),""))</f>
        <v/>
      </c>
      <c r="I203" s="46">
        <f>IF(_calc!$E$205="","",IF(_calc!$E$205&lt;=500,IF(LEN(INDEX('Our policies'!$H$4:$H$503,_calc!$E$205))=0,"",INDEX('Our policies'!$H$4:$H$503,_calc!$E$205)),""))</f>
        <v/>
      </c>
      <c r="K203" s="46">
        <f>IF(_calc!$E$205="","",IF(_calc!$E$205&lt;=500,IF(LEN(INDEX('Our policies'!$P$4:$P$503,_calc!$E$205))=0,"",INDEX('Our policies'!$P$4:$P$503,_calc!$E$205)),IF(LEN(INDEX('Vendor COIs'!$N$4:$N$503,(_calc!$E$205-500)))=0,"",INDEX('Vendor COIs'!$N$4:$N$503,(_calc!$E$205-500)))))</f>
        <v/>
      </c>
    </row>
    <row r="204">
      <c r="A204" s="46">
        <f>IF(_calc!$E$206="","",IF(_calc!$E$206&lt;=500,IF(LEN(INDEX('Our policies'!$A$4:$A$503,_calc!$E$206))=0,"",INDEX('Our policies'!$A$4:$A$503,_calc!$E$206)),"COI – "&amp;IF(LEN(INDEX('Vendor COIs'!$A$4:$A$503,(_calc!$E$206-500)))=0,"",INDEX('Vendor COIs'!$A$4:$A$503,(_calc!$E$206-500)))&amp;" – "&amp;IF(LEN(INDEX('Vendor COIs'!$B$4:$B$503,(_calc!$E$206-500)))=0,"",INDEX('Vendor COIs'!$B$4:$B$503,(_calc!$E$206-500)))))</f>
        <v/>
      </c>
      <c r="B204" s="46">
        <f>IF(_calc!$E$206="","",IF(_calc!$E$206&lt;=500,IF(ISNUMBER(INDEX('Our policies'!$J$4:$J$503,_calc!$E$206)),TEXT(INDEX('Our policies'!$J$4:$J$503,_calc!$E$206),"yyyy-mm-dd"),""),IF(ISNUMBER(INDEX('Vendor COIs'!$H$4:$H$503,(_calc!$E$206-500))),TEXT(INDEX('Vendor COIs'!$H$4:$H$503,(_calc!$E$206-500)),"yyyy-mm-dd"),"")))</f>
        <v/>
      </c>
      <c r="C204" s="46">
        <f>IF(_calc!$E$206="","",IF(_calc!$E$206&lt;=500,"Insurance","Certificate of insurance"))</f>
        <v/>
      </c>
      <c r="D204" s="46">
        <f>IF(_calc!$E$206="","",IF(_calc!$E$206&lt;=500,IF(ISNUMBER(INDEX('Our policies'!$I$4:$I$503,_calc!$E$206)),TEXT(INDEX('Our policies'!$I$4:$I$503,_calc!$E$206),"yyyy-mm-dd"),""),""))</f>
        <v/>
      </c>
      <c r="E204" s="46">
        <f>IF(_calc!$E$206="","",IF(_calc!$E$206&lt;=500,IF(LEN(INDEX('Our policies'!$Q$4:$Q$503,_calc!$E$206))=0,"",INDEX('Our policies'!$Q$4:$Q$503,_calc!$E$206)),"Medium"))</f>
        <v/>
      </c>
      <c r="F204" s="46">
        <f>IF(_calc!$E$206="","",IF(_calc!$E$206&lt;=500,TRIM(IF(LEN(IF(LEN(INDEX('Our policies'!$B$4:$B$503,_calc!$E$206))=0,"",INDEX('Our policies'!$B$4:$B$503,_calc!$E$206)))=0,"","Cover: "&amp;IF(LEN(INDEX('Our policies'!$B$4:$B$503,_calc!$E$206))=0,"",INDEX('Our policies'!$B$4:$B$503,_calc!$E$206))&amp;". ")&amp;IF(LEN(IF(LEN(INDEX('Our policies'!$C$4:$C$503,_calc!$E$206))=0,"",INDEX('Our policies'!$C$4:$C$503,_calc!$E$206)))=0,"","Insurer: "&amp;IF(LEN(INDEX('Our policies'!$C$4:$C$503,_calc!$E$206))=0,"",INDEX('Our policies'!$C$4:$C$503,_calc!$E$206))&amp;". ")&amp;IF(LEN(IF(LEN(INDEX('Our policies'!$D$4:$D$503,_calc!$E$206))=0,"",INDEX('Our policies'!$D$4:$D$503,_calc!$E$206)))=0,"","Broker: "&amp;IF(LEN(INDEX('Our policies'!$D$4:$D$503,_calc!$E$206))=0,"",INDEX('Our policies'!$D$4:$D$503,_calc!$E$206))&amp;". ")&amp;IF(LEN(IF(LEN(INDEX('Our policies'!$E$4:$E$503,_calc!$E$206))=0,"",INDEX('Our policies'!$E$4:$E$503,_calc!$E$206)))=0,"","Policy no.: "&amp;IF(LEN(INDEX('Our policies'!$E$4:$E$503,_calc!$E$206))=0,"",INDEX('Our policies'!$E$4:$E$503,_calc!$E$206))&amp;". ")&amp;IF(LEN(IF(LEN(INDEX('Our policies'!$S$4:$S$503,_calc!$E$206))=0,"",INDEX('Our policies'!$S$4:$S$503,_calc!$E$206)))=0,"",IF(LEN(INDEX('Our policies'!$S$4:$S$503,_calc!$E$206))=0,"",INDEX('Our policies'!$S$4:$S$503,_calc!$E$206)))),TRIM(IF(LEN(IF(LEN(INDEX('Vendor COIs'!$C$4:$C$503,(_calc!$E$206-500)))=0,"",INDEX('Vendor COIs'!$C$4:$C$503,(_calc!$E$206-500))))=0,"","Insurer: "&amp;IF(LEN(INDEX('Vendor COIs'!$C$4:$C$503,(_calc!$E$206-500)))=0,"",INDEX('Vendor COIs'!$C$4:$C$503,(_calc!$E$206-500)))&amp;". ")&amp;IF(LEN(IF(LEN(INDEX('Vendor COIs'!$D$4:$D$503,(_calc!$E$206-500)))=0,"",INDEX('Vendor COIs'!$D$4:$D$503,(_calc!$E$206-500))))=0,"","Policy no.: "&amp;IF(LEN(INDEX('Vendor COIs'!$D$4:$D$503,(_calc!$E$206-500)))=0,"",INDEX('Vendor COIs'!$D$4:$D$503,(_calc!$E$206-500)))&amp;". ")&amp;IF(LEN(IF(LEN(INDEX('Vendor COIs'!$F$4:$F$503,(_calc!$E$206-500)))=0,"",INDEX('Vendor COIs'!$F$4:$F$503,(_calc!$E$206-500))))=0,"","Meets minimum: "&amp;IF(LEN(INDEX('Vendor COIs'!$F$4:$F$503,(_calc!$E$206-500)))=0,"",INDEX('Vendor COIs'!$F$4:$F$503,(_calc!$E$206-500)))&amp;". ")&amp;IF(LEN(IF(LEN(INDEX('Vendor COIs'!$G$4:$G$503,(_calc!$E$206-500)))=0,"",INDEX('Vendor COIs'!$G$4:$G$503,(_calc!$E$206-500))))=0,"","Additional insured: "&amp;IF(LEN(INDEX('Vendor COIs'!$G$4:$G$503,(_calc!$E$206-500)))=0,"",INDEX('Vendor COIs'!$G$4:$G$503,(_calc!$E$206-500)))&amp;". ")&amp;IF(LEN(IF(LEN(INDEX('Vendor COIs'!$M$4:$M$503,(_calc!$E$206-500)))=0,"",INDEX('Vendor COIs'!$M$4:$M$503,(_calc!$E$206-500))))=0,"","Vendor contact: "&amp;IF(LEN(INDEX('Vendor COIs'!$M$4:$M$503,(_calc!$E$206-500)))=0,"",INDEX('Vendor COIs'!$M$4:$M$503,(_calc!$E$206-500)))&amp;". ")&amp;IF(LEN(IF(LEN(INDEX('Vendor COIs'!$P$4:$P$503,(_calc!$E$206-500)))=0,"",INDEX('Vendor COIs'!$P$4:$P$503,(_calc!$E$206-500))))=0,"",IF(LEN(INDEX('Vendor COIs'!$P$4:$P$503,(_calc!$E$206-500)))=0,"",INDEX('Vendor COIs'!$P$4:$P$503,(_calc!$E$206-500)))))))</f>
        <v/>
      </c>
      <c r="G204" s="46">
        <f>IF(_calc!$E$206="","",IF(_calc!$E$206&lt;=500,IF(LEN(INDEX('Our policies'!$R$4:$R$503,_calc!$E$206))=0,"",INDEX('Our policies'!$R$4:$R$503,_calc!$E$206)),IF(LEN(INDEX('Vendor COIs'!$O$4:$O$503,(_calc!$E$206-500)))=0,"",INDEX('Vendor COIs'!$O$4:$O$503,(_calc!$E$206-500)))))</f>
        <v/>
      </c>
      <c r="H204" s="46">
        <f>IF(_calc!$E$206="","",IF(_calc!$E$206&lt;=500,IF(LEN(INDEX('Our policies'!$G$4:$G$503,_calc!$E$206))=0,"",INDEX('Our policies'!$G$4:$G$503,_calc!$E$206)),""))</f>
        <v/>
      </c>
      <c r="I204" s="46">
        <f>IF(_calc!$E$206="","",IF(_calc!$E$206&lt;=500,IF(LEN(INDEX('Our policies'!$H$4:$H$503,_calc!$E$206))=0,"",INDEX('Our policies'!$H$4:$H$503,_calc!$E$206)),""))</f>
        <v/>
      </c>
      <c r="K204" s="46">
        <f>IF(_calc!$E$206="","",IF(_calc!$E$206&lt;=500,IF(LEN(INDEX('Our policies'!$P$4:$P$503,_calc!$E$206))=0,"",INDEX('Our policies'!$P$4:$P$503,_calc!$E$206)),IF(LEN(INDEX('Vendor COIs'!$N$4:$N$503,(_calc!$E$206-500)))=0,"",INDEX('Vendor COIs'!$N$4:$N$503,(_calc!$E$206-500)))))</f>
        <v/>
      </c>
    </row>
    <row r="205">
      <c r="A205" s="46">
        <f>IF(_calc!$E$207="","",IF(_calc!$E$207&lt;=500,IF(LEN(INDEX('Our policies'!$A$4:$A$503,_calc!$E$207))=0,"",INDEX('Our policies'!$A$4:$A$503,_calc!$E$207)),"COI – "&amp;IF(LEN(INDEX('Vendor COIs'!$A$4:$A$503,(_calc!$E$207-500)))=0,"",INDEX('Vendor COIs'!$A$4:$A$503,(_calc!$E$207-500)))&amp;" – "&amp;IF(LEN(INDEX('Vendor COIs'!$B$4:$B$503,(_calc!$E$207-500)))=0,"",INDEX('Vendor COIs'!$B$4:$B$503,(_calc!$E$207-500)))))</f>
        <v/>
      </c>
      <c r="B205" s="46">
        <f>IF(_calc!$E$207="","",IF(_calc!$E$207&lt;=500,IF(ISNUMBER(INDEX('Our policies'!$J$4:$J$503,_calc!$E$207)),TEXT(INDEX('Our policies'!$J$4:$J$503,_calc!$E$207),"yyyy-mm-dd"),""),IF(ISNUMBER(INDEX('Vendor COIs'!$H$4:$H$503,(_calc!$E$207-500))),TEXT(INDEX('Vendor COIs'!$H$4:$H$503,(_calc!$E$207-500)),"yyyy-mm-dd"),"")))</f>
        <v/>
      </c>
      <c r="C205" s="46">
        <f>IF(_calc!$E$207="","",IF(_calc!$E$207&lt;=500,"Insurance","Certificate of insurance"))</f>
        <v/>
      </c>
      <c r="D205" s="46">
        <f>IF(_calc!$E$207="","",IF(_calc!$E$207&lt;=500,IF(ISNUMBER(INDEX('Our policies'!$I$4:$I$503,_calc!$E$207)),TEXT(INDEX('Our policies'!$I$4:$I$503,_calc!$E$207),"yyyy-mm-dd"),""),""))</f>
        <v/>
      </c>
      <c r="E205" s="46">
        <f>IF(_calc!$E$207="","",IF(_calc!$E$207&lt;=500,IF(LEN(INDEX('Our policies'!$Q$4:$Q$503,_calc!$E$207))=0,"",INDEX('Our policies'!$Q$4:$Q$503,_calc!$E$207)),"Medium"))</f>
        <v/>
      </c>
      <c r="F205" s="46">
        <f>IF(_calc!$E$207="","",IF(_calc!$E$207&lt;=500,TRIM(IF(LEN(IF(LEN(INDEX('Our policies'!$B$4:$B$503,_calc!$E$207))=0,"",INDEX('Our policies'!$B$4:$B$503,_calc!$E$207)))=0,"","Cover: "&amp;IF(LEN(INDEX('Our policies'!$B$4:$B$503,_calc!$E$207))=0,"",INDEX('Our policies'!$B$4:$B$503,_calc!$E$207))&amp;". ")&amp;IF(LEN(IF(LEN(INDEX('Our policies'!$C$4:$C$503,_calc!$E$207))=0,"",INDEX('Our policies'!$C$4:$C$503,_calc!$E$207)))=0,"","Insurer: "&amp;IF(LEN(INDEX('Our policies'!$C$4:$C$503,_calc!$E$207))=0,"",INDEX('Our policies'!$C$4:$C$503,_calc!$E$207))&amp;". ")&amp;IF(LEN(IF(LEN(INDEX('Our policies'!$D$4:$D$503,_calc!$E$207))=0,"",INDEX('Our policies'!$D$4:$D$503,_calc!$E$207)))=0,"","Broker: "&amp;IF(LEN(INDEX('Our policies'!$D$4:$D$503,_calc!$E$207))=0,"",INDEX('Our policies'!$D$4:$D$503,_calc!$E$207))&amp;". ")&amp;IF(LEN(IF(LEN(INDEX('Our policies'!$E$4:$E$503,_calc!$E$207))=0,"",INDEX('Our policies'!$E$4:$E$503,_calc!$E$207)))=0,"","Policy no.: "&amp;IF(LEN(INDEX('Our policies'!$E$4:$E$503,_calc!$E$207))=0,"",INDEX('Our policies'!$E$4:$E$503,_calc!$E$207))&amp;". ")&amp;IF(LEN(IF(LEN(INDEX('Our policies'!$S$4:$S$503,_calc!$E$207))=0,"",INDEX('Our policies'!$S$4:$S$503,_calc!$E$207)))=0,"",IF(LEN(INDEX('Our policies'!$S$4:$S$503,_calc!$E$207))=0,"",INDEX('Our policies'!$S$4:$S$503,_calc!$E$207)))),TRIM(IF(LEN(IF(LEN(INDEX('Vendor COIs'!$C$4:$C$503,(_calc!$E$207-500)))=0,"",INDEX('Vendor COIs'!$C$4:$C$503,(_calc!$E$207-500))))=0,"","Insurer: "&amp;IF(LEN(INDEX('Vendor COIs'!$C$4:$C$503,(_calc!$E$207-500)))=0,"",INDEX('Vendor COIs'!$C$4:$C$503,(_calc!$E$207-500)))&amp;". ")&amp;IF(LEN(IF(LEN(INDEX('Vendor COIs'!$D$4:$D$503,(_calc!$E$207-500)))=0,"",INDEX('Vendor COIs'!$D$4:$D$503,(_calc!$E$207-500))))=0,"","Policy no.: "&amp;IF(LEN(INDEX('Vendor COIs'!$D$4:$D$503,(_calc!$E$207-500)))=0,"",INDEX('Vendor COIs'!$D$4:$D$503,(_calc!$E$207-500)))&amp;". ")&amp;IF(LEN(IF(LEN(INDEX('Vendor COIs'!$F$4:$F$503,(_calc!$E$207-500)))=0,"",INDEX('Vendor COIs'!$F$4:$F$503,(_calc!$E$207-500))))=0,"","Meets minimum: "&amp;IF(LEN(INDEX('Vendor COIs'!$F$4:$F$503,(_calc!$E$207-500)))=0,"",INDEX('Vendor COIs'!$F$4:$F$503,(_calc!$E$207-500)))&amp;". ")&amp;IF(LEN(IF(LEN(INDEX('Vendor COIs'!$G$4:$G$503,(_calc!$E$207-500)))=0,"",INDEX('Vendor COIs'!$G$4:$G$503,(_calc!$E$207-500))))=0,"","Additional insured: "&amp;IF(LEN(INDEX('Vendor COIs'!$G$4:$G$503,(_calc!$E$207-500)))=0,"",INDEX('Vendor COIs'!$G$4:$G$503,(_calc!$E$207-500)))&amp;". ")&amp;IF(LEN(IF(LEN(INDEX('Vendor COIs'!$M$4:$M$503,(_calc!$E$207-500)))=0,"",INDEX('Vendor COIs'!$M$4:$M$503,(_calc!$E$207-500))))=0,"","Vendor contact: "&amp;IF(LEN(INDEX('Vendor COIs'!$M$4:$M$503,(_calc!$E$207-500)))=0,"",INDEX('Vendor COIs'!$M$4:$M$503,(_calc!$E$207-500)))&amp;". ")&amp;IF(LEN(IF(LEN(INDEX('Vendor COIs'!$P$4:$P$503,(_calc!$E$207-500)))=0,"",INDEX('Vendor COIs'!$P$4:$P$503,(_calc!$E$207-500))))=0,"",IF(LEN(INDEX('Vendor COIs'!$P$4:$P$503,(_calc!$E$207-500)))=0,"",INDEX('Vendor COIs'!$P$4:$P$503,(_calc!$E$207-500)))))))</f>
        <v/>
      </c>
      <c r="G205" s="46">
        <f>IF(_calc!$E$207="","",IF(_calc!$E$207&lt;=500,IF(LEN(INDEX('Our policies'!$R$4:$R$503,_calc!$E$207))=0,"",INDEX('Our policies'!$R$4:$R$503,_calc!$E$207)),IF(LEN(INDEX('Vendor COIs'!$O$4:$O$503,(_calc!$E$207-500)))=0,"",INDEX('Vendor COIs'!$O$4:$O$503,(_calc!$E$207-500)))))</f>
        <v/>
      </c>
      <c r="H205" s="46">
        <f>IF(_calc!$E$207="","",IF(_calc!$E$207&lt;=500,IF(LEN(INDEX('Our policies'!$G$4:$G$503,_calc!$E$207))=0,"",INDEX('Our policies'!$G$4:$G$503,_calc!$E$207)),""))</f>
        <v/>
      </c>
      <c r="I205" s="46">
        <f>IF(_calc!$E$207="","",IF(_calc!$E$207&lt;=500,IF(LEN(INDEX('Our policies'!$H$4:$H$503,_calc!$E$207))=0,"",INDEX('Our policies'!$H$4:$H$503,_calc!$E$207)),""))</f>
        <v/>
      </c>
      <c r="K205" s="46">
        <f>IF(_calc!$E$207="","",IF(_calc!$E$207&lt;=500,IF(LEN(INDEX('Our policies'!$P$4:$P$503,_calc!$E$207))=0,"",INDEX('Our policies'!$P$4:$P$503,_calc!$E$207)),IF(LEN(INDEX('Vendor COIs'!$N$4:$N$503,(_calc!$E$207-500)))=0,"",INDEX('Vendor COIs'!$N$4:$N$503,(_calc!$E$207-500)))))</f>
        <v/>
      </c>
    </row>
    <row r="206">
      <c r="A206" s="46">
        <f>IF(_calc!$E$208="","",IF(_calc!$E$208&lt;=500,IF(LEN(INDEX('Our policies'!$A$4:$A$503,_calc!$E$208))=0,"",INDEX('Our policies'!$A$4:$A$503,_calc!$E$208)),"COI – "&amp;IF(LEN(INDEX('Vendor COIs'!$A$4:$A$503,(_calc!$E$208-500)))=0,"",INDEX('Vendor COIs'!$A$4:$A$503,(_calc!$E$208-500)))&amp;" – "&amp;IF(LEN(INDEX('Vendor COIs'!$B$4:$B$503,(_calc!$E$208-500)))=0,"",INDEX('Vendor COIs'!$B$4:$B$503,(_calc!$E$208-500)))))</f>
        <v/>
      </c>
      <c r="B206" s="46">
        <f>IF(_calc!$E$208="","",IF(_calc!$E$208&lt;=500,IF(ISNUMBER(INDEX('Our policies'!$J$4:$J$503,_calc!$E$208)),TEXT(INDEX('Our policies'!$J$4:$J$503,_calc!$E$208),"yyyy-mm-dd"),""),IF(ISNUMBER(INDEX('Vendor COIs'!$H$4:$H$503,(_calc!$E$208-500))),TEXT(INDEX('Vendor COIs'!$H$4:$H$503,(_calc!$E$208-500)),"yyyy-mm-dd"),"")))</f>
        <v/>
      </c>
      <c r="C206" s="46">
        <f>IF(_calc!$E$208="","",IF(_calc!$E$208&lt;=500,"Insurance","Certificate of insurance"))</f>
        <v/>
      </c>
      <c r="D206" s="46">
        <f>IF(_calc!$E$208="","",IF(_calc!$E$208&lt;=500,IF(ISNUMBER(INDEX('Our policies'!$I$4:$I$503,_calc!$E$208)),TEXT(INDEX('Our policies'!$I$4:$I$503,_calc!$E$208),"yyyy-mm-dd"),""),""))</f>
        <v/>
      </c>
      <c r="E206" s="46">
        <f>IF(_calc!$E$208="","",IF(_calc!$E$208&lt;=500,IF(LEN(INDEX('Our policies'!$Q$4:$Q$503,_calc!$E$208))=0,"",INDEX('Our policies'!$Q$4:$Q$503,_calc!$E$208)),"Medium"))</f>
        <v/>
      </c>
      <c r="F206" s="46">
        <f>IF(_calc!$E$208="","",IF(_calc!$E$208&lt;=500,TRIM(IF(LEN(IF(LEN(INDEX('Our policies'!$B$4:$B$503,_calc!$E$208))=0,"",INDEX('Our policies'!$B$4:$B$503,_calc!$E$208)))=0,"","Cover: "&amp;IF(LEN(INDEX('Our policies'!$B$4:$B$503,_calc!$E$208))=0,"",INDEX('Our policies'!$B$4:$B$503,_calc!$E$208))&amp;". ")&amp;IF(LEN(IF(LEN(INDEX('Our policies'!$C$4:$C$503,_calc!$E$208))=0,"",INDEX('Our policies'!$C$4:$C$503,_calc!$E$208)))=0,"","Insurer: "&amp;IF(LEN(INDEX('Our policies'!$C$4:$C$503,_calc!$E$208))=0,"",INDEX('Our policies'!$C$4:$C$503,_calc!$E$208))&amp;". ")&amp;IF(LEN(IF(LEN(INDEX('Our policies'!$D$4:$D$503,_calc!$E$208))=0,"",INDEX('Our policies'!$D$4:$D$503,_calc!$E$208)))=0,"","Broker: "&amp;IF(LEN(INDEX('Our policies'!$D$4:$D$503,_calc!$E$208))=0,"",INDEX('Our policies'!$D$4:$D$503,_calc!$E$208))&amp;". ")&amp;IF(LEN(IF(LEN(INDEX('Our policies'!$E$4:$E$503,_calc!$E$208))=0,"",INDEX('Our policies'!$E$4:$E$503,_calc!$E$208)))=0,"","Policy no.: "&amp;IF(LEN(INDEX('Our policies'!$E$4:$E$503,_calc!$E$208))=0,"",INDEX('Our policies'!$E$4:$E$503,_calc!$E$208))&amp;". ")&amp;IF(LEN(IF(LEN(INDEX('Our policies'!$S$4:$S$503,_calc!$E$208))=0,"",INDEX('Our policies'!$S$4:$S$503,_calc!$E$208)))=0,"",IF(LEN(INDEX('Our policies'!$S$4:$S$503,_calc!$E$208))=0,"",INDEX('Our policies'!$S$4:$S$503,_calc!$E$208)))),TRIM(IF(LEN(IF(LEN(INDEX('Vendor COIs'!$C$4:$C$503,(_calc!$E$208-500)))=0,"",INDEX('Vendor COIs'!$C$4:$C$503,(_calc!$E$208-500))))=0,"","Insurer: "&amp;IF(LEN(INDEX('Vendor COIs'!$C$4:$C$503,(_calc!$E$208-500)))=0,"",INDEX('Vendor COIs'!$C$4:$C$503,(_calc!$E$208-500)))&amp;". ")&amp;IF(LEN(IF(LEN(INDEX('Vendor COIs'!$D$4:$D$503,(_calc!$E$208-500)))=0,"",INDEX('Vendor COIs'!$D$4:$D$503,(_calc!$E$208-500))))=0,"","Policy no.: "&amp;IF(LEN(INDEX('Vendor COIs'!$D$4:$D$503,(_calc!$E$208-500)))=0,"",INDEX('Vendor COIs'!$D$4:$D$503,(_calc!$E$208-500)))&amp;". ")&amp;IF(LEN(IF(LEN(INDEX('Vendor COIs'!$F$4:$F$503,(_calc!$E$208-500)))=0,"",INDEX('Vendor COIs'!$F$4:$F$503,(_calc!$E$208-500))))=0,"","Meets minimum: "&amp;IF(LEN(INDEX('Vendor COIs'!$F$4:$F$503,(_calc!$E$208-500)))=0,"",INDEX('Vendor COIs'!$F$4:$F$503,(_calc!$E$208-500)))&amp;". ")&amp;IF(LEN(IF(LEN(INDEX('Vendor COIs'!$G$4:$G$503,(_calc!$E$208-500)))=0,"",INDEX('Vendor COIs'!$G$4:$G$503,(_calc!$E$208-500))))=0,"","Additional insured: "&amp;IF(LEN(INDEX('Vendor COIs'!$G$4:$G$503,(_calc!$E$208-500)))=0,"",INDEX('Vendor COIs'!$G$4:$G$503,(_calc!$E$208-500)))&amp;". ")&amp;IF(LEN(IF(LEN(INDEX('Vendor COIs'!$M$4:$M$503,(_calc!$E$208-500)))=0,"",INDEX('Vendor COIs'!$M$4:$M$503,(_calc!$E$208-500))))=0,"","Vendor contact: "&amp;IF(LEN(INDEX('Vendor COIs'!$M$4:$M$503,(_calc!$E$208-500)))=0,"",INDEX('Vendor COIs'!$M$4:$M$503,(_calc!$E$208-500)))&amp;". ")&amp;IF(LEN(IF(LEN(INDEX('Vendor COIs'!$P$4:$P$503,(_calc!$E$208-500)))=0,"",INDEX('Vendor COIs'!$P$4:$P$503,(_calc!$E$208-500))))=0,"",IF(LEN(INDEX('Vendor COIs'!$P$4:$P$503,(_calc!$E$208-500)))=0,"",INDEX('Vendor COIs'!$P$4:$P$503,(_calc!$E$208-500)))))))</f>
        <v/>
      </c>
      <c r="G206" s="46">
        <f>IF(_calc!$E$208="","",IF(_calc!$E$208&lt;=500,IF(LEN(INDEX('Our policies'!$R$4:$R$503,_calc!$E$208))=0,"",INDEX('Our policies'!$R$4:$R$503,_calc!$E$208)),IF(LEN(INDEX('Vendor COIs'!$O$4:$O$503,(_calc!$E$208-500)))=0,"",INDEX('Vendor COIs'!$O$4:$O$503,(_calc!$E$208-500)))))</f>
        <v/>
      </c>
      <c r="H206" s="46">
        <f>IF(_calc!$E$208="","",IF(_calc!$E$208&lt;=500,IF(LEN(INDEX('Our policies'!$G$4:$G$503,_calc!$E$208))=0,"",INDEX('Our policies'!$G$4:$G$503,_calc!$E$208)),""))</f>
        <v/>
      </c>
      <c r="I206" s="46">
        <f>IF(_calc!$E$208="","",IF(_calc!$E$208&lt;=500,IF(LEN(INDEX('Our policies'!$H$4:$H$503,_calc!$E$208))=0,"",INDEX('Our policies'!$H$4:$H$503,_calc!$E$208)),""))</f>
        <v/>
      </c>
      <c r="K206" s="46">
        <f>IF(_calc!$E$208="","",IF(_calc!$E$208&lt;=500,IF(LEN(INDEX('Our policies'!$P$4:$P$503,_calc!$E$208))=0,"",INDEX('Our policies'!$P$4:$P$503,_calc!$E$208)),IF(LEN(INDEX('Vendor COIs'!$N$4:$N$503,(_calc!$E$208-500)))=0,"",INDEX('Vendor COIs'!$N$4:$N$503,(_calc!$E$208-500)))))</f>
        <v/>
      </c>
    </row>
    <row r="207">
      <c r="A207" s="46">
        <f>IF(_calc!$E$209="","",IF(_calc!$E$209&lt;=500,IF(LEN(INDEX('Our policies'!$A$4:$A$503,_calc!$E$209))=0,"",INDEX('Our policies'!$A$4:$A$503,_calc!$E$209)),"COI – "&amp;IF(LEN(INDEX('Vendor COIs'!$A$4:$A$503,(_calc!$E$209-500)))=0,"",INDEX('Vendor COIs'!$A$4:$A$503,(_calc!$E$209-500)))&amp;" – "&amp;IF(LEN(INDEX('Vendor COIs'!$B$4:$B$503,(_calc!$E$209-500)))=0,"",INDEX('Vendor COIs'!$B$4:$B$503,(_calc!$E$209-500)))))</f>
        <v/>
      </c>
      <c r="B207" s="46">
        <f>IF(_calc!$E$209="","",IF(_calc!$E$209&lt;=500,IF(ISNUMBER(INDEX('Our policies'!$J$4:$J$503,_calc!$E$209)),TEXT(INDEX('Our policies'!$J$4:$J$503,_calc!$E$209),"yyyy-mm-dd"),""),IF(ISNUMBER(INDEX('Vendor COIs'!$H$4:$H$503,(_calc!$E$209-500))),TEXT(INDEX('Vendor COIs'!$H$4:$H$503,(_calc!$E$209-500)),"yyyy-mm-dd"),"")))</f>
        <v/>
      </c>
      <c r="C207" s="46">
        <f>IF(_calc!$E$209="","",IF(_calc!$E$209&lt;=500,"Insurance","Certificate of insurance"))</f>
        <v/>
      </c>
      <c r="D207" s="46">
        <f>IF(_calc!$E$209="","",IF(_calc!$E$209&lt;=500,IF(ISNUMBER(INDEX('Our policies'!$I$4:$I$503,_calc!$E$209)),TEXT(INDEX('Our policies'!$I$4:$I$503,_calc!$E$209),"yyyy-mm-dd"),""),""))</f>
        <v/>
      </c>
      <c r="E207" s="46">
        <f>IF(_calc!$E$209="","",IF(_calc!$E$209&lt;=500,IF(LEN(INDEX('Our policies'!$Q$4:$Q$503,_calc!$E$209))=0,"",INDEX('Our policies'!$Q$4:$Q$503,_calc!$E$209)),"Medium"))</f>
        <v/>
      </c>
      <c r="F207" s="46">
        <f>IF(_calc!$E$209="","",IF(_calc!$E$209&lt;=500,TRIM(IF(LEN(IF(LEN(INDEX('Our policies'!$B$4:$B$503,_calc!$E$209))=0,"",INDEX('Our policies'!$B$4:$B$503,_calc!$E$209)))=0,"","Cover: "&amp;IF(LEN(INDEX('Our policies'!$B$4:$B$503,_calc!$E$209))=0,"",INDEX('Our policies'!$B$4:$B$503,_calc!$E$209))&amp;". ")&amp;IF(LEN(IF(LEN(INDEX('Our policies'!$C$4:$C$503,_calc!$E$209))=0,"",INDEX('Our policies'!$C$4:$C$503,_calc!$E$209)))=0,"","Insurer: "&amp;IF(LEN(INDEX('Our policies'!$C$4:$C$503,_calc!$E$209))=0,"",INDEX('Our policies'!$C$4:$C$503,_calc!$E$209))&amp;". ")&amp;IF(LEN(IF(LEN(INDEX('Our policies'!$D$4:$D$503,_calc!$E$209))=0,"",INDEX('Our policies'!$D$4:$D$503,_calc!$E$209)))=0,"","Broker: "&amp;IF(LEN(INDEX('Our policies'!$D$4:$D$503,_calc!$E$209))=0,"",INDEX('Our policies'!$D$4:$D$503,_calc!$E$209))&amp;". ")&amp;IF(LEN(IF(LEN(INDEX('Our policies'!$E$4:$E$503,_calc!$E$209))=0,"",INDEX('Our policies'!$E$4:$E$503,_calc!$E$209)))=0,"","Policy no.: "&amp;IF(LEN(INDEX('Our policies'!$E$4:$E$503,_calc!$E$209))=0,"",INDEX('Our policies'!$E$4:$E$503,_calc!$E$209))&amp;". ")&amp;IF(LEN(IF(LEN(INDEX('Our policies'!$S$4:$S$503,_calc!$E$209))=0,"",INDEX('Our policies'!$S$4:$S$503,_calc!$E$209)))=0,"",IF(LEN(INDEX('Our policies'!$S$4:$S$503,_calc!$E$209))=0,"",INDEX('Our policies'!$S$4:$S$503,_calc!$E$209)))),TRIM(IF(LEN(IF(LEN(INDEX('Vendor COIs'!$C$4:$C$503,(_calc!$E$209-500)))=0,"",INDEX('Vendor COIs'!$C$4:$C$503,(_calc!$E$209-500))))=0,"","Insurer: "&amp;IF(LEN(INDEX('Vendor COIs'!$C$4:$C$503,(_calc!$E$209-500)))=0,"",INDEX('Vendor COIs'!$C$4:$C$503,(_calc!$E$209-500)))&amp;". ")&amp;IF(LEN(IF(LEN(INDEX('Vendor COIs'!$D$4:$D$503,(_calc!$E$209-500)))=0,"",INDEX('Vendor COIs'!$D$4:$D$503,(_calc!$E$209-500))))=0,"","Policy no.: "&amp;IF(LEN(INDEX('Vendor COIs'!$D$4:$D$503,(_calc!$E$209-500)))=0,"",INDEX('Vendor COIs'!$D$4:$D$503,(_calc!$E$209-500)))&amp;". ")&amp;IF(LEN(IF(LEN(INDEX('Vendor COIs'!$F$4:$F$503,(_calc!$E$209-500)))=0,"",INDEX('Vendor COIs'!$F$4:$F$503,(_calc!$E$209-500))))=0,"","Meets minimum: "&amp;IF(LEN(INDEX('Vendor COIs'!$F$4:$F$503,(_calc!$E$209-500)))=0,"",INDEX('Vendor COIs'!$F$4:$F$503,(_calc!$E$209-500)))&amp;". ")&amp;IF(LEN(IF(LEN(INDEX('Vendor COIs'!$G$4:$G$503,(_calc!$E$209-500)))=0,"",INDEX('Vendor COIs'!$G$4:$G$503,(_calc!$E$209-500))))=0,"","Additional insured: "&amp;IF(LEN(INDEX('Vendor COIs'!$G$4:$G$503,(_calc!$E$209-500)))=0,"",INDEX('Vendor COIs'!$G$4:$G$503,(_calc!$E$209-500)))&amp;". ")&amp;IF(LEN(IF(LEN(INDEX('Vendor COIs'!$M$4:$M$503,(_calc!$E$209-500)))=0,"",INDEX('Vendor COIs'!$M$4:$M$503,(_calc!$E$209-500))))=0,"","Vendor contact: "&amp;IF(LEN(INDEX('Vendor COIs'!$M$4:$M$503,(_calc!$E$209-500)))=0,"",INDEX('Vendor COIs'!$M$4:$M$503,(_calc!$E$209-500)))&amp;". ")&amp;IF(LEN(IF(LEN(INDEX('Vendor COIs'!$P$4:$P$503,(_calc!$E$209-500)))=0,"",INDEX('Vendor COIs'!$P$4:$P$503,(_calc!$E$209-500))))=0,"",IF(LEN(INDEX('Vendor COIs'!$P$4:$P$503,(_calc!$E$209-500)))=0,"",INDEX('Vendor COIs'!$P$4:$P$503,(_calc!$E$209-500)))))))</f>
        <v/>
      </c>
      <c r="G207" s="46">
        <f>IF(_calc!$E$209="","",IF(_calc!$E$209&lt;=500,IF(LEN(INDEX('Our policies'!$R$4:$R$503,_calc!$E$209))=0,"",INDEX('Our policies'!$R$4:$R$503,_calc!$E$209)),IF(LEN(INDEX('Vendor COIs'!$O$4:$O$503,(_calc!$E$209-500)))=0,"",INDEX('Vendor COIs'!$O$4:$O$503,(_calc!$E$209-500)))))</f>
        <v/>
      </c>
      <c r="H207" s="46">
        <f>IF(_calc!$E$209="","",IF(_calc!$E$209&lt;=500,IF(LEN(INDEX('Our policies'!$G$4:$G$503,_calc!$E$209))=0,"",INDEX('Our policies'!$G$4:$G$503,_calc!$E$209)),""))</f>
        <v/>
      </c>
      <c r="I207" s="46">
        <f>IF(_calc!$E$209="","",IF(_calc!$E$209&lt;=500,IF(LEN(INDEX('Our policies'!$H$4:$H$503,_calc!$E$209))=0,"",INDEX('Our policies'!$H$4:$H$503,_calc!$E$209)),""))</f>
        <v/>
      </c>
      <c r="K207" s="46">
        <f>IF(_calc!$E$209="","",IF(_calc!$E$209&lt;=500,IF(LEN(INDEX('Our policies'!$P$4:$P$503,_calc!$E$209))=0,"",INDEX('Our policies'!$P$4:$P$503,_calc!$E$209)),IF(LEN(INDEX('Vendor COIs'!$N$4:$N$503,(_calc!$E$209-500)))=0,"",INDEX('Vendor COIs'!$N$4:$N$503,(_calc!$E$209-500)))))</f>
        <v/>
      </c>
    </row>
    <row r="208">
      <c r="A208" s="46">
        <f>IF(_calc!$E$210="","",IF(_calc!$E$210&lt;=500,IF(LEN(INDEX('Our policies'!$A$4:$A$503,_calc!$E$210))=0,"",INDEX('Our policies'!$A$4:$A$503,_calc!$E$210)),"COI – "&amp;IF(LEN(INDEX('Vendor COIs'!$A$4:$A$503,(_calc!$E$210-500)))=0,"",INDEX('Vendor COIs'!$A$4:$A$503,(_calc!$E$210-500)))&amp;" – "&amp;IF(LEN(INDEX('Vendor COIs'!$B$4:$B$503,(_calc!$E$210-500)))=0,"",INDEX('Vendor COIs'!$B$4:$B$503,(_calc!$E$210-500)))))</f>
        <v/>
      </c>
      <c r="B208" s="46">
        <f>IF(_calc!$E$210="","",IF(_calc!$E$210&lt;=500,IF(ISNUMBER(INDEX('Our policies'!$J$4:$J$503,_calc!$E$210)),TEXT(INDEX('Our policies'!$J$4:$J$503,_calc!$E$210),"yyyy-mm-dd"),""),IF(ISNUMBER(INDEX('Vendor COIs'!$H$4:$H$503,(_calc!$E$210-500))),TEXT(INDEX('Vendor COIs'!$H$4:$H$503,(_calc!$E$210-500)),"yyyy-mm-dd"),"")))</f>
        <v/>
      </c>
      <c r="C208" s="46">
        <f>IF(_calc!$E$210="","",IF(_calc!$E$210&lt;=500,"Insurance","Certificate of insurance"))</f>
        <v/>
      </c>
      <c r="D208" s="46">
        <f>IF(_calc!$E$210="","",IF(_calc!$E$210&lt;=500,IF(ISNUMBER(INDEX('Our policies'!$I$4:$I$503,_calc!$E$210)),TEXT(INDEX('Our policies'!$I$4:$I$503,_calc!$E$210),"yyyy-mm-dd"),""),""))</f>
        <v/>
      </c>
      <c r="E208" s="46">
        <f>IF(_calc!$E$210="","",IF(_calc!$E$210&lt;=500,IF(LEN(INDEX('Our policies'!$Q$4:$Q$503,_calc!$E$210))=0,"",INDEX('Our policies'!$Q$4:$Q$503,_calc!$E$210)),"Medium"))</f>
        <v/>
      </c>
      <c r="F208" s="46">
        <f>IF(_calc!$E$210="","",IF(_calc!$E$210&lt;=500,TRIM(IF(LEN(IF(LEN(INDEX('Our policies'!$B$4:$B$503,_calc!$E$210))=0,"",INDEX('Our policies'!$B$4:$B$503,_calc!$E$210)))=0,"","Cover: "&amp;IF(LEN(INDEX('Our policies'!$B$4:$B$503,_calc!$E$210))=0,"",INDEX('Our policies'!$B$4:$B$503,_calc!$E$210))&amp;". ")&amp;IF(LEN(IF(LEN(INDEX('Our policies'!$C$4:$C$503,_calc!$E$210))=0,"",INDEX('Our policies'!$C$4:$C$503,_calc!$E$210)))=0,"","Insurer: "&amp;IF(LEN(INDEX('Our policies'!$C$4:$C$503,_calc!$E$210))=0,"",INDEX('Our policies'!$C$4:$C$503,_calc!$E$210))&amp;". ")&amp;IF(LEN(IF(LEN(INDEX('Our policies'!$D$4:$D$503,_calc!$E$210))=0,"",INDEX('Our policies'!$D$4:$D$503,_calc!$E$210)))=0,"","Broker: "&amp;IF(LEN(INDEX('Our policies'!$D$4:$D$503,_calc!$E$210))=0,"",INDEX('Our policies'!$D$4:$D$503,_calc!$E$210))&amp;". ")&amp;IF(LEN(IF(LEN(INDEX('Our policies'!$E$4:$E$503,_calc!$E$210))=0,"",INDEX('Our policies'!$E$4:$E$503,_calc!$E$210)))=0,"","Policy no.: "&amp;IF(LEN(INDEX('Our policies'!$E$4:$E$503,_calc!$E$210))=0,"",INDEX('Our policies'!$E$4:$E$503,_calc!$E$210))&amp;". ")&amp;IF(LEN(IF(LEN(INDEX('Our policies'!$S$4:$S$503,_calc!$E$210))=0,"",INDEX('Our policies'!$S$4:$S$503,_calc!$E$210)))=0,"",IF(LEN(INDEX('Our policies'!$S$4:$S$503,_calc!$E$210))=0,"",INDEX('Our policies'!$S$4:$S$503,_calc!$E$210)))),TRIM(IF(LEN(IF(LEN(INDEX('Vendor COIs'!$C$4:$C$503,(_calc!$E$210-500)))=0,"",INDEX('Vendor COIs'!$C$4:$C$503,(_calc!$E$210-500))))=0,"","Insurer: "&amp;IF(LEN(INDEX('Vendor COIs'!$C$4:$C$503,(_calc!$E$210-500)))=0,"",INDEX('Vendor COIs'!$C$4:$C$503,(_calc!$E$210-500)))&amp;". ")&amp;IF(LEN(IF(LEN(INDEX('Vendor COIs'!$D$4:$D$503,(_calc!$E$210-500)))=0,"",INDEX('Vendor COIs'!$D$4:$D$503,(_calc!$E$210-500))))=0,"","Policy no.: "&amp;IF(LEN(INDEX('Vendor COIs'!$D$4:$D$503,(_calc!$E$210-500)))=0,"",INDEX('Vendor COIs'!$D$4:$D$503,(_calc!$E$210-500)))&amp;". ")&amp;IF(LEN(IF(LEN(INDEX('Vendor COIs'!$F$4:$F$503,(_calc!$E$210-500)))=0,"",INDEX('Vendor COIs'!$F$4:$F$503,(_calc!$E$210-500))))=0,"","Meets minimum: "&amp;IF(LEN(INDEX('Vendor COIs'!$F$4:$F$503,(_calc!$E$210-500)))=0,"",INDEX('Vendor COIs'!$F$4:$F$503,(_calc!$E$210-500)))&amp;". ")&amp;IF(LEN(IF(LEN(INDEX('Vendor COIs'!$G$4:$G$503,(_calc!$E$210-500)))=0,"",INDEX('Vendor COIs'!$G$4:$G$503,(_calc!$E$210-500))))=0,"","Additional insured: "&amp;IF(LEN(INDEX('Vendor COIs'!$G$4:$G$503,(_calc!$E$210-500)))=0,"",INDEX('Vendor COIs'!$G$4:$G$503,(_calc!$E$210-500)))&amp;". ")&amp;IF(LEN(IF(LEN(INDEX('Vendor COIs'!$M$4:$M$503,(_calc!$E$210-500)))=0,"",INDEX('Vendor COIs'!$M$4:$M$503,(_calc!$E$210-500))))=0,"","Vendor contact: "&amp;IF(LEN(INDEX('Vendor COIs'!$M$4:$M$503,(_calc!$E$210-500)))=0,"",INDEX('Vendor COIs'!$M$4:$M$503,(_calc!$E$210-500)))&amp;". ")&amp;IF(LEN(IF(LEN(INDEX('Vendor COIs'!$P$4:$P$503,(_calc!$E$210-500)))=0,"",INDEX('Vendor COIs'!$P$4:$P$503,(_calc!$E$210-500))))=0,"",IF(LEN(INDEX('Vendor COIs'!$P$4:$P$503,(_calc!$E$210-500)))=0,"",INDEX('Vendor COIs'!$P$4:$P$503,(_calc!$E$210-500)))))))</f>
        <v/>
      </c>
      <c r="G208" s="46">
        <f>IF(_calc!$E$210="","",IF(_calc!$E$210&lt;=500,IF(LEN(INDEX('Our policies'!$R$4:$R$503,_calc!$E$210))=0,"",INDEX('Our policies'!$R$4:$R$503,_calc!$E$210)),IF(LEN(INDEX('Vendor COIs'!$O$4:$O$503,(_calc!$E$210-500)))=0,"",INDEX('Vendor COIs'!$O$4:$O$503,(_calc!$E$210-500)))))</f>
        <v/>
      </c>
      <c r="H208" s="46">
        <f>IF(_calc!$E$210="","",IF(_calc!$E$210&lt;=500,IF(LEN(INDEX('Our policies'!$G$4:$G$503,_calc!$E$210))=0,"",INDEX('Our policies'!$G$4:$G$503,_calc!$E$210)),""))</f>
        <v/>
      </c>
      <c r="I208" s="46">
        <f>IF(_calc!$E$210="","",IF(_calc!$E$210&lt;=500,IF(LEN(INDEX('Our policies'!$H$4:$H$503,_calc!$E$210))=0,"",INDEX('Our policies'!$H$4:$H$503,_calc!$E$210)),""))</f>
        <v/>
      </c>
      <c r="K208" s="46">
        <f>IF(_calc!$E$210="","",IF(_calc!$E$210&lt;=500,IF(LEN(INDEX('Our policies'!$P$4:$P$503,_calc!$E$210))=0,"",INDEX('Our policies'!$P$4:$P$503,_calc!$E$210)),IF(LEN(INDEX('Vendor COIs'!$N$4:$N$503,(_calc!$E$210-500)))=0,"",INDEX('Vendor COIs'!$N$4:$N$503,(_calc!$E$210-500)))))</f>
        <v/>
      </c>
    </row>
    <row r="209">
      <c r="A209" s="46">
        <f>IF(_calc!$E$211="","",IF(_calc!$E$211&lt;=500,IF(LEN(INDEX('Our policies'!$A$4:$A$503,_calc!$E$211))=0,"",INDEX('Our policies'!$A$4:$A$503,_calc!$E$211)),"COI – "&amp;IF(LEN(INDEX('Vendor COIs'!$A$4:$A$503,(_calc!$E$211-500)))=0,"",INDEX('Vendor COIs'!$A$4:$A$503,(_calc!$E$211-500)))&amp;" – "&amp;IF(LEN(INDEX('Vendor COIs'!$B$4:$B$503,(_calc!$E$211-500)))=0,"",INDEX('Vendor COIs'!$B$4:$B$503,(_calc!$E$211-500)))))</f>
        <v/>
      </c>
      <c r="B209" s="46">
        <f>IF(_calc!$E$211="","",IF(_calc!$E$211&lt;=500,IF(ISNUMBER(INDEX('Our policies'!$J$4:$J$503,_calc!$E$211)),TEXT(INDEX('Our policies'!$J$4:$J$503,_calc!$E$211),"yyyy-mm-dd"),""),IF(ISNUMBER(INDEX('Vendor COIs'!$H$4:$H$503,(_calc!$E$211-500))),TEXT(INDEX('Vendor COIs'!$H$4:$H$503,(_calc!$E$211-500)),"yyyy-mm-dd"),"")))</f>
        <v/>
      </c>
      <c r="C209" s="46">
        <f>IF(_calc!$E$211="","",IF(_calc!$E$211&lt;=500,"Insurance","Certificate of insurance"))</f>
        <v/>
      </c>
      <c r="D209" s="46">
        <f>IF(_calc!$E$211="","",IF(_calc!$E$211&lt;=500,IF(ISNUMBER(INDEX('Our policies'!$I$4:$I$503,_calc!$E$211)),TEXT(INDEX('Our policies'!$I$4:$I$503,_calc!$E$211),"yyyy-mm-dd"),""),""))</f>
        <v/>
      </c>
      <c r="E209" s="46">
        <f>IF(_calc!$E$211="","",IF(_calc!$E$211&lt;=500,IF(LEN(INDEX('Our policies'!$Q$4:$Q$503,_calc!$E$211))=0,"",INDEX('Our policies'!$Q$4:$Q$503,_calc!$E$211)),"Medium"))</f>
        <v/>
      </c>
      <c r="F209" s="46">
        <f>IF(_calc!$E$211="","",IF(_calc!$E$211&lt;=500,TRIM(IF(LEN(IF(LEN(INDEX('Our policies'!$B$4:$B$503,_calc!$E$211))=0,"",INDEX('Our policies'!$B$4:$B$503,_calc!$E$211)))=0,"","Cover: "&amp;IF(LEN(INDEX('Our policies'!$B$4:$B$503,_calc!$E$211))=0,"",INDEX('Our policies'!$B$4:$B$503,_calc!$E$211))&amp;". ")&amp;IF(LEN(IF(LEN(INDEX('Our policies'!$C$4:$C$503,_calc!$E$211))=0,"",INDEX('Our policies'!$C$4:$C$503,_calc!$E$211)))=0,"","Insurer: "&amp;IF(LEN(INDEX('Our policies'!$C$4:$C$503,_calc!$E$211))=0,"",INDEX('Our policies'!$C$4:$C$503,_calc!$E$211))&amp;". ")&amp;IF(LEN(IF(LEN(INDEX('Our policies'!$D$4:$D$503,_calc!$E$211))=0,"",INDEX('Our policies'!$D$4:$D$503,_calc!$E$211)))=0,"","Broker: "&amp;IF(LEN(INDEX('Our policies'!$D$4:$D$503,_calc!$E$211))=0,"",INDEX('Our policies'!$D$4:$D$503,_calc!$E$211))&amp;". ")&amp;IF(LEN(IF(LEN(INDEX('Our policies'!$E$4:$E$503,_calc!$E$211))=0,"",INDEX('Our policies'!$E$4:$E$503,_calc!$E$211)))=0,"","Policy no.: "&amp;IF(LEN(INDEX('Our policies'!$E$4:$E$503,_calc!$E$211))=0,"",INDEX('Our policies'!$E$4:$E$503,_calc!$E$211))&amp;". ")&amp;IF(LEN(IF(LEN(INDEX('Our policies'!$S$4:$S$503,_calc!$E$211))=0,"",INDEX('Our policies'!$S$4:$S$503,_calc!$E$211)))=0,"",IF(LEN(INDEX('Our policies'!$S$4:$S$503,_calc!$E$211))=0,"",INDEX('Our policies'!$S$4:$S$503,_calc!$E$211)))),TRIM(IF(LEN(IF(LEN(INDEX('Vendor COIs'!$C$4:$C$503,(_calc!$E$211-500)))=0,"",INDEX('Vendor COIs'!$C$4:$C$503,(_calc!$E$211-500))))=0,"","Insurer: "&amp;IF(LEN(INDEX('Vendor COIs'!$C$4:$C$503,(_calc!$E$211-500)))=0,"",INDEX('Vendor COIs'!$C$4:$C$503,(_calc!$E$211-500)))&amp;". ")&amp;IF(LEN(IF(LEN(INDEX('Vendor COIs'!$D$4:$D$503,(_calc!$E$211-500)))=0,"",INDEX('Vendor COIs'!$D$4:$D$503,(_calc!$E$211-500))))=0,"","Policy no.: "&amp;IF(LEN(INDEX('Vendor COIs'!$D$4:$D$503,(_calc!$E$211-500)))=0,"",INDEX('Vendor COIs'!$D$4:$D$503,(_calc!$E$211-500)))&amp;". ")&amp;IF(LEN(IF(LEN(INDEX('Vendor COIs'!$F$4:$F$503,(_calc!$E$211-500)))=0,"",INDEX('Vendor COIs'!$F$4:$F$503,(_calc!$E$211-500))))=0,"","Meets minimum: "&amp;IF(LEN(INDEX('Vendor COIs'!$F$4:$F$503,(_calc!$E$211-500)))=0,"",INDEX('Vendor COIs'!$F$4:$F$503,(_calc!$E$211-500)))&amp;". ")&amp;IF(LEN(IF(LEN(INDEX('Vendor COIs'!$G$4:$G$503,(_calc!$E$211-500)))=0,"",INDEX('Vendor COIs'!$G$4:$G$503,(_calc!$E$211-500))))=0,"","Additional insured: "&amp;IF(LEN(INDEX('Vendor COIs'!$G$4:$G$503,(_calc!$E$211-500)))=0,"",INDEX('Vendor COIs'!$G$4:$G$503,(_calc!$E$211-500)))&amp;". ")&amp;IF(LEN(IF(LEN(INDEX('Vendor COIs'!$M$4:$M$503,(_calc!$E$211-500)))=0,"",INDEX('Vendor COIs'!$M$4:$M$503,(_calc!$E$211-500))))=0,"","Vendor contact: "&amp;IF(LEN(INDEX('Vendor COIs'!$M$4:$M$503,(_calc!$E$211-500)))=0,"",INDEX('Vendor COIs'!$M$4:$M$503,(_calc!$E$211-500)))&amp;". ")&amp;IF(LEN(IF(LEN(INDEX('Vendor COIs'!$P$4:$P$503,(_calc!$E$211-500)))=0,"",INDEX('Vendor COIs'!$P$4:$P$503,(_calc!$E$211-500))))=0,"",IF(LEN(INDEX('Vendor COIs'!$P$4:$P$503,(_calc!$E$211-500)))=0,"",INDEX('Vendor COIs'!$P$4:$P$503,(_calc!$E$211-500)))))))</f>
        <v/>
      </c>
      <c r="G209" s="46">
        <f>IF(_calc!$E$211="","",IF(_calc!$E$211&lt;=500,IF(LEN(INDEX('Our policies'!$R$4:$R$503,_calc!$E$211))=0,"",INDEX('Our policies'!$R$4:$R$503,_calc!$E$211)),IF(LEN(INDEX('Vendor COIs'!$O$4:$O$503,(_calc!$E$211-500)))=0,"",INDEX('Vendor COIs'!$O$4:$O$503,(_calc!$E$211-500)))))</f>
        <v/>
      </c>
      <c r="H209" s="46">
        <f>IF(_calc!$E$211="","",IF(_calc!$E$211&lt;=500,IF(LEN(INDEX('Our policies'!$G$4:$G$503,_calc!$E$211))=0,"",INDEX('Our policies'!$G$4:$G$503,_calc!$E$211)),""))</f>
        <v/>
      </c>
      <c r="I209" s="46">
        <f>IF(_calc!$E$211="","",IF(_calc!$E$211&lt;=500,IF(LEN(INDEX('Our policies'!$H$4:$H$503,_calc!$E$211))=0,"",INDEX('Our policies'!$H$4:$H$503,_calc!$E$211)),""))</f>
        <v/>
      </c>
      <c r="K209" s="46">
        <f>IF(_calc!$E$211="","",IF(_calc!$E$211&lt;=500,IF(LEN(INDEX('Our policies'!$P$4:$P$503,_calc!$E$211))=0,"",INDEX('Our policies'!$P$4:$P$503,_calc!$E$211)),IF(LEN(INDEX('Vendor COIs'!$N$4:$N$503,(_calc!$E$211-500)))=0,"",INDEX('Vendor COIs'!$N$4:$N$503,(_calc!$E$211-500)))))</f>
        <v/>
      </c>
    </row>
    <row r="210">
      <c r="A210" s="46">
        <f>IF(_calc!$E$212="","",IF(_calc!$E$212&lt;=500,IF(LEN(INDEX('Our policies'!$A$4:$A$503,_calc!$E$212))=0,"",INDEX('Our policies'!$A$4:$A$503,_calc!$E$212)),"COI – "&amp;IF(LEN(INDEX('Vendor COIs'!$A$4:$A$503,(_calc!$E$212-500)))=0,"",INDEX('Vendor COIs'!$A$4:$A$503,(_calc!$E$212-500)))&amp;" – "&amp;IF(LEN(INDEX('Vendor COIs'!$B$4:$B$503,(_calc!$E$212-500)))=0,"",INDEX('Vendor COIs'!$B$4:$B$503,(_calc!$E$212-500)))))</f>
        <v/>
      </c>
      <c r="B210" s="46">
        <f>IF(_calc!$E$212="","",IF(_calc!$E$212&lt;=500,IF(ISNUMBER(INDEX('Our policies'!$J$4:$J$503,_calc!$E$212)),TEXT(INDEX('Our policies'!$J$4:$J$503,_calc!$E$212),"yyyy-mm-dd"),""),IF(ISNUMBER(INDEX('Vendor COIs'!$H$4:$H$503,(_calc!$E$212-500))),TEXT(INDEX('Vendor COIs'!$H$4:$H$503,(_calc!$E$212-500)),"yyyy-mm-dd"),"")))</f>
        <v/>
      </c>
      <c r="C210" s="46">
        <f>IF(_calc!$E$212="","",IF(_calc!$E$212&lt;=500,"Insurance","Certificate of insurance"))</f>
        <v/>
      </c>
      <c r="D210" s="46">
        <f>IF(_calc!$E$212="","",IF(_calc!$E$212&lt;=500,IF(ISNUMBER(INDEX('Our policies'!$I$4:$I$503,_calc!$E$212)),TEXT(INDEX('Our policies'!$I$4:$I$503,_calc!$E$212),"yyyy-mm-dd"),""),""))</f>
        <v/>
      </c>
      <c r="E210" s="46">
        <f>IF(_calc!$E$212="","",IF(_calc!$E$212&lt;=500,IF(LEN(INDEX('Our policies'!$Q$4:$Q$503,_calc!$E$212))=0,"",INDEX('Our policies'!$Q$4:$Q$503,_calc!$E$212)),"Medium"))</f>
        <v/>
      </c>
      <c r="F210" s="46">
        <f>IF(_calc!$E$212="","",IF(_calc!$E$212&lt;=500,TRIM(IF(LEN(IF(LEN(INDEX('Our policies'!$B$4:$B$503,_calc!$E$212))=0,"",INDEX('Our policies'!$B$4:$B$503,_calc!$E$212)))=0,"","Cover: "&amp;IF(LEN(INDEX('Our policies'!$B$4:$B$503,_calc!$E$212))=0,"",INDEX('Our policies'!$B$4:$B$503,_calc!$E$212))&amp;". ")&amp;IF(LEN(IF(LEN(INDEX('Our policies'!$C$4:$C$503,_calc!$E$212))=0,"",INDEX('Our policies'!$C$4:$C$503,_calc!$E$212)))=0,"","Insurer: "&amp;IF(LEN(INDEX('Our policies'!$C$4:$C$503,_calc!$E$212))=0,"",INDEX('Our policies'!$C$4:$C$503,_calc!$E$212))&amp;". ")&amp;IF(LEN(IF(LEN(INDEX('Our policies'!$D$4:$D$503,_calc!$E$212))=0,"",INDEX('Our policies'!$D$4:$D$503,_calc!$E$212)))=0,"","Broker: "&amp;IF(LEN(INDEX('Our policies'!$D$4:$D$503,_calc!$E$212))=0,"",INDEX('Our policies'!$D$4:$D$503,_calc!$E$212))&amp;". ")&amp;IF(LEN(IF(LEN(INDEX('Our policies'!$E$4:$E$503,_calc!$E$212))=0,"",INDEX('Our policies'!$E$4:$E$503,_calc!$E$212)))=0,"","Policy no.: "&amp;IF(LEN(INDEX('Our policies'!$E$4:$E$503,_calc!$E$212))=0,"",INDEX('Our policies'!$E$4:$E$503,_calc!$E$212))&amp;". ")&amp;IF(LEN(IF(LEN(INDEX('Our policies'!$S$4:$S$503,_calc!$E$212))=0,"",INDEX('Our policies'!$S$4:$S$503,_calc!$E$212)))=0,"",IF(LEN(INDEX('Our policies'!$S$4:$S$503,_calc!$E$212))=0,"",INDEX('Our policies'!$S$4:$S$503,_calc!$E$212)))),TRIM(IF(LEN(IF(LEN(INDEX('Vendor COIs'!$C$4:$C$503,(_calc!$E$212-500)))=0,"",INDEX('Vendor COIs'!$C$4:$C$503,(_calc!$E$212-500))))=0,"","Insurer: "&amp;IF(LEN(INDEX('Vendor COIs'!$C$4:$C$503,(_calc!$E$212-500)))=0,"",INDEX('Vendor COIs'!$C$4:$C$503,(_calc!$E$212-500)))&amp;". ")&amp;IF(LEN(IF(LEN(INDEX('Vendor COIs'!$D$4:$D$503,(_calc!$E$212-500)))=0,"",INDEX('Vendor COIs'!$D$4:$D$503,(_calc!$E$212-500))))=0,"","Policy no.: "&amp;IF(LEN(INDEX('Vendor COIs'!$D$4:$D$503,(_calc!$E$212-500)))=0,"",INDEX('Vendor COIs'!$D$4:$D$503,(_calc!$E$212-500)))&amp;". ")&amp;IF(LEN(IF(LEN(INDEX('Vendor COIs'!$F$4:$F$503,(_calc!$E$212-500)))=0,"",INDEX('Vendor COIs'!$F$4:$F$503,(_calc!$E$212-500))))=0,"","Meets minimum: "&amp;IF(LEN(INDEX('Vendor COIs'!$F$4:$F$503,(_calc!$E$212-500)))=0,"",INDEX('Vendor COIs'!$F$4:$F$503,(_calc!$E$212-500)))&amp;". ")&amp;IF(LEN(IF(LEN(INDEX('Vendor COIs'!$G$4:$G$503,(_calc!$E$212-500)))=0,"",INDEX('Vendor COIs'!$G$4:$G$503,(_calc!$E$212-500))))=0,"","Additional insured: "&amp;IF(LEN(INDEX('Vendor COIs'!$G$4:$G$503,(_calc!$E$212-500)))=0,"",INDEX('Vendor COIs'!$G$4:$G$503,(_calc!$E$212-500)))&amp;". ")&amp;IF(LEN(IF(LEN(INDEX('Vendor COIs'!$M$4:$M$503,(_calc!$E$212-500)))=0,"",INDEX('Vendor COIs'!$M$4:$M$503,(_calc!$E$212-500))))=0,"","Vendor contact: "&amp;IF(LEN(INDEX('Vendor COIs'!$M$4:$M$503,(_calc!$E$212-500)))=0,"",INDEX('Vendor COIs'!$M$4:$M$503,(_calc!$E$212-500)))&amp;". ")&amp;IF(LEN(IF(LEN(INDEX('Vendor COIs'!$P$4:$P$503,(_calc!$E$212-500)))=0,"",INDEX('Vendor COIs'!$P$4:$P$503,(_calc!$E$212-500))))=0,"",IF(LEN(INDEX('Vendor COIs'!$P$4:$P$503,(_calc!$E$212-500)))=0,"",INDEX('Vendor COIs'!$P$4:$P$503,(_calc!$E$212-500)))))))</f>
        <v/>
      </c>
      <c r="G210" s="46">
        <f>IF(_calc!$E$212="","",IF(_calc!$E$212&lt;=500,IF(LEN(INDEX('Our policies'!$R$4:$R$503,_calc!$E$212))=0,"",INDEX('Our policies'!$R$4:$R$503,_calc!$E$212)),IF(LEN(INDEX('Vendor COIs'!$O$4:$O$503,(_calc!$E$212-500)))=0,"",INDEX('Vendor COIs'!$O$4:$O$503,(_calc!$E$212-500)))))</f>
        <v/>
      </c>
      <c r="H210" s="46">
        <f>IF(_calc!$E$212="","",IF(_calc!$E$212&lt;=500,IF(LEN(INDEX('Our policies'!$G$4:$G$503,_calc!$E$212))=0,"",INDEX('Our policies'!$G$4:$G$503,_calc!$E$212)),""))</f>
        <v/>
      </c>
      <c r="I210" s="46">
        <f>IF(_calc!$E$212="","",IF(_calc!$E$212&lt;=500,IF(LEN(INDEX('Our policies'!$H$4:$H$503,_calc!$E$212))=0,"",INDEX('Our policies'!$H$4:$H$503,_calc!$E$212)),""))</f>
        <v/>
      </c>
      <c r="K210" s="46">
        <f>IF(_calc!$E$212="","",IF(_calc!$E$212&lt;=500,IF(LEN(INDEX('Our policies'!$P$4:$P$503,_calc!$E$212))=0,"",INDEX('Our policies'!$P$4:$P$503,_calc!$E$212)),IF(LEN(INDEX('Vendor COIs'!$N$4:$N$503,(_calc!$E$212-500)))=0,"",INDEX('Vendor COIs'!$N$4:$N$503,(_calc!$E$212-500)))))</f>
        <v/>
      </c>
    </row>
    <row r="211">
      <c r="A211" s="46">
        <f>IF(_calc!$E$213="","",IF(_calc!$E$213&lt;=500,IF(LEN(INDEX('Our policies'!$A$4:$A$503,_calc!$E$213))=0,"",INDEX('Our policies'!$A$4:$A$503,_calc!$E$213)),"COI – "&amp;IF(LEN(INDEX('Vendor COIs'!$A$4:$A$503,(_calc!$E$213-500)))=0,"",INDEX('Vendor COIs'!$A$4:$A$503,(_calc!$E$213-500)))&amp;" – "&amp;IF(LEN(INDEX('Vendor COIs'!$B$4:$B$503,(_calc!$E$213-500)))=0,"",INDEX('Vendor COIs'!$B$4:$B$503,(_calc!$E$213-500)))))</f>
        <v/>
      </c>
      <c r="B211" s="46">
        <f>IF(_calc!$E$213="","",IF(_calc!$E$213&lt;=500,IF(ISNUMBER(INDEX('Our policies'!$J$4:$J$503,_calc!$E$213)),TEXT(INDEX('Our policies'!$J$4:$J$503,_calc!$E$213),"yyyy-mm-dd"),""),IF(ISNUMBER(INDEX('Vendor COIs'!$H$4:$H$503,(_calc!$E$213-500))),TEXT(INDEX('Vendor COIs'!$H$4:$H$503,(_calc!$E$213-500)),"yyyy-mm-dd"),"")))</f>
        <v/>
      </c>
      <c r="C211" s="46">
        <f>IF(_calc!$E$213="","",IF(_calc!$E$213&lt;=500,"Insurance","Certificate of insurance"))</f>
        <v/>
      </c>
      <c r="D211" s="46">
        <f>IF(_calc!$E$213="","",IF(_calc!$E$213&lt;=500,IF(ISNUMBER(INDEX('Our policies'!$I$4:$I$503,_calc!$E$213)),TEXT(INDEX('Our policies'!$I$4:$I$503,_calc!$E$213),"yyyy-mm-dd"),""),""))</f>
        <v/>
      </c>
      <c r="E211" s="46">
        <f>IF(_calc!$E$213="","",IF(_calc!$E$213&lt;=500,IF(LEN(INDEX('Our policies'!$Q$4:$Q$503,_calc!$E$213))=0,"",INDEX('Our policies'!$Q$4:$Q$503,_calc!$E$213)),"Medium"))</f>
        <v/>
      </c>
      <c r="F211" s="46">
        <f>IF(_calc!$E$213="","",IF(_calc!$E$213&lt;=500,TRIM(IF(LEN(IF(LEN(INDEX('Our policies'!$B$4:$B$503,_calc!$E$213))=0,"",INDEX('Our policies'!$B$4:$B$503,_calc!$E$213)))=0,"","Cover: "&amp;IF(LEN(INDEX('Our policies'!$B$4:$B$503,_calc!$E$213))=0,"",INDEX('Our policies'!$B$4:$B$503,_calc!$E$213))&amp;". ")&amp;IF(LEN(IF(LEN(INDEX('Our policies'!$C$4:$C$503,_calc!$E$213))=0,"",INDEX('Our policies'!$C$4:$C$503,_calc!$E$213)))=0,"","Insurer: "&amp;IF(LEN(INDEX('Our policies'!$C$4:$C$503,_calc!$E$213))=0,"",INDEX('Our policies'!$C$4:$C$503,_calc!$E$213))&amp;". ")&amp;IF(LEN(IF(LEN(INDEX('Our policies'!$D$4:$D$503,_calc!$E$213))=0,"",INDEX('Our policies'!$D$4:$D$503,_calc!$E$213)))=0,"","Broker: "&amp;IF(LEN(INDEX('Our policies'!$D$4:$D$503,_calc!$E$213))=0,"",INDEX('Our policies'!$D$4:$D$503,_calc!$E$213))&amp;". ")&amp;IF(LEN(IF(LEN(INDEX('Our policies'!$E$4:$E$503,_calc!$E$213))=0,"",INDEX('Our policies'!$E$4:$E$503,_calc!$E$213)))=0,"","Policy no.: "&amp;IF(LEN(INDEX('Our policies'!$E$4:$E$503,_calc!$E$213))=0,"",INDEX('Our policies'!$E$4:$E$503,_calc!$E$213))&amp;". ")&amp;IF(LEN(IF(LEN(INDEX('Our policies'!$S$4:$S$503,_calc!$E$213))=0,"",INDEX('Our policies'!$S$4:$S$503,_calc!$E$213)))=0,"",IF(LEN(INDEX('Our policies'!$S$4:$S$503,_calc!$E$213))=0,"",INDEX('Our policies'!$S$4:$S$503,_calc!$E$213)))),TRIM(IF(LEN(IF(LEN(INDEX('Vendor COIs'!$C$4:$C$503,(_calc!$E$213-500)))=0,"",INDEX('Vendor COIs'!$C$4:$C$503,(_calc!$E$213-500))))=0,"","Insurer: "&amp;IF(LEN(INDEX('Vendor COIs'!$C$4:$C$503,(_calc!$E$213-500)))=0,"",INDEX('Vendor COIs'!$C$4:$C$503,(_calc!$E$213-500)))&amp;". ")&amp;IF(LEN(IF(LEN(INDEX('Vendor COIs'!$D$4:$D$503,(_calc!$E$213-500)))=0,"",INDEX('Vendor COIs'!$D$4:$D$503,(_calc!$E$213-500))))=0,"","Policy no.: "&amp;IF(LEN(INDEX('Vendor COIs'!$D$4:$D$503,(_calc!$E$213-500)))=0,"",INDEX('Vendor COIs'!$D$4:$D$503,(_calc!$E$213-500)))&amp;". ")&amp;IF(LEN(IF(LEN(INDEX('Vendor COIs'!$F$4:$F$503,(_calc!$E$213-500)))=0,"",INDEX('Vendor COIs'!$F$4:$F$503,(_calc!$E$213-500))))=0,"","Meets minimum: "&amp;IF(LEN(INDEX('Vendor COIs'!$F$4:$F$503,(_calc!$E$213-500)))=0,"",INDEX('Vendor COIs'!$F$4:$F$503,(_calc!$E$213-500)))&amp;". ")&amp;IF(LEN(IF(LEN(INDEX('Vendor COIs'!$G$4:$G$503,(_calc!$E$213-500)))=0,"",INDEX('Vendor COIs'!$G$4:$G$503,(_calc!$E$213-500))))=0,"","Additional insured: "&amp;IF(LEN(INDEX('Vendor COIs'!$G$4:$G$503,(_calc!$E$213-500)))=0,"",INDEX('Vendor COIs'!$G$4:$G$503,(_calc!$E$213-500)))&amp;". ")&amp;IF(LEN(IF(LEN(INDEX('Vendor COIs'!$M$4:$M$503,(_calc!$E$213-500)))=0,"",INDEX('Vendor COIs'!$M$4:$M$503,(_calc!$E$213-500))))=0,"","Vendor contact: "&amp;IF(LEN(INDEX('Vendor COIs'!$M$4:$M$503,(_calc!$E$213-500)))=0,"",INDEX('Vendor COIs'!$M$4:$M$503,(_calc!$E$213-500)))&amp;". ")&amp;IF(LEN(IF(LEN(INDEX('Vendor COIs'!$P$4:$P$503,(_calc!$E$213-500)))=0,"",INDEX('Vendor COIs'!$P$4:$P$503,(_calc!$E$213-500))))=0,"",IF(LEN(INDEX('Vendor COIs'!$P$4:$P$503,(_calc!$E$213-500)))=0,"",INDEX('Vendor COIs'!$P$4:$P$503,(_calc!$E$213-500)))))))</f>
        <v/>
      </c>
      <c r="G211" s="46">
        <f>IF(_calc!$E$213="","",IF(_calc!$E$213&lt;=500,IF(LEN(INDEX('Our policies'!$R$4:$R$503,_calc!$E$213))=0,"",INDEX('Our policies'!$R$4:$R$503,_calc!$E$213)),IF(LEN(INDEX('Vendor COIs'!$O$4:$O$503,(_calc!$E$213-500)))=0,"",INDEX('Vendor COIs'!$O$4:$O$503,(_calc!$E$213-500)))))</f>
        <v/>
      </c>
      <c r="H211" s="46">
        <f>IF(_calc!$E$213="","",IF(_calc!$E$213&lt;=500,IF(LEN(INDEX('Our policies'!$G$4:$G$503,_calc!$E$213))=0,"",INDEX('Our policies'!$G$4:$G$503,_calc!$E$213)),""))</f>
        <v/>
      </c>
      <c r="I211" s="46">
        <f>IF(_calc!$E$213="","",IF(_calc!$E$213&lt;=500,IF(LEN(INDEX('Our policies'!$H$4:$H$503,_calc!$E$213))=0,"",INDEX('Our policies'!$H$4:$H$503,_calc!$E$213)),""))</f>
        <v/>
      </c>
      <c r="K211" s="46">
        <f>IF(_calc!$E$213="","",IF(_calc!$E$213&lt;=500,IF(LEN(INDEX('Our policies'!$P$4:$P$503,_calc!$E$213))=0,"",INDEX('Our policies'!$P$4:$P$503,_calc!$E$213)),IF(LEN(INDEX('Vendor COIs'!$N$4:$N$503,(_calc!$E$213-500)))=0,"",INDEX('Vendor COIs'!$N$4:$N$503,(_calc!$E$213-500)))))</f>
        <v/>
      </c>
    </row>
    <row r="212">
      <c r="A212" s="46">
        <f>IF(_calc!$E$214="","",IF(_calc!$E$214&lt;=500,IF(LEN(INDEX('Our policies'!$A$4:$A$503,_calc!$E$214))=0,"",INDEX('Our policies'!$A$4:$A$503,_calc!$E$214)),"COI – "&amp;IF(LEN(INDEX('Vendor COIs'!$A$4:$A$503,(_calc!$E$214-500)))=0,"",INDEX('Vendor COIs'!$A$4:$A$503,(_calc!$E$214-500)))&amp;" – "&amp;IF(LEN(INDEX('Vendor COIs'!$B$4:$B$503,(_calc!$E$214-500)))=0,"",INDEX('Vendor COIs'!$B$4:$B$503,(_calc!$E$214-500)))))</f>
        <v/>
      </c>
      <c r="B212" s="46">
        <f>IF(_calc!$E$214="","",IF(_calc!$E$214&lt;=500,IF(ISNUMBER(INDEX('Our policies'!$J$4:$J$503,_calc!$E$214)),TEXT(INDEX('Our policies'!$J$4:$J$503,_calc!$E$214),"yyyy-mm-dd"),""),IF(ISNUMBER(INDEX('Vendor COIs'!$H$4:$H$503,(_calc!$E$214-500))),TEXT(INDEX('Vendor COIs'!$H$4:$H$503,(_calc!$E$214-500)),"yyyy-mm-dd"),"")))</f>
        <v/>
      </c>
      <c r="C212" s="46">
        <f>IF(_calc!$E$214="","",IF(_calc!$E$214&lt;=500,"Insurance","Certificate of insurance"))</f>
        <v/>
      </c>
      <c r="D212" s="46">
        <f>IF(_calc!$E$214="","",IF(_calc!$E$214&lt;=500,IF(ISNUMBER(INDEX('Our policies'!$I$4:$I$503,_calc!$E$214)),TEXT(INDEX('Our policies'!$I$4:$I$503,_calc!$E$214),"yyyy-mm-dd"),""),""))</f>
        <v/>
      </c>
      <c r="E212" s="46">
        <f>IF(_calc!$E$214="","",IF(_calc!$E$214&lt;=500,IF(LEN(INDEX('Our policies'!$Q$4:$Q$503,_calc!$E$214))=0,"",INDEX('Our policies'!$Q$4:$Q$503,_calc!$E$214)),"Medium"))</f>
        <v/>
      </c>
      <c r="F212" s="46">
        <f>IF(_calc!$E$214="","",IF(_calc!$E$214&lt;=500,TRIM(IF(LEN(IF(LEN(INDEX('Our policies'!$B$4:$B$503,_calc!$E$214))=0,"",INDEX('Our policies'!$B$4:$B$503,_calc!$E$214)))=0,"","Cover: "&amp;IF(LEN(INDEX('Our policies'!$B$4:$B$503,_calc!$E$214))=0,"",INDEX('Our policies'!$B$4:$B$503,_calc!$E$214))&amp;". ")&amp;IF(LEN(IF(LEN(INDEX('Our policies'!$C$4:$C$503,_calc!$E$214))=0,"",INDEX('Our policies'!$C$4:$C$503,_calc!$E$214)))=0,"","Insurer: "&amp;IF(LEN(INDEX('Our policies'!$C$4:$C$503,_calc!$E$214))=0,"",INDEX('Our policies'!$C$4:$C$503,_calc!$E$214))&amp;". ")&amp;IF(LEN(IF(LEN(INDEX('Our policies'!$D$4:$D$503,_calc!$E$214))=0,"",INDEX('Our policies'!$D$4:$D$503,_calc!$E$214)))=0,"","Broker: "&amp;IF(LEN(INDEX('Our policies'!$D$4:$D$503,_calc!$E$214))=0,"",INDEX('Our policies'!$D$4:$D$503,_calc!$E$214))&amp;". ")&amp;IF(LEN(IF(LEN(INDEX('Our policies'!$E$4:$E$503,_calc!$E$214))=0,"",INDEX('Our policies'!$E$4:$E$503,_calc!$E$214)))=0,"","Policy no.: "&amp;IF(LEN(INDEX('Our policies'!$E$4:$E$503,_calc!$E$214))=0,"",INDEX('Our policies'!$E$4:$E$503,_calc!$E$214))&amp;". ")&amp;IF(LEN(IF(LEN(INDEX('Our policies'!$S$4:$S$503,_calc!$E$214))=0,"",INDEX('Our policies'!$S$4:$S$503,_calc!$E$214)))=0,"",IF(LEN(INDEX('Our policies'!$S$4:$S$503,_calc!$E$214))=0,"",INDEX('Our policies'!$S$4:$S$503,_calc!$E$214)))),TRIM(IF(LEN(IF(LEN(INDEX('Vendor COIs'!$C$4:$C$503,(_calc!$E$214-500)))=0,"",INDEX('Vendor COIs'!$C$4:$C$503,(_calc!$E$214-500))))=0,"","Insurer: "&amp;IF(LEN(INDEX('Vendor COIs'!$C$4:$C$503,(_calc!$E$214-500)))=0,"",INDEX('Vendor COIs'!$C$4:$C$503,(_calc!$E$214-500)))&amp;". ")&amp;IF(LEN(IF(LEN(INDEX('Vendor COIs'!$D$4:$D$503,(_calc!$E$214-500)))=0,"",INDEX('Vendor COIs'!$D$4:$D$503,(_calc!$E$214-500))))=0,"","Policy no.: "&amp;IF(LEN(INDEX('Vendor COIs'!$D$4:$D$503,(_calc!$E$214-500)))=0,"",INDEX('Vendor COIs'!$D$4:$D$503,(_calc!$E$214-500)))&amp;". ")&amp;IF(LEN(IF(LEN(INDEX('Vendor COIs'!$F$4:$F$503,(_calc!$E$214-500)))=0,"",INDEX('Vendor COIs'!$F$4:$F$503,(_calc!$E$214-500))))=0,"","Meets minimum: "&amp;IF(LEN(INDEX('Vendor COIs'!$F$4:$F$503,(_calc!$E$214-500)))=0,"",INDEX('Vendor COIs'!$F$4:$F$503,(_calc!$E$214-500)))&amp;". ")&amp;IF(LEN(IF(LEN(INDEX('Vendor COIs'!$G$4:$G$503,(_calc!$E$214-500)))=0,"",INDEX('Vendor COIs'!$G$4:$G$503,(_calc!$E$214-500))))=0,"","Additional insured: "&amp;IF(LEN(INDEX('Vendor COIs'!$G$4:$G$503,(_calc!$E$214-500)))=0,"",INDEX('Vendor COIs'!$G$4:$G$503,(_calc!$E$214-500)))&amp;". ")&amp;IF(LEN(IF(LEN(INDEX('Vendor COIs'!$M$4:$M$503,(_calc!$E$214-500)))=0,"",INDEX('Vendor COIs'!$M$4:$M$503,(_calc!$E$214-500))))=0,"","Vendor contact: "&amp;IF(LEN(INDEX('Vendor COIs'!$M$4:$M$503,(_calc!$E$214-500)))=0,"",INDEX('Vendor COIs'!$M$4:$M$503,(_calc!$E$214-500)))&amp;". ")&amp;IF(LEN(IF(LEN(INDEX('Vendor COIs'!$P$4:$P$503,(_calc!$E$214-500)))=0,"",INDEX('Vendor COIs'!$P$4:$P$503,(_calc!$E$214-500))))=0,"",IF(LEN(INDEX('Vendor COIs'!$P$4:$P$503,(_calc!$E$214-500)))=0,"",INDEX('Vendor COIs'!$P$4:$P$503,(_calc!$E$214-500)))))))</f>
        <v/>
      </c>
      <c r="G212" s="46">
        <f>IF(_calc!$E$214="","",IF(_calc!$E$214&lt;=500,IF(LEN(INDEX('Our policies'!$R$4:$R$503,_calc!$E$214))=0,"",INDEX('Our policies'!$R$4:$R$503,_calc!$E$214)),IF(LEN(INDEX('Vendor COIs'!$O$4:$O$503,(_calc!$E$214-500)))=0,"",INDEX('Vendor COIs'!$O$4:$O$503,(_calc!$E$214-500)))))</f>
        <v/>
      </c>
      <c r="H212" s="46">
        <f>IF(_calc!$E$214="","",IF(_calc!$E$214&lt;=500,IF(LEN(INDEX('Our policies'!$G$4:$G$503,_calc!$E$214))=0,"",INDEX('Our policies'!$G$4:$G$503,_calc!$E$214)),""))</f>
        <v/>
      </c>
      <c r="I212" s="46">
        <f>IF(_calc!$E$214="","",IF(_calc!$E$214&lt;=500,IF(LEN(INDEX('Our policies'!$H$4:$H$503,_calc!$E$214))=0,"",INDEX('Our policies'!$H$4:$H$503,_calc!$E$214)),""))</f>
        <v/>
      </c>
      <c r="K212" s="46">
        <f>IF(_calc!$E$214="","",IF(_calc!$E$214&lt;=500,IF(LEN(INDEX('Our policies'!$P$4:$P$503,_calc!$E$214))=0,"",INDEX('Our policies'!$P$4:$P$503,_calc!$E$214)),IF(LEN(INDEX('Vendor COIs'!$N$4:$N$503,(_calc!$E$214-500)))=0,"",INDEX('Vendor COIs'!$N$4:$N$503,(_calc!$E$214-500)))))</f>
        <v/>
      </c>
    </row>
    <row r="213">
      <c r="A213" s="46">
        <f>IF(_calc!$E$215="","",IF(_calc!$E$215&lt;=500,IF(LEN(INDEX('Our policies'!$A$4:$A$503,_calc!$E$215))=0,"",INDEX('Our policies'!$A$4:$A$503,_calc!$E$215)),"COI – "&amp;IF(LEN(INDEX('Vendor COIs'!$A$4:$A$503,(_calc!$E$215-500)))=0,"",INDEX('Vendor COIs'!$A$4:$A$503,(_calc!$E$215-500)))&amp;" – "&amp;IF(LEN(INDEX('Vendor COIs'!$B$4:$B$503,(_calc!$E$215-500)))=0,"",INDEX('Vendor COIs'!$B$4:$B$503,(_calc!$E$215-500)))))</f>
        <v/>
      </c>
      <c r="B213" s="46">
        <f>IF(_calc!$E$215="","",IF(_calc!$E$215&lt;=500,IF(ISNUMBER(INDEX('Our policies'!$J$4:$J$503,_calc!$E$215)),TEXT(INDEX('Our policies'!$J$4:$J$503,_calc!$E$215),"yyyy-mm-dd"),""),IF(ISNUMBER(INDEX('Vendor COIs'!$H$4:$H$503,(_calc!$E$215-500))),TEXT(INDEX('Vendor COIs'!$H$4:$H$503,(_calc!$E$215-500)),"yyyy-mm-dd"),"")))</f>
        <v/>
      </c>
      <c r="C213" s="46">
        <f>IF(_calc!$E$215="","",IF(_calc!$E$215&lt;=500,"Insurance","Certificate of insurance"))</f>
        <v/>
      </c>
      <c r="D213" s="46">
        <f>IF(_calc!$E$215="","",IF(_calc!$E$215&lt;=500,IF(ISNUMBER(INDEX('Our policies'!$I$4:$I$503,_calc!$E$215)),TEXT(INDEX('Our policies'!$I$4:$I$503,_calc!$E$215),"yyyy-mm-dd"),""),""))</f>
        <v/>
      </c>
      <c r="E213" s="46">
        <f>IF(_calc!$E$215="","",IF(_calc!$E$215&lt;=500,IF(LEN(INDEX('Our policies'!$Q$4:$Q$503,_calc!$E$215))=0,"",INDEX('Our policies'!$Q$4:$Q$503,_calc!$E$215)),"Medium"))</f>
        <v/>
      </c>
      <c r="F213" s="46">
        <f>IF(_calc!$E$215="","",IF(_calc!$E$215&lt;=500,TRIM(IF(LEN(IF(LEN(INDEX('Our policies'!$B$4:$B$503,_calc!$E$215))=0,"",INDEX('Our policies'!$B$4:$B$503,_calc!$E$215)))=0,"","Cover: "&amp;IF(LEN(INDEX('Our policies'!$B$4:$B$503,_calc!$E$215))=0,"",INDEX('Our policies'!$B$4:$B$503,_calc!$E$215))&amp;". ")&amp;IF(LEN(IF(LEN(INDEX('Our policies'!$C$4:$C$503,_calc!$E$215))=0,"",INDEX('Our policies'!$C$4:$C$503,_calc!$E$215)))=0,"","Insurer: "&amp;IF(LEN(INDEX('Our policies'!$C$4:$C$503,_calc!$E$215))=0,"",INDEX('Our policies'!$C$4:$C$503,_calc!$E$215))&amp;". ")&amp;IF(LEN(IF(LEN(INDEX('Our policies'!$D$4:$D$503,_calc!$E$215))=0,"",INDEX('Our policies'!$D$4:$D$503,_calc!$E$215)))=0,"","Broker: "&amp;IF(LEN(INDEX('Our policies'!$D$4:$D$503,_calc!$E$215))=0,"",INDEX('Our policies'!$D$4:$D$503,_calc!$E$215))&amp;". ")&amp;IF(LEN(IF(LEN(INDEX('Our policies'!$E$4:$E$503,_calc!$E$215))=0,"",INDEX('Our policies'!$E$4:$E$503,_calc!$E$215)))=0,"","Policy no.: "&amp;IF(LEN(INDEX('Our policies'!$E$4:$E$503,_calc!$E$215))=0,"",INDEX('Our policies'!$E$4:$E$503,_calc!$E$215))&amp;". ")&amp;IF(LEN(IF(LEN(INDEX('Our policies'!$S$4:$S$503,_calc!$E$215))=0,"",INDEX('Our policies'!$S$4:$S$503,_calc!$E$215)))=0,"",IF(LEN(INDEX('Our policies'!$S$4:$S$503,_calc!$E$215))=0,"",INDEX('Our policies'!$S$4:$S$503,_calc!$E$215)))),TRIM(IF(LEN(IF(LEN(INDEX('Vendor COIs'!$C$4:$C$503,(_calc!$E$215-500)))=0,"",INDEX('Vendor COIs'!$C$4:$C$503,(_calc!$E$215-500))))=0,"","Insurer: "&amp;IF(LEN(INDEX('Vendor COIs'!$C$4:$C$503,(_calc!$E$215-500)))=0,"",INDEX('Vendor COIs'!$C$4:$C$503,(_calc!$E$215-500)))&amp;". ")&amp;IF(LEN(IF(LEN(INDEX('Vendor COIs'!$D$4:$D$503,(_calc!$E$215-500)))=0,"",INDEX('Vendor COIs'!$D$4:$D$503,(_calc!$E$215-500))))=0,"","Policy no.: "&amp;IF(LEN(INDEX('Vendor COIs'!$D$4:$D$503,(_calc!$E$215-500)))=0,"",INDEX('Vendor COIs'!$D$4:$D$503,(_calc!$E$215-500)))&amp;". ")&amp;IF(LEN(IF(LEN(INDEX('Vendor COIs'!$F$4:$F$503,(_calc!$E$215-500)))=0,"",INDEX('Vendor COIs'!$F$4:$F$503,(_calc!$E$215-500))))=0,"","Meets minimum: "&amp;IF(LEN(INDEX('Vendor COIs'!$F$4:$F$503,(_calc!$E$215-500)))=0,"",INDEX('Vendor COIs'!$F$4:$F$503,(_calc!$E$215-500)))&amp;". ")&amp;IF(LEN(IF(LEN(INDEX('Vendor COIs'!$G$4:$G$503,(_calc!$E$215-500)))=0,"",INDEX('Vendor COIs'!$G$4:$G$503,(_calc!$E$215-500))))=0,"","Additional insured: "&amp;IF(LEN(INDEX('Vendor COIs'!$G$4:$G$503,(_calc!$E$215-500)))=0,"",INDEX('Vendor COIs'!$G$4:$G$503,(_calc!$E$215-500)))&amp;". ")&amp;IF(LEN(IF(LEN(INDEX('Vendor COIs'!$M$4:$M$503,(_calc!$E$215-500)))=0,"",INDEX('Vendor COIs'!$M$4:$M$503,(_calc!$E$215-500))))=0,"","Vendor contact: "&amp;IF(LEN(INDEX('Vendor COIs'!$M$4:$M$503,(_calc!$E$215-500)))=0,"",INDEX('Vendor COIs'!$M$4:$M$503,(_calc!$E$215-500)))&amp;". ")&amp;IF(LEN(IF(LEN(INDEX('Vendor COIs'!$P$4:$P$503,(_calc!$E$215-500)))=0,"",INDEX('Vendor COIs'!$P$4:$P$503,(_calc!$E$215-500))))=0,"",IF(LEN(INDEX('Vendor COIs'!$P$4:$P$503,(_calc!$E$215-500)))=0,"",INDEX('Vendor COIs'!$P$4:$P$503,(_calc!$E$215-500)))))))</f>
        <v/>
      </c>
      <c r="G213" s="46">
        <f>IF(_calc!$E$215="","",IF(_calc!$E$215&lt;=500,IF(LEN(INDEX('Our policies'!$R$4:$R$503,_calc!$E$215))=0,"",INDEX('Our policies'!$R$4:$R$503,_calc!$E$215)),IF(LEN(INDEX('Vendor COIs'!$O$4:$O$503,(_calc!$E$215-500)))=0,"",INDEX('Vendor COIs'!$O$4:$O$503,(_calc!$E$215-500)))))</f>
        <v/>
      </c>
      <c r="H213" s="46">
        <f>IF(_calc!$E$215="","",IF(_calc!$E$215&lt;=500,IF(LEN(INDEX('Our policies'!$G$4:$G$503,_calc!$E$215))=0,"",INDEX('Our policies'!$G$4:$G$503,_calc!$E$215)),""))</f>
        <v/>
      </c>
      <c r="I213" s="46">
        <f>IF(_calc!$E$215="","",IF(_calc!$E$215&lt;=500,IF(LEN(INDEX('Our policies'!$H$4:$H$503,_calc!$E$215))=0,"",INDEX('Our policies'!$H$4:$H$503,_calc!$E$215)),""))</f>
        <v/>
      </c>
      <c r="K213" s="46">
        <f>IF(_calc!$E$215="","",IF(_calc!$E$215&lt;=500,IF(LEN(INDEX('Our policies'!$P$4:$P$503,_calc!$E$215))=0,"",INDEX('Our policies'!$P$4:$P$503,_calc!$E$215)),IF(LEN(INDEX('Vendor COIs'!$N$4:$N$503,(_calc!$E$215-500)))=0,"",INDEX('Vendor COIs'!$N$4:$N$503,(_calc!$E$215-500)))))</f>
        <v/>
      </c>
    </row>
    <row r="214">
      <c r="A214" s="46">
        <f>IF(_calc!$E$216="","",IF(_calc!$E$216&lt;=500,IF(LEN(INDEX('Our policies'!$A$4:$A$503,_calc!$E$216))=0,"",INDEX('Our policies'!$A$4:$A$503,_calc!$E$216)),"COI – "&amp;IF(LEN(INDEX('Vendor COIs'!$A$4:$A$503,(_calc!$E$216-500)))=0,"",INDEX('Vendor COIs'!$A$4:$A$503,(_calc!$E$216-500)))&amp;" – "&amp;IF(LEN(INDEX('Vendor COIs'!$B$4:$B$503,(_calc!$E$216-500)))=0,"",INDEX('Vendor COIs'!$B$4:$B$503,(_calc!$E$216-500)))))</f>
        <v/>
      </c>
      <c r="B214" s="46">
        <f>IF(_calc!$E$216="","",IF(_calc!$E$216&lt;=500,IF(ISNUMBER(INDEX('Our policies'!$J$4:$J$503,_calc!$E$216)),TEXT(INDEX('Our policies'!$J$4:$J$503,_calc!$E$216),"yyyy-mm-dd"),""),IF(ISNUMBER(INDEX('Vendor COIs'!$H$4:$H$503,(_calc!$E$216-500))),TEXT(INDEX('Vendor COIs'!$H$4:$H$503,(_calc!$E$216-500)),"yyyy-mm-dd"),"")))</f>
        <v/>
      </c>
      <c r="C214" s="46">
        <f>IF(_calc!$E$216="","",IF(_calc!$E$216&lt;=500,"Insurance","Certificate of insurance"))</f>
        <v/>
      </c>
      <c r="D214" s="46">
        <f>IF(_calc!$E$216="","",IF(_calc!$E$216&lt;=500,IF(ISNUMBER(INDEX('Our policies'!$I$4:$I$503,_calc!$E$216)),TEXT(INDEX('Our policies'!$I$4:$I$503,_calc!$E$216),"yyyy-mm-dd"),""),""))</f>
        <v/>
      </c>
      <c r="E214" s="46">
        <f>IF(_calc!$E$216="","",IF(_calc!$E$216&lt;=500,IF(LEN(INDEX('Our policies'!$Q$4:$Q$503,_calc!$E$216))=0,"",INDEX('Our policies'!$Q$4:$Q$503,_calc!$E$216)),"Medium"))</f>
        <v/>
      </c>
      <c r="F214" s="46">
        <f>IF(_calc!$E$216="","",IF(_calc!$E$216&lt;=500,TRIM(IF(LEN(IF(LEN(INDEX('Our policies'!$B$4:$B$503,_calc!$E$216))=0,"",INDEX('Our policies'!$B$4:$B$503,_calc!$E$216)))=0,"","Cover: "&amp;IF(LEN(INDEX('Our policies'!$B$4:$B$503,_calc!$E$216))=0,"",INDEX('Our policies'!$B$4:$B$503,_calc!$E$216))&amp;". ")&amp;IF(LEN(IF(LEN(INDEX('Our policies'!$C$4:$C$503,_calc!$E$216))=0,"",INDEX('Our policies'!$C$4:$C$503,_calc!$E$216)))=0,"","Insurer: "&amp;IF(LEN(INDEX('Our policies'!$C$4:$C$503,_calc!$E$216))=0,"",INDEX('Our policies'!$C$4:$C$503,_calc!$E$216))&amp;". ")&amp;IF(LEN(IF(LEN(INDEX('Our policies'!$D$4:$D$503,_calc!$E$216))=0,"",INDEX('Our policies'!$D$4:$D$503,_calc!$E$216)))=0,"","Broker: "&amp;IF(LEN(INDEX('Our policies'!$D$4:$D$503,_calc!$E$216))=0,"",INDEX('Our policies'!$D$4:$D$503,_calc!$E$216))&amp;". ")&amp;IF(LEN(IF(LEN(INDEX('Our policies'!$E$4:$E$503,_calc!$E$216))=0,"",INDEX('Our policies'!$E$4:$E$503,_calc!$E$216)))=0,"","Policy no.: "&amp;IF(LEN(INDEX('Our policies'!$E$4:$E$503,_calc!$E$216))=0,"",INDEX('Our policies'!$E$4:$E$503,_calc!$E$216))&amp;". ")&amp;IF(LEN(IF(LEN(INDEX('Our policies'!$S$4:$S$503,_calc!$E$216))=0,"",INDEX('Our policies'!$S$4:$S$503,_calc!$E$216)))=0,"",IF(LEN(INDEX('Our policies'!$S$4:$S$503,_calc!$E$216))=0,"",INDEX('Our policies'!$S$4:$S$503,_calc!$E$216)))),TRIM(IF(LEN(IF(LEN(INDEX('Vendor COIs'!$C$4:$C$503,(_calc!$E$216-500)))=0,"",INDEX('Vendor COIs'!$C$4:$C$503,(_calc!$E$216-500))))=0,"","Insurer: "&amp;IF(LEN(INDEX('Vendor COIs'!$C$4:$C$503,(_calc!$E$216-500)))=0,"",INDEX('Vendor COIs'!$C$4:$C$503,(_calc!$E$216-500)))&amp;". ")&amp;IF(LEN(IF(LEN(INDEX('Vendor COIs'!$D$4:$D$503,(_calc!$E$216-500)))=0,"",INDEX('Vendor COIs'!$D$4:$D$503,(_calc!$E$216-500))))=0,"","Policy no.: "&amp;IF(LEN(INDEX('Vendor COIs'!$D$4:$D$503,(_calc!$E$216-500)))=0,"",INDEX('Vendor COIs'!$D$4:$D$503,(_calc!$E$216-500)))&amp;". ")&amp;IF(LEN(IF(LEN(INDEX('Vendor COIs'!$F$4:$F$503,(_calc!$E$216-500)))=0,"",INDEX('Vendor COIs'!$F$4:$F$503,(_calc!$E$216-500))))=0,"","Meets minimum: "&amp;IF(LEN(INDEX('Vendor COIs'!$F$4:$F$503,(_calc!$E$216-500)))=0,"",INDEX('Vendor COIs'!$F$4:$F$503,(_calc!$E$216-500)))&amp;". ")&amp;IF(LEN(IF(LEN(INDEX('Vendor COIs'!$G$4:$G$503,(_calc!$E$216-500)))=0,"",INDEX('Vendor COIs'!$G$4:$G$503,(_calc!$E$216-500))))=0,"","Additional insured: "&amp;IF(LEN(INDEX('Vendor COIs'!$G$4:$G$503,(_calc!$E$216-500)))=0,"",INDEX('Vendor COIs'!$G$4:$G$503,(_calc!$E$216-500)))&amp;". ")&amp;IF(LEN(IF(LEN(INDEX('Vendor COIs'!$M$4:$M$503,(_calc!$E$216-500)))=0,"",INDEX('Vendor COIs'!$M$4:$M$503,(_calc!$E$216-500))))=0,"","Vendor contact: "&amp;IF(LEN(INDEX('Vendor COIs'!$M$4:$M$503,(_calc!$E$216-500)))=0,"",INDEX('Vendor COIs'!$M$4:$M$503,(_calc!$E$216-500)))&amp;". ")&amp;IF(LEN(IF(LEN(INDEX('Vendor COIs'!$P$4:$P$503,(_calc!$E$216-500)))=0,"",INDEX('Vendor COIs'!$P$4:$P$503,(_calc!$E$216-500))))=0,"",IF(LEN(INDEX('Vendor COIs'!$P$4:$P$503,(_calc!$E$216-500)))=0,"",INDEX('Vendor COIs'!$P$4:$P$503,(_calc!$E$216-500)))))))</f>
        <v/>
      </c>
      <c r="G214" s="46">
        <f>IF(_calc!$E$216="","",IF(_calc!$E$216&lt;=500,IF(LEN(INDEX('Our policies'!$R$4:$R$503,_calc!$E$216))=0,"",INDEX('Our policies'!$R$4:$R$503,_calc!$E$216)),IF(LEN(INDEX('Vendor COIs'!$O$4:$O$503,(_calc!$E$216-500)))=0,"",INDEX('Vendor COIs'!$O$4:$O$503,(_calc!$E$216-500)))))</f>
        <v/>
      </c>
      <c r="H214" s="46">
        <f>IF(_calc!$E$216="","",IF(_calc!$E$216&lt;=500,IF(LEN(INDEX('Our policies'!$G$4:$G$503,_calc!$E$216))=0,"",INDEX('Our policies'!$G$4:$G$503,_calc!$E$216)),""))</f>
        <v/>
      </c>
      <c r="I214" s="46">
        <f>IF(_calc!$E$216="","",IF(_calc!$E$216&lt;=500,IF(LEN(INDEX('Our policies'!$H$4:$H$503,_calc!$E$216))=0,"",INDEX('Our policies'!$H$4:$H$503,_calc!$E$216)),""))</f>
        <v/>
      </c>
      <c r="K214" s="46">
        <f>IF(_calc!$E$216="","",IF(_calc!$E$216&lt;=500,IF(LEN(INDEX('Our policies'!$P$4:$P$503,_calc!$E$216))=0,"",INDEX('Our policies'!$P$4:$P$503,_calc!$E$216)),IF(LEN(INDEX('Vendor COIs'!$N$4:$N$503,(_calc!$E$216-500)))=0,"",INDEX('Vendor COIs'!$N$4:$N$503,(_calc!$E$216-500)))))</f>
        <v/>
      </c>
    </row>
    <row r="215">
      <c r="A215" s="46">
        <f>IF(_calc!$E$217="","",IF(_calc!$E$217&lt;=500,IF(LEN(INDEX('Our policies'!$A$4:$A$503,_calc!$E$217))=0,"",INDEX('Our policies'!$A$4:$A$503,_calc!$E$217)),"COI – "&amp;IF(LEN(INDEX('Vendor COIs'!$A$4:$A$503,(_calc!$E$217-500)))=0,"",INDEX('Vendor COIs'!$A$4:$A$503,(_calc!$E$217-500)))&amp;" – "&amp;IF(LEN(INDEX('Vendor COIs'!$B$4:$B$503,(_calc!$E$217-500)))=0,"",INDEX('Vendor COIs'!$B$4:$B$503,(_calc!$E$217-500)))))</f>
        <v/>
      </c>
      <c r="B215" s="46">
        <f>IF(_calc!$E$217="","",IF(_calc!$E$217&lt;=500,IF(ISNUMBER(INDEX('Our policies'!$J$4:$J$503,_calc!$E$217)),TEXT(INDEX('Our policies'!$J$4:$J$503,_calc!$E$217),"yyyy-mm-dd"),""),IF(ISNUMBER(INDEX('Vendor COIs'!$H$4:$H$503,(_calc!$E$217-500))),TEXT(INDEX('Vendor COIs'!$H$4:$H$503,(_calc!$E$217-500)),"yyyy-mm-dd"),"")))</f>
        <v/>
      </c>
      <c r="C215" s="46">
        <f>IF(_calc!$E$217="","",IF(_calc!$E$217&lt;=500,"Insurance","Certificate of insurance"))</f>
        <v/>
      </c>
      <c r="D215" s="46">
        <f>IF(_calc!$E$217="","",IF(_calc!$E$217&lt;=500,IF(ISNUMBER(INDEX('Our policies'!$I$4:$I$503,_calc!$E$217)),TEXT(INDEX('Our policies'!$I$4:$I$503,_calc!$E$217),"yyyy-mm-dd"),""),""))</f>
        <v/>
      </c>
      <c r="E215" s="46">
        <f>IF(_calc!$E$217="","",IF(_calc!$E$217&lt;=500,IF(LEN(INDEX('Our policies'!$Q$4:$Q$503,_calc!$E$217))=0,"",INDEX('Our policies'!$Q$4:$Q$503,_calc!$E$217)),"Medium"))</f>
        <v/>
      </c>
      <c r="F215" s="46">
        <f>IF(_calc!$E$217="","",IF(_calc!$E$217&lt;=500,TRIM(IF(LEN(IF(LEN(INDEX('Our policies'!$B$4:$B$503,_calc!$E$217))=0,"",INDEX('Our policies'!$B$4:$B$503,_calc!$E$217)))=0,"","Cover: "&amp;IF(LEN(INDEX('Our policies'!$B$4:$B$503,_calc!$E$217))=0,"",INDEX('Our policies'!$B$4:$B$503,_calc!$E$217))&amp;". ")&amp;IF(LEN(IF(LEN(INDEX('Our policies'!$C$4:$C$503,_calc!$E$217))=0,"",INDEX('Our policies'!$C$4:$C$503,_calc!$E$217)))=0,"","Insurer: "&amp;IF(LEN(INDEX('Our policies'!$C$4:$C$503,_calc!$E$217))=0,"",INDEX('Our policies'!$C$4:$C$503,_calc!$E$217))&amp;". ")&amp;IF(LEN(IF(LEN(INDEX('Our policies'!$D$4:$D$503,_calc!$E$217))=0,"",INDEX('Our policies'!$D$4:$D$503,_calc!$E$217)))=0,"","Broker: "&amp;IF(LEN(INDEX('Our policies'!$D$4:$D$503,_calc!$E$217))=0,"",INDEX('Our policies'!$D$4:$D$503,_calc!$E$217))&amp;". ")&amp;IF(LEN(IF(LEN(INDEX('Our policies'!$E$4:$E$503,_calc!$E$217))=0,"",INDEX('Our policies'!$E$4:$E$503,_calc!$E$217)))=0,"","Policy no.: "&amp;IF(LEN(INDEX('Our policies'!$E$4:$E$503,_calc!$E$217))=0,"",INDEX('Our policies'!$E$4:$E$503,_calc!$E$217))&amp;". ")&amp;IF(LEN(IF(LEN(INDEX('Our policies'!$S$4:$S$503,_calc!$E$217))=0,"",INDEX('Our policies'!$S$4:$S$503,_calc!$E$217)))=0,"",IF(LEN(INDEX('Our policies'!$S$4:$S$503,_calc!$E$217))=0,"",INDEX('Our policies'!$S$4:$S$503,_calc!$E$217)))),TRIM(IF(LEN(IF(LEN(INDEX('Vendor COIs'!$C$4:$C$503,(_calc!$E$217-500)))=0,"",INDEX('Vendor COIs'!$C$4:$C$503,(_calc!$E$217-500))))=0,"","Insurer: "&amp;IF(LEN(INDEX('Vendor COIs'!$C$4:$C$503,(_calc!$E$217-500)))=0,"",INDEX('Vendor COIs'!$C$4:$C$503,(_calc!$E$217-500)))&amp;". ")&amp;IF(LEN(IF(LEN(INDEX('Vendor COIs'!$D$4:$D$503,(_calc!$E$217-500)))=0,"",INDEX('Vendor COIs'!$D$4:$D$503,(_calc!$E$217-500))))=0,"","Policy no.: "&amp;IF(LEN(INDEX('Vendor COIs'!$D$4:$D$503,(_calc!$E$217-500)))=0,"",INDEX('Vendor COIs'!$D$4:$D$503,(_calc!$E$217-500)))&amp;". ")&amp;IF(LEN(IF(LEN(INDEX('Vendor COIs'!$F$4:$F$503,(_calc!$E$217-500)))=0,"",INDEX('Vendor COIs'!$F$4:$F$503,(_calc!$E$217-500))))=0,"","Meets minimum: "&amp;IF(LEN(INDEX('Vendor COIs'!$F$4:$F$503,(_calc!$E$217-500)))=0,"",INDEX('Vendor COIs'!$F$4:$F$503,(_calc!$E$217-500)))&amp;". ")&amp;IF(LEN(IF(LEN(INDEX('Vendor COIs'!$G$4:$G$503,(_calc!$E$217-500)))=0,"",INDEX('Vendor COIs'!$G$4:$G$503,(_calc!$E$217-500))))=0,"","Additional insured: "&amp;IF(LEN(INDEX('Vendor COIs'!$G$4:$G$503,(_calc!$E$217-500)))=0,"",INDEX('Vendor COIs'!$G$4:$G$503,(_calc!$E$217-500)))&amp;". ")&amp;IF(LEN(IF(LEN(INDEX('Vendor COIs'!$M$4:$M$503,(_calc!$E$217-500)))=0,"",INDEX('Vendor COIs'!$M$4:$M$503,(_calc!$E$217-500))))=0,"","Vendor contact: "&amp;IF(LEN(INDEX('Vendor COIs'!$M$4:$M$503,(_calc!$E$217-500)))=0,"",INDEX('Vendor COIs'!$M$4:$M$503,(_calc!$E$217-500)))&amp;". ")&amp;IF(LEN(IF(LEN(INDEX('Vendor COIs'!$P$4:$P$503,(_calc!$E$217-500)))=0,"",INDEX('Vendor COIs'!$P$4:$P$503,(_calc!$E$217-500))))=0,"",IF(LEN(INDEX('Vendor COIs'!$P$4:$P$503,(_calc!$E$217-500)))=0,"",INDEX('Vendor COIs'!$P$4:$P$503,(_calc!$E$217-500)))))))</f>
        <v/>
      </c>
      <c r="G215" s="46">
        <f>IF(_calc!$E$217="","",IF(_calc!$E$217&lt;=500,IF(LEN(INDEX('Our policies'!$R$4:$R$503,_calc!$E$217))=0,"",INDEX('Our policies'!$R$4:$R$503,_calc!$E$217)),IF(LEN(INDEX('Vendor COIs'!$O$4:$O$503,(_calc!$E$217-500)))=0,"",INDEX('Vendor COIs'!$O$4:$O$503,(_calc!$E$217-500)))))</f>
        <v/>
      </c>
      <c r="H215" s="46">
        <f>IF(_calc!$E$217="","",IF(_calc!$E$217&lt;=500,IF(LEN(INDEX('Our policies'!$G$4:$G$503,_calc!$E$217))=0,"",INDEX('Our policies'!$G$4:$G$503,_calc!$E$217)),""))</f>
        <v/>
      </c>
      <c r="I215" s="46">
        <f>IF(_calc!$E$217="","",IF(_calc!$E$217&lt;=500,IF(LEN(INDEX('Our policies'!$H$4:$H$503,_calc!$E$217))=0,"",INDEX('Our policies'!$H$4:$H$503,_calc!$E$217)),""))</f>
        <v/>
      </c>
      <c r="K215" s="46">
        <f>IF(_calc!$E$217="","",IF(_calc!$E$217&lt;=500,IF(LEN(INDEX('Our policies'!$P$4:$P$503,_calc!$E$217))=0,"",INDEX('Our policies'!$P$4:$P$503,_calc!$E$217)),IF(LEN(INDEX('Vendor COIs'!$N$4:$N$503,(_calc!$E$217-500)))=0,"",INDEX('Vendor COIs'!$N$4:$N$503,(_calc!$E$217-500)))))</f>
        <v/>
      </c>
    </row>
    <row r="216">
      <c r="A216" s="46">
        <f>IF(_calc!$E$218="","",IF(_calc!$E$218&lt;=500,IF(LEN(INDEX('Our policies'!$A$4:$A$503,_calc!$E$218))=0,"",INDEX('Our policies'!$A$4:$A$503,_calc!$E$218)),"COI – "&amp;IF(LEN(INDEX('Vendor COIs'!$A$4:$A$503,(_calc!$E$218-500)))=0,"",INDEX('Vendor COIs'!$A$4:$A$503,(_calc!$E$218-500)))&amp;" – "&amp;IF(LEN(INDEX('Vendor COIs'!$B$4:$B$503,(_calc!$E$218-500)))=0,"",INDEX('Vendor COIs'!$B$4:$B$503,(_calc!$E$218-500)))))</f>
        <v/>
      </c>
      <c r="B216" s="46">
        <f>IF(_calc!$E$218="","",IF(_calc!$E$218&lt;=500,IF(ISNUMBER(INDEX('Our policies'!$J$4:$J$503,_calc!$E$218)),TEXT(INDEX('Our policies'!$J$4:$J$503,_calc!$E$218),"yyyy-mm-dd"),""),IF(ISNUMBER(INDEX('Vendor COIs'!$H$4:$H$503,(_calc!$E$218-500))),TEXT(INDEX('Vendor COIs'!$H$4:$H$503,(_calc!$E$218-500)),"yyyy-mm-dd"),"")))</f>
        <v/>
      </c>
      <c r="C216" s="46">
        <f>IF(_calc!$E$218="","",IF(_calc!$E$218&lt;=500,"Insurance","Certificate of insurance"))</f>
        <v/>
      </c>
      <c r="D216" s="46">
        <f>IF(_calc!$E$218="","",IF(_calc!$E$218&lt;=500,IF(ISNUMBER(INDEX('Our policies'!$I$4:$I$503,_calc!$E$218)),TEXT(INDEX('Our policies'!$I$4:$I$503,_calc!$E$218),"yyyy-mm-dd"),""),""))</f>
        <v/>
      </c>
      <c r="E216" s="46">
        <f>IF(_calc!$E$218="","",IF(_calc!$E$218&lt;=500,IF(LEN(INDEX('Our policies'!$Q$4:$Q$503,_calc!$E$218))=0,"",INDEX('Our policies'!$Q$4:$Q$503,_calc!$E$218)),"Medium"))</f>
        <v/>
      </c>
      <c r="F216" s="46">
        <f>IF(_calc!$E$218="","",IF(_calc!$E$218&lt;=500,TRIM(IF(LEN(IF(LEN(INDEX('Our policies'!$B$4:$B$503,_calc!$E$218))=0,"",INDEX('Our policies'!$B$4:$B$503,_calc!$E$218)))=0,"","Cover: "&amp;IF(LEN(INDEX('Our policies'!$B$4:$B$503,_calc!$E$218))=0,"",INDEX('Our policies'!$B$4:$B$503,_calc!$E$218))&amp;". ")&amp;IF(LEN(IF(LEN(INDEX('Our policies'!$C$4:$C$503,_calc!$E$218))=0,"",INDEX('Our policies'!$C$4:$C$503,_calc!$E$218)))=0,"","Insurer: "&amp;IF(LEN(INDEX('Our policies'!$C$4:$C$503,_calc!$E$218))=0,"",INDEX('Our policies'!$C$4:$C$503,_calc!$E$218))&amp;". ")&amp;IF(LEN(IF(LEN(INDEX('Our policies'!$D$4:$D$503,_calc!$E$218))=0,"",INDEX('Our policies'!$D$4:$D$503,_calc!$E$218)))=0,"","Broker: "&amp;IF(LEN(INDEX('Our policies'!$D$4:$D$503,_calc!$E$218))=0,"",INDEX('Our policies'!$D$4:$D$503,_calc!$E$218))&amp;". ")&amp;IF(LEN(IF(LEN(INDEX('Our policies'!$E$4:$E$503,_calc!$E$218))=0,"",INDEX('Our policies'!$E$4:$E$503,_calc!$E$218)))=0,"","Policy no.: "&amp;IF(LEN(INDEX('Our policies'!$E$4:$E$503,_calc!$E$218))=0,"",INDEX('Our policies'!$E$4:$E$503,_calc!$E$218))&amp;". ")&amp;IF(LEN(IF(LEN(INDEX('Our policies'!$S$4:$S$503,_calc!$E$218))=0,"",INDEX('Our policies'!$S$4:$S$503,_calc!$E$218)))=0,"",IF(LEN(INDEX('Our policies'!$S$4:$S$503,_calc!$E$218))=0,"",INDEX('Our policies'!$S$4:$S$503,_calc!$E$218)))),TRIM(IF(LEN(IF(LEN(INDEX('Vendor COIs'!$C$4:$C$503,(_calc!$E$218-500)))=0,"",INDEX('Vendor COIs'!$C$4:$C$503,(_calc!$E$218-500))))=0,"","Insurer: "&amp;IF(LEN(INDEX('Vendor COIs'!$C$4:$C$503,(_calc!$E$218-500)))=0,"",INDEX('Vendor COIs'!$C$4:$C$503,(_calc!$E$218-500)))&amp;". ")&amp;IF(LEN(IF(LEN(INDEX('Vendor COIs'!$D$4:$D$503,(_calc!$E$218-500)))=0,"",INDEX('Vendor COIs'!$D$4:$D$503,(_calc!$E$218-500))))=0,"","Policy no.: "&amp;IF(LEN(INDEX('Vendor COIs'!$D$4:$D$503,(_calc!$E$218-500)))=0,"",INDEX('Vendor COIs'!$D$4:$D$503,(_calc!$E$218-500)))&amp;". ")&amp;IF(LEN(IF(LEN(INDEX('Vendor COIs'!$F$4:$F$503,(_calc!$E$218-500)))=0,"",INDEX('Vendor COIs'!$F$4:$F$503,(_calc!$E$218-500))))=0,"","Meets minimum: "&amp;IF(LEN(INDEX('Vendor COIs'!$F$4:$F$503,(_calc!$E$218-500)))=0,"",INDEX('Vendor COIs'!$F$4:$F$503,(_calc!$E$218-500)))&amp;". ")&amp;IF(LEN(IF(LEN(INDEX('Vendor COIs'!$G$4:$G$503,(_calc!$E$218-500)))=0,"",INDEX('Vendor COIs'!$G$4:$G$503,(_calc!$E$218-500))))=0,"","Additional insured: "&amp;IF(LEN(INDEX('Vendor COIs'!$G$4:$G$503,(_calc!$E$218-500)))=0,"",INDEX('Vendor COIs'!$G$4:$G$503,(_calc!$E$218-500)))&amp;". ")&amp;IF(LEN(IF(LEN(INDEX('Vendor COIs'!$M$4:$M$503,(_calc!$E$218-500)))=0,"",INDEX('Vendor COIs'!$M$4:$M$503,(_calc!$E$218-500))))=0,"","Vendor contact: "&amp;IF(LEN(INDEX('Vendor COIs'!$M$4:$M$503,(_calc!$E$218-500)))=0,"",INDEX('Vendor COIs'!$M$4:$M$503,(_calc!$E$218-500)))&amp;". ")&amp;IF(LEN(IF(LEN(INDEX('Vendor COIs'!$P$4:$P$503,(_calc!$E$218-500)))=0,"",INDEX('Vendor COIs'!$P$4:$P$503,(_calc!$E$218-500))))=0,"",IF(LEN(INDEX('Vendor COIs'!$P$4:$P$503,(_calc!$E$218-500)))=0,"",INDEX('Vendor COIs'!$P$4:$P$503,(_calc!$E$218-500)))))))</f>
        <v/>
      </c>
      <c r="G216" s="46">
        <f>IF(_calc!$E$218="","",IF(_calc!$E$218&lt;=500,IF(LEN(INDEX('Our policies'!$R$4:$R$503,_calc!$E$218))=0,"",INDEX('Our policies'!$R$4:$R$503,_calc!$E$218)),IF(LEN(INDEX('Vendor COIs'!$O$4:$O$503,(_calc!$E$218-500)))=0,"",INDEX('Vendor COIs'!$O$4:$O$503,(_calc!$E$218-500)))))</f>
        <v/>
      </c>
      <c r="H216" s="46">
        <f>IF(_calc!$E$218="","",IF(_calc!$E$218&lt;=500,IF(LEN(INDEX('Our policies'!$G$4:$G$503,_calc!$E$218))=0,"",INDEX('Our policies'!$G$4:$G$503,_calc!$E$218)),""))</f>
        <v/>
      </c>
      <c r="I216" s="46">
        <f>IF(_calc!$E$218="","",IF(_calc!$E$218&lt;=500,IF(LEN(INDEX('Our policies'!$H$4:$H$503,_calc!$E$218))=0,"",INDEX('Our policies'!$H$4:$H$503,_calc!$E$218)),""))</f>
        <v/>
      </c>
      <c r="K216" s="46">
        <f>IF(_calc!$E$218="","",IF(_calc!$E$218&lt;=500,IF(LEN(INDEX('Our policies'!$P$4:$P$503,_calc!$E$218))=0,"",INDEX('Our policies'!$P$4:$P$503,_calc!$E$218)),IF(LEN(INDEX('Vendor COIs'!$N$4:$N$503,(_calc!$E$218-500)))=0,"",INDEX('Vendor COIs'!$N$4:$N$503,(_calc!$E$218-500)))))</f>
        <v/>
      </c>
    </row>
    <row r="217">
      <c r="A217" s="46">
        <f>IF(_calc!$E$219="","",IF(_calc!$E$219&lt;=500,IF(LEN(INDEX('Our policies'!$A$4:$A$503,_calc!$E$219))=0,"",INDEX('Our policies'!$A$4:$A$503,_calc!$E$219)),"COI – "&amp;IF(LEN(INDEX('Vendor COIs'!$A$4:$A$503,(_calc!$E$219-500)))=0,"",INDEX('Vendor COIs'!$A$4:$A$503,(_calc!$E$219-500)))&amp;" – "&amp;IF(LEN(INDEX('Vendor COIs'!$B$4:$B$503,(_calc!$E$219-500)))=0,"",INDEX('Vendor COIs'!$B$4:$B$503,(_calc!$E$219-500)))))</f>
        <v/>
      </c>
      <c r="B217" s="46">
        <f>IF(_calc!$E$219="","",IF(_calc!$E$219&lt;=500,IF(ISNUMBER(INDEX('Our policies'!$J$4:$J$503,_calc!$E$219)),TEXT(INDEX('Our policies'!$J$4:$J$503,_calc!$E$219),"yyyy-mm-dd"),""),IF(ISNUMBER(INDEX('Vendor COIs'!$H$4:$H$503,(_calc!$E$219-500))),TEXT(INDEX('Vendor COIs'!$H$4:$H$503,(_calc!$E$219-500)),"yyyy-mm-dd"),"")))</f>
        <v/>
      </c>
      <c r="C217" s="46">
        <f>IF(_calc!$E$219="","",IF(_calc!$E$219&lt;=500,"Insurance","Certificate of insurance"))</f>
        <v/>
      </c>
      <c r="D217" s="46">
        <f>IF(_calc!$E$219="","",IF(_calc!$E$219&lt;=500,IF(ISNUMBER(INDEX('Our policies'!$I$4:$I$503,_calc!$E$219)),TEXT(INDEX('Our policies'!$I$4:$I$503,_calc!$E$219),"yyyy-mm-dd"),""),""))</f>
        <v/>
      </c>
      <c r="E217" s="46">
        <f>IF(_calc!$E$219="","",IF(_calc!$E$219&lt;=500,IF(LEN(INDEX('Our policies'!$Q$4:$Q$503,_calc!$E$219))=0,"",INDEX('Our policies'!$Q$4:$Q$503,_calc!$E$219)),"Medium"))</f>
        <v/>
      </c>
      <c r="F217" s="46">
        <f>IF(_calc!$E$219="","",IF(_calc!$E$219&lt;=500,TRIM(IF(LEN(IF(LEN(INDEX('Our policies'!$B$4:$B$503,_calc!$E$219))=0,"",INDEX('Our policies'!$B$4:$B$503,_calc!$E$219)))=0,"","Cover: "&amp;IF(LEN(INDEX('Our policies'!$B$4:$B$503,_calc!$E$219))=0,"",INDEX('Our policies'!$B$4:$B$503,_calc!$E$219))&amp;". ")&amp;IF(LEN(IF(LEN(INDEX('Our policies'!$C$4:$C$503,_calc!$E$219))=0,"",INDEX('Our policies'!$C$4:$C$503,_calc!$E$219)))=0,"","Insurer: "&amp;IF(LEN(INDEX('Our policies'!$C$4:$C$503,_calc!$E$219))=0,"",INDEX('Our policies'!$C$4:$C$503,_calc!$E$219))&amp;". ")&amp;IF(LEN(IF(LEN(INDEX('Our policies'!$D$4:$D$503,_calc!$E$219))=0,"",INDEX('Our policies'!$D$4:$D$503,_calc!$E$219)))=0,"","Broker: "&amp;IF(LEN(INDEX('Our policies'!$D$4:$D$503,_calc!$E$219))=0,"",INDEX('Our policies'!$D$4:$D$503,_calc!$E$219))&amp;". ")&amp;IF(LEN(IF(LEN(INDEX('Our policies'!$E$4:$E$503,_calc!$E$219))=0,"",INDEX('Our policies'!$E$4:$E$503,_calc!$E$219)))=0,"","Policy no.: "&amp;IF(LEN(INDEX('Our policies'!$E$4:$E$503,_calc!$E$219))=0,"",INDEX('Our policies'!$E$4:$E$503,_calc!$E$219))&amp;". ")&amp;IF(LEN(IF(LEN(INDEX('Our policies'!$S$4:$S$503,_calc!$E$219))=0,"",INDEX('Our policies'!$S$4:$S$503,_calc!$E$219)))=0,"",IF(LEN(INDEX('Our policies'!$S$4:$S$503,_calc!$E$219))=0,"",INDEX('Our policies'!$S$4:$S$503,_calc!$E$219)))),TRIM(IF(LEN(IF(LEN(INDEX('Vendor COIs'!$C$4:$C$503,(_calc!$E$219-500)))=0,"",INDEX('Vendor COIs'!$C$4:$C$503,(_calc!$E$219-500))))=0,"","Insurer: "&amp;IF(LEN(INDEX('Vendor COIs'!$C$4:$C$503,(_calc!$E$219-500)))=0,"",INDEX('Vendor COIs'!$C$4:$C$503,(_calc!$E$219-500)))&amp;". ")&amp;IF(LEN(IF(LEN(INDEX('Vendor COIs'!$D$4:$D$503,(_calc!$E$219-500)))=0,"",INDEX('Vendor COIs'!$D$4:$D$503,(_calc!$E$219-500))))=0,"","Policy no.: "&amp;IF(LEN(INDEX('Vendor COIs'!$D$4:$D$503,(_calc!$E$219-500)))=0,"",INDEX('Vendor COIs'!$D$4:$D$503,(_calc!$E$219-500)))&amp;". ")&amp;IF(LEN(IF(LEN(INDEX('Vendor COIs'!$F$4:$F$503,(_calc!$E$219-500)))=0,"",INDEX('Vendor COIs'!$F$4:$F$503,(_calc!$E$219-500))))=0,"","Meets minimum: "&amp;IF(LEN(INDEX('Vendor COIs'!$F$4:$F$503,(_calc!$E$219-500)))=0,"",INDEX('Vendor COIs'!$F$4:$F$503,(_calc!$E$219-500)))&amp;". ")&amp;IF(LEN(IF(LEN(INDEX('Vendor COIs'!$G$4:$G$503,(_calc!$E$219-500)))=0,"",INDEX('Vendor COIs'!$G$4:$G$503,(_calc!$E$219-500))))=0,"","Additional insured: "&amp;IF(LEN(INDEX('Vendor COIs'!$G$4:$G$503,(_calc!$E$219-500)))=0,"",INDEX('Vendor COIs'!$G$4:$G$503,(_calc!$E$219-500)))&amp;". ")&amp;IF(LEN(IF(LEN(INDEX('Vendor COIs'!$M$4:$M$503,(_calc!$E$219-500)))=0,"",INDEX('Vendor COIs'!$M$4:$M$503,(_calc!$E$219-500))))=0,"","Vendor contact: "&amp;IF(LEN(INDEX('Vendor COIs'!$M$4:$M$503,(_calc!$E$219-500)))=0,"",INDEX('Vendor COIs'!$M$4:$M$503,(_calc!$E$219-500)))&amp;". ")&amp;IF(LEN(IF(LEN(INDEX('Vendor COIs'!$P$4:$P$503,(_calc!$E$219-500)))=0,"",INDEX('Vendor COIs'!$P$4:$P$503,(_calc!$E$219-500))))=0,"",IF(LEN(INDEX('Vendor COIs'!$P$4:$P$503,(_calc!$E$219-500)))=0,"",INDEX('Vendor COIs'!$P$4:$P$503,(_calc!$E$219-500)))))))</f>
        <v/>
      </c>
      <c r="G217" s="46">
        <f>IF(_calc!$E$219="","",IF(_calc!$E$219&lt;=500,IF(LEN(INDEX('Our policies'!$R$4:$R$503,_calc!$E$219))=0,"",INDEX('Our policies'!$R$4:$R$503,_calc!$E$219)),IF(LEN(INDEX('Vendor COIs'!$O$4:$O$503,(_calc!$E$219-500)))=0,"",INDEX('Vendor COIs'!$O$4:$O$503,(_calc!$E$219-500)))))</f>
        <v/>
      </c>
      <c r="H217" s="46">
        <f>IF(_calc!$E$219="","",IF(_calc!$E$219&lt;=500,IF(LEN(INDEX('Our policies'!$G$4:$G$503,_calc!$E$219))=0,"",INDEX('Our policies'!$G$4:$G$503,_calc!$E$219)),""))</f>
        <v/>
      </c>
      <c r="I217" s="46">
        <f>IF(_calc!$E$219="","",IF(_calc!$E$219&lt;=500,IF(LEN(INDEX('Our policies'!$H$4:$H$503,_calc!$E$219))=0,"",INDEX('Our policies'!$H$4:$H$503,_calc!$E$219)),""))</f>
        <v/>
      </c>
      <c r="K217" s="46">
        <f>IF(_calc!$E$219="","",IF(_calc!$E$219&lt;=500,IF(LEN(INDEX('Our policies'!$P$4:$P$503,_calc!$E$219))=0,"",INDEX('Our policies'!$P$4:$P$503,_calc!$E$219)),IF(LEN(INDEX('Vendor COIs'!$N$4:$N$503,(_calc!$E$219-500)))=0,"",INDEX('Vendor COIs'!$N$4:$N$503,(_calc!$E$219-500)))))</f>
        <v/>
      </c>
    </row>
    <row r="218">
      <c r="A218" s="46">
        <f>IF(_calc!$E$220="","",IF(_calc!$E$220&lt;=500,IF(LEN(INDEX('Our policies'!$A$4:$A$503,_calc!$E$220))=0,"",INDEX('Our policies'!$A$4:$A$503,_calc!$E$220)),"COI – "&amp;IF(LEN(INDEX('Vendor COIs'!$A$4:$A$503,(_calc!$E$220-500)))=0,"",INDEX('Vendor COIs'!$A$4:$A$503,(_calc!$E$220-500)))&amp;" – "&amp;IF(LEN(INDEX('Vendor COIs'!$B$4:$B$503,(_calc!$E$220-500)))=0,"",INDEX('Vendor COIs'!$B$4:$B$503,(_calc!$E$220-500)))))</f>
        <v/>
      </c>
      <c r="B218" s="46">
        <f>IF(_calc!$E$220="","",IF(_calc!$E$220&lt;=500,IF(ISNUMBER(INDEX('Our policies'!$J$4:$J$503,_calc!$E$220)),TEXT(INDEX('Our policies'!$J$4:$J$503,_calc!$E$220),"yyyy-mm-dd"),""),IF(ISNUMBER(INDEX('Vendor COIs'!$H$4:$H$503,(_calc!$E$220-500))),TEXT(INDEX('Vendor COIs'!$H$4:$H$503,(_calc!$E$220-500)),"yyyy-mm-dd"),"")))</f>
        <v/>
      </c>
      <c r="C218" s="46">
        <f>IF(_calc!$E$220="","",IF(_calc!$E$220&lt;=500,"Insurance","Certificate of insurance"))</f>
        <v/>
      </c>
      <c r="D218" s="46">
        <f>IF(_calc!$E$220="","",IF(_calc!$E$220&lt;=500,IF(ISNUMBER(INDEX('Our policies'!$I$4:$I$503,_calc!$E$220)),TEXT(INDEX('Our policies'!$I$4:$I$503,_calc!$E$220),"yyyy-mm-dd"),""),""))</f>
        <v/>
      </c>
      <c r="E218" s="46">
        <f>IF(_calc!$E$220="","",IF(_calc!$E$220&lt;=500,IF(LEN(INDEX('Our policies'!$Q$4:$Q$503,_calc!$E$220))=0,"",INDEX('Our policies'!$Q$4:$Q$503,_calc!$E$220)),"Medium"))</f>
        <v/>
      </c>
      <c r="F218" s="46">
        <f>IF(_calc!$E$220="","",IF(_calc!$E$220&lt;=500,TRIM(IF(LEN(IF(LEN(INDEX('Our policies'!$B$4:$B$503,_calc!$E$220))=0,"",INDEX('Our policies'!$B$4:$B$503,_calc!$E$220)))=0,"","Cover: "&amp;IF(LEN(INDEX('Our policies'!$B$4:$B$503,_calc!$E$220))=0,"",INDEX('Our policies'!$B$4:$B$503,_calc!$E$220))&amp;". ")&amp;IF(LEN(IF(LEN(INDEX('Our policies'!$C$4:$C$503,_calc!$E$220))=0,"",INDEX('Our policies'!$C$4:$C$503,_calc!$E$220)))=0,"","Insurer: "&amp;IF(LEN(INDEX('Our policies'!$C$4:$C$503,_calc!$E$220))=0,"",INDEX('Our policies'!$C$4:$C$503,_calc!$E$220))&amp;". ")&amp;IF(LEN(IF(LEN(INDEX('Our policies'!$D$4:$D$503,_calc!$E$220))=0,"",INDEX('Our policies'!$D$4:$D$503,_calc!$E$220)))=0,"","Broker: "&amp;IF(LEN(INDEX('Our policies'!$D$4:$D$503,_calc!$E$220))=0,"",INDEX('Our policies'!$D$4:$D$503,_calc!$E$220))&amp;". ")&amp;IF(LEN(IF(LEN(INDEX('Our policies'!$E$4:$E$503,_calc!$E$220))=0,"",INDEX('Our policies'!$E$4:$E$503,_calc!$E$220)))=0,"","Policy no.: "&amp;IF(LEN(INDEX('Our policies'!$E$4:$E$503,_calc!$E$220))=0,"",INDEX('Our policies'!$E$4:$E$503,_calc!$E$220))&amp;". ")&amp;IF(LEN(IF(LEN(INDEX('Our policies'!$S$4:$S$503,_calc!$E$220))=0,"",INDEX('Our policies'!$S$4:$S$503,_calc!$E$220)))=0,"",IF(LEN(INDEX('Our policies'!$S$4:$S$503,_calc!$E$220))=0,"",INDEX('Our policies'!$S$4:$S$503,_calc!$E$220)))),TRIM(IF(LEN(IF(LEN(INDEX('Vendor COIs'!$C$4:$C$503,(_calc!$E$220-500)))=0,"",INDEX('Vendor COIs'!$C$4:$C$503,(_calc!$E$220-500))))=0,"","Insurer: "&amp;IF(LEN(INDEX('Vendor COIs'!$C$4:$C$503,(_calc!$E$220-500)))=0,"",INDEX('Vendor COIs'!$C$4:$C$503,(_calc!$E$220-500)))&amp;". ")&amp;IF(LEN(IF(LEN(INDEX('Vendor COIs'!$D$4:$D$503,(_calc!$E$220-500)))=0,"",INDEX('Vendor COIs'!$D$4:$D$503,(_calc!$E$220-500))))=0,"","Policy no.: "&amp;IF(LEN(INDEX('Vendor COIs'!$D$4:$D$503,(_calc!$E$220-500)))=0,"",INDEX('Vendor COIs'!$D$4:$D$503,(_calc!$E$220-500)))&amp;". ")&amp;IF(LEN(IF(LEN(INDEX('Vendor COIs'!$F$4:$F$503,(_calc!$E$220-500)))=0,"",INDEX('Vendor COIs'!$F$4:$F$503,(_calc!$E$220-500))))=0,"","Meets minimum: "&amp;IF(LEN(INDEX('Vendor COIs'!$F$4:$F$503,(_calc!$E$220-500)))=0,"",INDEX('Vendor COIs'!$F$4:$F$503,(_calc!$E$220-500)))&amp;". ")&amp;IF(LEN(IF(LEN(INDEX('Vendor COIs'!$G$4:$G$503,(_calc!$E$220-500)))=0,"",INDEX('Vendor COIs'!$G$4:$G$503,(_calc!$E$220-500))))=0,"","Additional insured: "&amp;IF(LEN(INDEX('Vendor COIs'!$G$4:$G$503,(_calc!$E$220-500)))=0,"",INDEX('Vendor COIs'!$G$4:$G$503,(_calc!$E$220-500)))&amp;". ")&amp;IF(LEN(IF(LEN(INDEX('Vendor COIs'!$M$4:$M$503,(_calc!$E$220-500)))=0,"",INDEX('Vendor COIs'!$M$4:$M$503,(_calc!$E$220-500))))=0,"","Vendor contact: "&amp;IF(LEN(INDEX('Vendor COIs'!$M$4:$M$503,(_calc!$E$220-500)))=0,"",INDEX('Vendor COIs'!$M$4:$M$503,(_calc!$E$220-500)))&amp;". ")&amp;IF(LEN(IF(LEN(INDEX('Vendor COIs'!$P$4:$P$503,(_calc!$E$220-500)))=0,"",INDEX('Vendor COIs'!$P$4:$P$503,(_calc!$E$220-500))))=0,"",IF(LEN(INDEX('Vendor COIs'!$P$4:$P$503,(_calc!$E$220-500)))=0,"",INDEX('Vendor COIs'!$P$4:$P$503,(_calc!$E$220-500)))))))</f>
        <v/>
      </c>
      <c r="G218" s="46">
        <f>IF(_calc!$E$220="","",IF(_calc!$E$220&lt;=500,IF(LEN(INDEX('Our policies'!$R$4:$R$503,_calc!$E$220))=0,"",INDEX('Our policies'!$R$4:$R$503,_calc!$E$220)),IF(LEN(INDEX('Vendor COIs'!$O$4:$O$503,(_calc!$E$220-500)))=0,"",INDEX('Vendor COIs'!$O$4:$O$503,(_calc!$E$220-500)))))</f>
        <v/>
      </c>
      <c r="H218" s="46">
        <f>IF(_calc!$E$220="","",IF(_calc!$E$220&lt;=500,IF(LEN(INDEX('Our policies'!$G$4:$G$503,_calc!$E$220))=0,"",INDEX('Our policies'!$G$4:$G$503,_calc!$E$220)),""))</f>
        <v/>
      </c>
      <c r="I218" s="46">
        <f>IF(_calc!$E$220="","",IF(_calc!$E$220&lt;=500,IF(LEN(INDEX('Our policies'!$H$4:$H$503,_calc!$E$220))=0,"",INDEX('Our policies'!$H$4:$H$503,_calc!$E$220)),""))</f>
        <v/>
      </c>
      <c r="K218" s="46">
        <f>IF(_calc!$E$220="","",IF(_calc!$E$220&lt;=500,IF(LEN(INDEX('Our policies'!$P$4:$P$503,_calc!$E$220))=0,"",INDEX('Our policies'!$P$4:$P$503,_calc!$E$220)),IF(LEN(INDEX('Vendor COIs'!$N$4:$N$503,(_calc!$E$220-500)))=0,"",INDEX('Vendor COIs'!$N$4:$N$503,(_calc!$E$220-500)))))</f>
        <v/>
      </c>
    </row>
    <row r="219">
      <c r="A219" s="46">
        <f>IF(_calc!$E$221="","",IF(_calc!$E$221&lt;=500,IF(LEN(INDEX('Our policies'!$A$4:$A$503,_calc!$E$221))=0,"",INDEX('Our policies'!$A$4:$A$503,_calc!$E$221)),"COI – "&amp;IF(LEN(INDEX('Vendor COIs'!$A$4:$A$503,(_calc!$E$221-500)))=0,"",INDEX('Vendor COIs'!$A$4:$A$503,(_calc!$E$221-500)))&amp;" – "&amp;IF(LEN(INDEX('Vendor COIs'!$B$4:$B$503,(_calc!$E$221-500)))=0,"",INDEX('Vendor COIs'!$B$4:$B$503,(_calc!$E$221-500)))))</f>
        <v/>
      </c>
      <c r="B219" s="46">
        <f>IF(_calc!$E$221="","",IF(_calc!$E$221&lt;=500,IF(ISNUMBER(INDEX('Our policies'!$J$4:$J$503,_calc!$E$221)),TEXT(INDEX('Our policies'!$J$4:$J$503,_calc!$E$221),"yyyy-mm-dd"),""),IF(ISNUMBER(INDEX('Vendor COIs'!$H$4:$H$503,(_calc!$E$221-500))),TEXT(INDEX('Vendor COIs'!$H$4:$H$503,(_calc!$E$221-500)),"yyyy-mm-dd"),"")))</f>
        <v/>
      </c>
      <c r="C219" s="46">
        <f>IF(_calc!$E$221="","",IF(_calc!$E$221&lt;=500,"Insurance","Certificate of insurance"))</f>
        <v/>
      </c>
      <c r="D219" s="46">
        <f>IF(_calc!$E$221="","",IF(_calc!$E$221&lt;=500,IF(ISNUMBER(INDEX('Our policies'!$I$4:$I$503,_calc!$E$221)),TEXT(INDEX('Our policies'!$I$4:$I$503,_calc!$E$221),"yyyy-mm-dd"),""),""))</f>
        <v/>
      </c>
      <c r="E219" s="46">
        <f>IF(_calc!$E$221="","",IF(_calc!$E$221&lt;=500,IF(LEN(INDEX('Our policies'!$Q$4:$Q$503,_calc!$E$221))=0,"",INDEX('Our policies'!$Q$4:$Q$503,_calc!$E$221)),"Medium"))</f>
        <v/>
      </c>
      <c r="F219" s="46">
        <f>IF(_calc!$E$221="","",IF(_calc!$E$221&lt;=500,TRIM(IF(LEN(IF(LEN(INDEX('Our policies'!$B$4:$B$503,_calc!$E$221))=0,"",INDEX('Our policies'!$B$4:$B$503,_calc!$E$221)))=0,"","Cover: "&amp;IF(LEN(INDEX('Our policies'!$B$4:$B$503,_calc!$E$221))=0,"",INDEX('Our policies'!$B$4:$B$503,_calc!$E$221))&amp;". ")&amp;IF(LEN(IF(LEN(INDEX('Our policies'!$C$4:$C$503,_calc!$E$221))=0,"",INDEX('Our policies'!$C$4:$C$503,_calc!$E$221)))=0,"","Insurer: "&amp;IF(LEN(INDEX('Our policies'!$C$4:$C$503,_calc!$E$221))=0,"",INDEX('Our policies'!$C$4:$C$503,_calc!$E$221))&amp;". ")&amp;IF(LEN(IF(LEN(INDEX('Our policies'!$D$4:$D$503,_calc!$E$221))=0,"",INDEX('Our policies'!$D$4:$D$503,_calc!$E$221)))=0,"","Broker: "&amp;IF(LEN(INDEX('Our policies'!$D$4:$D$503,_calc!$E$221))=0,"",INDEX('Our policies'!$D$4:$D$503,_calc!$E$221))&amp;". ")&amp;IF(LEN(IF(LEN(INDEX('Our policies'!$E$4:$E$503,_calc!$E$221))=0,"",INDEX('Our policies'!$E$4:$E$503,_calc!$E$221)))=0,"","Policy no.: "&amp;IF(LEN(INDEX('Our policies'!$E$4:$E$503,_calc!$E$221))=0,"",INDEX('Our policies'!$E$4:$E$503,_calc!$E$221))&amp;". ")&amp;IF(LEN(IF(LEN(INDEX('Our policies'!$S$4:$S$503,_calc!$E$221))=0,"",INDEX('Our policies'!$S$4:$S$503,_calc!$E$221)))=0,"",IF(LEN(INDEX('Our policies'!$S$4:$S$503,_calc!$E$221))=0,"",INDEX('Our policies'!$S$4:$S$503,_calc!$E$221)))),TRIM(IF(LEN(IF(LEN(INDEX('Vendor COIs'!$C$4:$C$503,(_calc!$E$221-500)))=0,"",INDEX('Vendor COIs'!$C$4:$C$503,(_calc!$E$221-500))))=0,"","Insurer: "&amp;IF(LEN(INDEX('Vendor COIs'!$C$4:$C$503,(_calc!$E$221-500)))=0,"",INDEX('Vendor COIs'!$C$4:$C$503,(_calc!$E$221-500)))&amp;". ")&amp;IF(LEN(IF(LEN(INDEX('Vendor COIs'!$D$4:$D$503,(_calc!$E$221-500)))=0,"",INDEX('Vendor COIs'!$D$4:$D$503,(_calc!$E$221-500))))=0,"","Policy no.: "&amp;IF(LEN(INDEX('Vendor COIs'!$D$4:$D$503,(_calc!$E$221-500)))=0,"",INDEX('Vendor COIs'!$D$4:$D$503,(_calc!$E$221-500)))&amp;". ")&amp;IF(LEN(IF(LEN(INDEX('Vendor COIs'!$F$4:$F$503,(_calc!$E$221-500)))=0,"",INDEX('Vendor COIs'!$F$4:$F$503,(_calc!$E$221-500))))=0,"","Meets minimum: "&amp;IF(LEN(INDEX('Vendor COIs'!$F$4:$F$503,(_calc!$E$221-500)))=0,"",INDEX('Vendor COIs'!$F$4:$F$503,(_calc!$E$221-500)))&amp;". ")&amp;IF(LEN(IF(LEN(INDEX('Vendor COIs'!$G$4:$G$503,(_calc!$E$221-500)))=0,"",INDEX('Vendor COIs'!$G$4:$G$503,(_calc!$E$221-500))))=0,"","Additional insured: "&amp;IF(LEN(INDEX('Vendor COIs'!$G$4:$G$503,(_calc!$E$221-500)))=0,"",INDEX('Vendor COIs'!$G$4:$G$503,(_calc!$E$221-500)))&amp;". ")&amp;IF(LEN(IF(LEN(INDEX('Vendor COIs'!$M$4:$M$503,(_calc!$E$221-500)))=0,"",INDEX('Vendor COIs'!$M$4:$M$503,(_calc!$E$221-500))))=0,"","Vendor contact: "&amp;IF(LEN(INDEX('Vendor COIs'!$M$4:$M$503,(_calc!$E$221-500)))=0,"",INDEX('Vendor COIs'!$M$4:$M$503,(_calc!$E$221-500)))&amp;". ")&amp;IF(LEN(IF(LEN(INDEX('Vendor COIs'!$P$4:$P$503,(_calc!$E$221-500)))=0,"",INDEX('Vendor COIs'!$P$4:$P$503,(_calc!$E$221-500))))=0,"",IF(LEN(INDEX('Vendor COIs'!$P$4:$P$503,(_calc!$E$221-500)))=0,"",INDEX('Vendor COIs'!$P$4:$P$503,(_calc!$E$221-500)))))))</f>
        <v/>
      </c>
      <c r="G219" s="46">
        <f>IF(_calc!$E$221="","",IF(_calc!$E$221&lt;=500,IF(LEN(INDEX('Our policies'!$R$4:$R$503,_calc!$E$221))=0,"",INDEX('Our policies'!$R$4:$R$503,_calc!$E$221)),IF(LEN(INDEX('Vendor COIs'!$O$4:$O$503,(_calc!$E$221-500)))=0,"",INDEX('Vendor COIs'!$O$4:$O$503,(_calc!$E$221-500)))))</f>
        <v/>
      </c>
      <c r="H219" s="46">
        <f>IF(_calc!$E$221="","",IF(_calc!$E$221&lt;=500,IF(LEN(INDEX('Our policies'!$G$4:$G$503,_calc!$E$221))=0,"",INDEX('Our policies'!$G$4:$G$503,_calc!$E$221)),""))</f>
        <v/>
      </c>
      <c r="I219" s="46">
        <f>IF(_calc!$E$221="","",IF(_calc!$E$221&lt;=500,IF(LEN(INDEX('Our policies'!$H$4:$H$503,_calc!$E$221))=0,"",INDEX('Our policies'!$H$4:$H$503,_calc!$E$221)),""))</f>
        <v/>
      </c>
      <c r="K219" s="46">
        <f>IF(_calc!$E$221="","",IF(_calc!$E$221&lt;=500,IF(LEN(INDEX('Our policies'!$P$4:$P$503,_calc!$E$221))=0,"",INDEX('Our policies'!$P$4:$P$503,_calc!$E$221)),IF(LEN(INDEX('Vendor COIs'!$N$4:$N$503,(_calc!$E$221-500)))=0,"",INDEX('Vendor COIs'!$N$4:$N$503,(_calc!$E$221-500)))))</f>
        <v/>
      </c>
    </row>
    <row r="220">
      <c r="A220" s="46">
        <f>IF(_calc!$E$222="","",IF(_calc!$E$222&lt;=500,IF(LEN(INDEX('Our policies'!$A$4:$A$503,_calc!$E$222))=0,"",INDEX('Our policies'!$A$4:$A$503,_calc!$E$222)),"COI – "&amp;IF(LEN(INDEX('Vendor COIs'!$A$4:$A$503,(_calc!$E$222-500)))=0,"",INDEX('Vendor COIs'!$A$4:$A$503,(_calc!$E$222-500)))&amp;" – "&amp;IF(LEN(INDEX('Vendor COIs'!$B$4:$B$503,(_calc!$E$222-500)))=0,"",INDEX('Vendor COIs'!$B$4:$B$503,(_calc!$E$222-500)))))</f>
        <v/>
      </c>
      <c r="B220" s="46">
        <f>IF(_calc!$E$222="","",IF(_calc!$E$222&lt;=500,IF(ISNUMBER(INDEX('Our policies'!$J$4:$J$503,_calc!$E$222)),TEXT(INDEX('Our policies'!$J$4:$J$503,_calc!$E$222),"yyyy-mm-dd"),""),IF(ISNUMBER(INDEX('Vendor COIs'!$H$4:$H$503,(_calc!$E$222-500))),TEXT(INDEX('Vendor COIs'!$H$4:$H$503,(_calc!$E$222-500)),"yyyy-mm-dd"),"")))</f>
        <v/>
      </c>
      <c r="C220" s="46">
        <f>IF(_calc!$E$222="","",IF(_calc!$E$222&lt;=500,"Insurance","Certificate of insurance"))</f>
        <v/>
      </c>
      <c r="D220" s="46">
        <f>IF(_calc!$E$222="","",IF(_calc!$E$222&lt;=500,IF(ISNUMBER(INDEX('Our policies'!$I$4:$I$503,_calc!$E$222)),TEXT(INDEX('Our policies'!$I$4:$I$503,_calc!$E$222),"yyyy-mm-dd"),""),""))</f>
        <v/>
      </c>
      <c r="E220" s="46">
        <f>IF(_calc!$E$222="","",IF(_calc!$E$222&lt;=500,IF(LEN(INDEX('Our policies'!$Q$4:$Q$503,_calc!$E$222))=0,"",INDEX('Our policies'!$Q$4:$Q$503,_calc!$E$222)),"Medium"))</f>
        <v/>
      </c>
      <c r="F220" s="46">
        <f>IF(_calc!$E$222="","",IF(_calc!$E$222&lt;=500,TRIM(IF(LEN(IF(LEN(INDEX('Our policies'!$B$4:$B$503,_calc!$E$222))=0,"",INDEX('Our policies'!$B$4:$B$503,_calc!$E$222)))=0,"","Cover: "&amp;IF(LEN(INDEX('Our policies'!$B$4:$B$503,_calc!$E$222))=0,"",INDEX('Our policies'!$B$4:$B$503,_calc!$E$222))&amp;". ")&amp;IF(LEN(IF(LEN(INDEX('Our policies'!$C$4:$C$503,_calc!$E$222))=0,"",INDEX('Our policies'!$C$4:$C$503,_calc!$E$222)))=0,"","Insurer: "&amp;IF(LEN(INDEX('Our policies'!$C$4:$C$503,_calc!$E$222))=0,"",INDEX('Our policies'!$C$4:$C$503,_calc!$E$222))&amp;". ")&amp;IF(LEN(IF(LEN(INDEX('Our policies'!$D$4:$D$503,_calc!$E$222))=0,"",INDEX('Our policies'!$D$4:$D$503,_calc!$E$222)))=0,"","Broker: "&amp;IF(LEN(INDEX('Our policies'!$D$4:$D$503,_calc!$E$222))=0,"",INDEX('Our policies'!$D$4:$D$503,_calc!$E$222))&amp;". ")&amp;IF(LEN(IF(LEN(INDEX('Our policies'!$E$4:$E$503,_calc!$E$222))=0,"",INDEX('Our policies'!$E$4:$E$503,_calc!$E$222)))=0,"","Policy no.: "&amp;IF(LEN(INDEX('Our policies'!$E$4:$E$503,_calc!$E$222))=0,"",INDEX('Our policies'!$E$4:$E$503,_calc!$E$222))&amp;". ")&amp;IF(LEN(IF(LEN(INDEX('Our policies'!$S$4:$S$503,_calc!$E$222))=0,"",INDEX('Our policies'!$S$4:$S$503,_calc!$E$222)))=0,"",IF(LEN(INDEX('Our policies'!$S$4:$S$503,_calc!$E$222))=0,"",INDEX('Our policies'!$S$4:$S$503,_calc!$E$222)))),TRIM(IF(LEN(IF(LEN(INDEX('Vendor COIs'!$C$4:$C$503,(_calc!$E$222-500)))=0,"",INDEX('Vendor COIs'!$C$4:$C$503,(_calc!$E$222-500))))=0,"","Insurer: "&amp;IF(LEN(INDEX('Vendor COIs'!$C$4:$C$503,(_calc!$E$222-500)))=0,"",INDEX('Vendor COIs'!$C$4:$C$503,(_calc!$E$222-500)))&amp;". ")&amp;IF(LEN(IF(LEN(INDEX('Vendor COIs'!$D$4:$D$503,(_calc!$E$222-500)))=0,"",INDEX('Vendor COIs'!$D$4:$D$503,(_calc!$E$222-500))))=0,"","Policy no.: "&amp;IF(LEN(INDEX('Vendor COIs'!$D$4:$D$503,(_calc!$E$222-500)))=0,"",INDEX('Vendor COIs'!$D$4:$D$503,(_calc!$E$222-500)))&amp;". ")&amp;IF(LEN(IF(LEN(INDEX('Vendor COIs'!$F$4:$F$503,(_calc!$E$222-500)))=0,"",INDEX('Vendor COIs'!$F$4:$F$503,(_calc!$E$222-500))))=0,"","Meets minimum: "&amp;IF(LEN(INDEX('Vendor COIs'!$F$4:$F$503,(_calc!$E$222-500)))=0,"",INDEX('Vendor COIs'!$F$4:$F$503,(_calc!$E$222-500)))&amp;". ")&amp;IF(LEN(IF(LEN(INDEX('Vendor COIs'!$G$4:$G$503,(_calc!$E$222-500)))=0,"",INDEX('Vendor COIs'!$G$4:$G$503,(_calc!$E$222-500))))=0,"","Additional insured: "&amp;IF(LEN(INDEX('Vendor COIs'!$G$4:$G$503,(_calc!$E$222-500)))=0,"",INDEX('Vendor COIs'!$G$4:$G$503,(_calc!$E$222-500)))&amp;". ")&amp;IF(LEN(IF(LEN(INDEX('Vendor COIs'!$M$4:$M$503,(_calc!$E$222-500)))=0,"",INDEX('Vendor COIs'!$M$4:$M$503,(_calc!$E$222-500))))=0,"","Vendor contact: "&amp;IF(LEN(INDEX('Vendor COIs'!$M$4:$M$503,(_calc!$E$222-500)))=0,"",INDEX('Vendor COIs'!$M$4:$M$503,(_calc!$E$222-500)))&amp;". ")&amp;IF(LEN(IF(LEN(INDEX('Vendor COIs'!$P$4:$P$503,(_calc!$E$222-500)))=0,"",INDEX('Vendor COIs'!$P$4:$P$503,(_calc!$E$222-500))))=0,"",IF(LEN(INDEX('Vendor COIs'!$P$4:$P$503,(_calc!$E$222-500)))=0,"",INDEX('Vendor COIs'!$P$4:$P$503,(_calc!$E$222-500)))))))</f>
        <v/>
      </c>
      <c r="G220" s="46">
        <f>IF(_calc!$E$222="","",IF(_calc!$E$222&lt;=500,IF(LEN(INDEX('Our policies'!$R$4:$R$503,_calc!$E$222))=0,"",INDEX('Our policies'!$R$4:$R$503,_calc!$E$222)),IF(LEN(INDEX('Vendor COIs'!$O$4:$O$503,(_calc!$E$222-500)))=0,"",INDEX('Vendor COIs'!$O$4:$O$503,(_calc!$E$222-500)))))</f>
        <v/>
      </c>
      <c r="H220" s="46">
        <f>IF(_calc!$E$222="","",IF(_calc!$E$222&lt;=500,IF(LEN(INDEX('Our policies'!$G$4:$G$503,_calc!$E$222))=0,"",INDEX('Our policies'!$G$4:$G$503,_calc!$E$222)),""))</f>
        <v/>
      </c>
      <c r="I220" s="46">
        <f>IF(_calc!$E$222="","",IF(_calc!$E$222&lt;=500,IF(LEN(INDEX('Our policies'!$H$4:$H$503,_calc!$E$222))=0,"",INDEX('Our policies'!$H$4:$H$503,_calc!$E$222)),""))</f>
        <v/>
      </c>
      <c r="K220" s="46">
        <f>IF(_calc!$E$222="","",IF(_calc!$E$222&lt;=500,IF(LEN(INDEX('Our policies'!$P$4:$P$503,_calc!$E$222))=0,"",INDEX('Our policies'!$P$4:$P$503,_calc!$E$222)),IF(LEN(INDEX('Vendor COIs'!$N$4:$N$503,(_calc!$E$222-500)))=0,"",INDEX('Vendor COIs'!$N$4:$N$503,(_calc!$E$222-500)))))</f>
        <v/>
      </c>
    </row>
    <row r="221">
      <c r="A221" s="46">
        <f>IF(_calc!$E$223="","",IF(_calc!$E$223&lt;=500,IF(LEN(INDEX('Our policies'!$A$4:$A$503,_calc!$E$223))=0,"",INDEX('Our policies'!$A$4:$A$503,_calc!$E$223)),"COI – "&amp;IF(LEN(INDEX('Vendor COIs'!$A$4:$A$503,(_calc!$E$223-500)))=0,"",INDEX('Vendor COIs'!$A$4:$A$503,(_calc!$E$223-500)))&amp;" – "&amp;IF(LEN(INDEX('Vendor COIs'!$B$4:$B$503,(_calc!$E$223-500)))=0,"",INDEX('Vendor COIs'!$B$4:$B$503,(_calc!$E$223-500)))))</f>
        <v/>
      </c>
      <c r="B221" s="46">
        <f>IF(_calc!$E$223="","",IF(_calc!$E$223&lt;=500,IF(ISNUMBER(INDEX('Our policies'!$J$4:$J$503,_calc!$E$223)),TEXT(INDEX('Our policies'!$J$4:$J$503,_calc!$E$223),"yyyy-mm-dd"),""),IF(ISNUMBER(INDEX('Vendor COIs'!$H$4:$H$503,(_calc!$E$223-500))),TEXT(INDEX('Vendor COIs'!$H$4:$H$503,(_calc!$E$223-500)),"yyyy-mm-dd"),"")))</f>
        <v/>
      </c>
      <c r="C221" s="46">
        <f>IF(_calc!$E$223="","",IF(_calc!$E$223&lt;=500,"Insurance","Certificate of insurance"))</f>
        <v/>
      </c>
      <c r="D221" s="46">
        <f>IF(_calc!$E$223="","",IF(_calc!$E$223&lt;=500,IF(ISNUMBER(INDEX('Our policies'!$I$4:$I$503,_calc!$E$223)),TEXT(INDEX('Our policies'!$I$4:$I$503,_calc!$E$223),"yyyy-mm-dd"),""),""))</f>
        <v/>
      </c>
      <c r="E221" s="46">
        <f>IF(_calc!$E$223="","",IF(_calc!$E$223&lt;=500,IF(LEN(INDEX('Our policies'!$Q$4:$Q$503,_calc!$E$223))=0,"",INDEX('Our policies'!$Q$4:$Q$503,_calc!$E$223)),"Medium"))</f>
        <v/>
      </c>
      <c r="F221" s="46">
        <f>IF(_calc!$E$223="","",IF(_calc!$E$223&lt;=500,TRIM(IF(LEN(IF(LEN(INDEX('Our policies'!$B$4:$B$503,_calc!$E$223))=0,"",INDEX('Our policies'!$B$4:$B$503,_calc!$E$223)))=0,"","Cover: "&amp;IF(LEN(INDEX('Our policies'!$B$4:$B$503,_calc!$E$223))=0,"",INDEX('Our policies'!$B$4:$B$503,_calc!$E$223))&amp;". ")&amp;IF(LEN(IF(LEN(INDEX('Our policies'!$C$4:$C$503,_calc!$E$223))=0,"",INDEX('Our policies'!$C$4:$C$503,_calc!$E$223)))=0,"","Insurer: "&amp;IF(LEN(INDEX('Our policies'!$C$4:$C$503,_calc!$E$223))=0,"",INDEX('Our policies'!$C$4:$C$503,_calc!$E$223))&amp;". ")&amp;IF(LEN(IF(LEN(INDEX('Our policies'!$D$4:$D$503,_calc!$E$223))=0,"",INDEX('Our policies'!$D$4:$D$503,_calc!$E$223)))=0,"","Broker: "&amp;IF(LEN(INDEX('Our policies'!$D$4:$D$503,_calc!$E$223))=0,"",INDEX('Our policies'!$D$4:$D$503,_calc!$E$223))&amp;". ")&amp;IF(LEN(IF(LEN(INDEX('Our policies'!$E$4:$E$503,_calc!$E$223))=0,"",INDEX('Our policies'!$E$4:$E$503,_calc!$E$223)))=0,"","Policy no.: "&amp;IF(LEN(INDEX('Our policies'!$E$4:$E$503,_calc!$E$223))=0,"",INDEX('Our policies'!$E$4:$E$503,_calc!$E$223))&amp;". ")&amp;IF(LEN(IF(LEN(INDEX('Our policies'!$S$4:$S$503,_calc!$E$223))=0,"",INDEX('Our policies'!$S$4:$S$503,_calc!$E$223)))=0,"",IF(LEN(INDEX('Our policies'!$S$4:$S$503,_calc!$E$223))=0,"",INDEX('Our policies'!$S$4:$S$503,_calc!$E$223)))),TRIM(IF(LEN(IF(LEN(INDEX('Vendor COIs'!$C$4:$C$503,(_calc!$E$223-500)))=0,"",INDEX('Vendor COIs'!$C$4:$C$503,(_calc!$E$223-500))))=0,"","Insurer: "&amp;IF(LEN(INDEX('Vendor COIs'!$C$4:$C$503,(_calc!$E$223-500)))=0,"",INDEX('Vendor COIs'!$C$4:$C$503,(_calc!$E$223-500)))&amp;". ")&amp;IF(LEN(IF(LEN(INDEX('Vendor COIs'!$D$4:$D$503,(_calc!$E$223-500)))=0,"",INDEX('Vendor COIs'!$D$4:$D$503,(_calc!$E$223-500))))=0,"","Policy no.: "&amp;IF(LEN(INDEX('Vendor COIs'!$D$4:$D$503,(_calc!$E$223-500)))=0,"",INDEX('Vendor COIs'!$D$4:$D$503,(_calc!$E$223-500)))&amp;". ")&amp;IF(LEN(IF(LEN(INDEX('Vendor COIs'!$F$4:$F$503,(_calc!$E$223-500)))=0,"",INDEX('Vendor COIs'!$F$4:$F$503,(_calc!$E$223-500))))=0,"","Meets minimum: "&amp;IF(LEN(INDEX('Vendor COIs'!$F$4:$F$503,(_calc!$E$223-500)))=0,"",INDEX('Vendor COIs'!$F$4:$F$503,(_calc!$E$223-500)))&amp;". ")&amp;IF(LEN(IF(LEN(INDEX('Vendor COIs'!$G$4:$G$503,(_calc!$E$223-500)))=0,"",INDEX('Vendor COIs'!$G$4:$G$503,(_calc!$E$223-500))))=0,"","Additional insured: "&amp;IF(LEN(INDEX('Vendor COIs'!$G$4:$G$503,(_calc!$E$223-500)))=0,"",INDEX('Vendor COIs'!$G$4:$G$503,(_calc!$E$223-500)))&amp;". ")&amp;IF(LEN(IF(LEN(INDEX('Vendor COIs'!$M$4:$M$503,(_calc!$E$223-500)))=0,"",INDEX('Vendor COIs'!$M$4:$M$503,(_calc!$E$223-500))))=0,"","Vendor contact: "&amp;IF(LEN(INDEX('Vendor COIs'!$M$4:$M$503,(_calc!$E$223-500)))=0,"",INDEX('Vendor COIs'!$M$4:$M$503,(_calc!$E$223-500)))&amp;". ")&amp;IF(LEN(IF(LEN(INDEX('Vendor COIs'!$P$4:$P$503,(_calc!$E$223-500)))=0,"",INDEX('Vendor COIs'!$P$4:$P$503,(_calc!$E$223-500))))=0,"",IF(LEN(INDEX('Vendor COIs'!$P$4:$P$503,(_calc!$E$223-500)))=0,"",INDEX('Vendor COIs'!$P$4:$P$503,(_calc!$E$223-500)))))))</f>
        <v/>
      </c>
      <c r="G221" s="46">
        <f>IF(_calc!$E$223="","",IF(_calc!$E$223&lt;=500,IF(LEN(INDEX('Our policies'!$R$4:$R$503,_calc!$E$223))=0,"",INDEX('Our policies'!$R$4:$R$503,_calc!$E$223)),IF(LEN(INDEX('Vendor COIs'!$O$4:$O$503,(_calc!$E$223-500)))=0,"",INDEX('Vendor COIs'!$O$4:$O$503,(_calc!$E$223-500)))))</f>
        <v/>
      </c>
      <c r="H221" s="46">
        <f>IF(_calc!$E$223="","",IF(_calc!$E$223&lt;=500,IF(LEN(INDEX('Our policies'!$G$4:$G$503,_calc!$E$223))=0,"",INDEX('Our policies'!$G$4:$G$503,_calc!$E$223)),""))</f>
        <v/>
      </c>
      <c r="I221" s="46">
        <f>IF(_calc!$E$223="","",IF(_calc!$E$223&lt;=500,IF(LEN(INDEX('Our policies'!$H$4:$H$503,_calc!$E$223))=0,"",INDEX('Our policies'!$H$4:$H$503,_calc!$E$223)),""))</f>
        <v/>
      </c>
      <c r="K221" s="46">
        <f>IF(_calc!$E$223="","",IF(_calc!$E$223&lt;=500,IF(LEN(INDEX('Our policies'!$P$4:$P$503,_calc!$E$223))=0,"",INDEX('Our policies'!$P$4:$P$503,_calc!$E$223)),IF(LEN(INDEX('Vendor COIs'!$N$4:$N$503,(_calc!$E$223-500)))=0,"",INDEX('Vendor COIs'!$N$4:$N$503,(_calc!$E$223-500)))))</f>
        <v/>
      </c>
    </row>
    <row r="222">
      <c r="A222" s="46">
        <f>IF(_calc!$E$224="","",IF(_calc!$E$224&lt;=500,IF(LEN(INDEX('Our policies'!$A$4:$A$503,_calc!$E$224))=0,"",INDEX('Our policies'!$A$4:$A$503,_calc!$E$224)),"COI – "&amp;IF(LEN(INDEX('Vendor COIs'!$A$4:$A$503,(_calc!$E$224-500)))=0,"",INDEX('Vendor COIs'!$A$4:$A$503,(_calc!$E$224-500)))&amp;" – "&amp;IF(LEN(INDEX('Vendor COIs'!$B$4:$B$503,(_calc!$E$224-500)))=0,"",INDEX('Vendor COIs'!$B$4:$B$503,(_calc!$E$224-500)))))</f>
        <v/>
      </c>
      <c r="B222" s="46">
        <f>IF(_calc!$E$224="","",IF(_calc!$E$224&lt;=500,IF(ISNUMBER(INDEX('Our policies'!$J$4:$J$503,_calc!$E$224)),TEXT(INDEX('Our policies'!$J$4:$J$503,_calc!$E$224),"yyyy-mm-dd"),""),IF(ISNUMBER(INDEX('Vendor COIs'!$H$4:$H$503,(_calc!$E$224-500))),TEXT(INDEX('Vendor COIs'!$H$4:$H$503,(_calc!$E$224-500)),"yyyy-mm-dd"),"")))</f>
        <v/>
      </c>
      <c r="C222" s="46">
        <f>IF(_calc!$E$224="","",IF(_calc!$E$224&lt;=500,"Insurance","Certificate of insurance"))</f>
        <v/>
      </c>
      <c r="D222" s="46">
        <f>IF(_calc!$E$224="","",IF(_calc!$E$224&lt;=500,IF(ISNUMBER(INDEX('Our policies'!$I$4:$I$503,_calc!$E$224)),TEXT(INDEX('Our policies'!$I$4:$I$503,_calc!$E$224),"yyyy-mm-dd"),""),""))</f>
        <v/>
      </c>
      <c r="E222" s="46">
        <f>IF(_calc!$E$224="","",IF(_calc!$E$224&lt;=500,IF(LEN(INDEX('Our policies'!$Q$4:$Q$503,_calc!$E$224))=0,"",INDEX('Our policies'!$Q$4:$Q$503,_calc!$E$224)),"Medium"))</f>
        <v/>
      </c>
      <c r="F222" s="46">
        <f>IF(_calc!$E$224="","",IF(_calc!$E$224&lt;=500,TRIM(IF(LEN(IF(LEN(INDEX('Our policies'!$B$4:$B$503,_calc!$E$224))=0,"",INDEX('Our policies'!$B$4:$B$503,_calc!$E$224)))=0,"","Cover: "&amp;IF(LEN(INDEX('Our policies'!$B$4:$B$503,_calc!$E$224))=0,"",INDEX('Our policies'!$B$4:$B$503,_calc!$E$224))&amp;". ")&amp;IF(LEN(IF(LEN(INDEX('Our policies'!$C$4:$C$503,_calc!$E$224))=0,"",INDEX('Our policies'!$C$4:$C$503,_calc!$E$224)))=0,"","Insurer: "&amp;IF(LEN(INDEX('Our policies'!$C$4:$C$503,_calc!$E$224))=0,"",INDEX('Our policies'!$C$4:$C$503,_calc!$E$224))&amp;". ")&amp;IF(LEN(IF(LEN(INDEX('Our policies'!$D$4:$D$503,_calc!$E$224))=0,"",INDEX('Our policies'!$D$4:$D$503,_calc!$E$224)))=0,"","Broker: "&amp;IF(LEN(INDEX('Our policies'!$D$4:$D$503,_calc!$E$224))=0,"",INDEX('Our policies'!$D$4:$D$503,_calc!$E$224))&amp;". ")&amp;IF(LEN(IF(LEN(INDEX('Our policies'!$E$4:$E$503,_calc!$E$224))=0,"",INDEX('Our policies'!$E$4:$E$503,_calc!$E$224)))=0,"","Policy no.: "&amp;IF(LEN(INDEX('Our policies'!$E$4:$E$503,_calc!$E$224))=0,"",INDEX('Our policies'!$E$4:$E$503,_calc!$E$224))&amp;". ")&amp;IF(LEN(IF(LEN(INDEX('Our policies'!$S$4:$S$503,_calc!$E$224))=0,"",INDEX('Our policies'!$S$4:$S$503,_calc!$E$224)))=0,"",IF(LEN(INDEX('Our policies'!$S$4:$S$503,_calc!$E$224))=0,"",INDEX('Our policies'!$S$4:$S$503,_calc!$E$224)))),TRIM(IF(LEN(IF(LEN(INDEX('Vendor COIs'!$C$4:$C$503,(_calc!$E$224-500)))=0,"",INDEX('Vendor COIs'!$C$4:$C$503,(_calc!$E$224-500))))=0,"","Insurer: "&amp;IF(LEN(INDEX('Vendor COIs'!$C$4:$C$503,(_calc!$E$224-500)))=0,"",INDEX('Vendor COIs'!$C$4:$C$503,(_calc!$E$224-500)))&amp;". ")&amp;IF(LEN(IF(LEN(INDEX('Vendor COIs'!$D$4:$D$503,(_calc!$E$224-500)))=0,"",INDEX('Vendor COIs'!$D$4:$D$503,(_calc!$E$224-500))))=0,"","Policy no.: "&amp;IF(LEN(INDEX('Vendor COIs'!$D$4:$D$503,(_calc!$E$224-500)))=0,"",INDEX('Vendor COIs'!$D$4:$D$503,(_calc!$E$224-500)))&amp;". ")&amp;IF(LEN(IF(LEN(INDEX('Vendor COIs'!$F$4:$F$503,(_calc!$E$224-500)))=0,"",INDEX('Vendor COIs'!$F$4:$F$503,(_calc!$E$224-500))))=0,"","Meets minimum: "&amp;IF(LEN(INDEX('Vendor COIs'!$F$4:$F$503,(_calc!$E$224-500)))=0,"",INDEX('Vendor COIs'!$F$4:$F$503,(_calc!$E$224-500)))&amp;". ")&amp;IF(LEN(IF(LEN(INDEX('Vendor COIs'!$G$4:$G$503,(_calc!$E$224-500)))=0,"",INDEX('Vendor COIs'!$G$4:$G$503,(_calc!$E$224-500))))=0,"","Additional insured: "&amp;IF(LEN(INDEX('Vendor COIs'!$G$4:$G$503,(_calc!$E$224-500)))=0,"",INDEX('Vendor COIs'!$G$4:$G$503,(_calc!$E$224-500)))&amp;". ")&amp;IF(LEN(IF(LEN(INDEX('Vendor COIs'!$M$4:$M$503,(_calc!$E$224-500)))=0,"",INDEX('Vendor COIs'!$M$4:$M$503,(_calc!$E$224-500))))=0,"","Vendor contact: "&amp;IF(LEN(INDEX('Vendor COIs'!$M$4:$M$503,(_calc!$E$224-500)))=0,"",INDEX('Vendor COIs'!$M$4:$M$503,(_calc!$E$224-500)))&amp;". ")&amp;IF(LEN(IF(LEN(INDEX('Vendor COIs'!$P$4:$P$503,(_calc!$E$224-500)))=0,"",INDEX('Vendor COIs'!$P$4:$P$503,(_calc!$E$224-500))))=0,"",IF(LEN(INDEX('Vendor COIs'!$P$4:$P$503,(_calc!$E$224-500)))=0,"",INDEX('Vendor COIs'!$P$4:$P$503,(_calc!$E$224-500)))))))</f>
        <v/>
      </c>
      <c r="G222" s="46">
        <f>IF(_calc!$E$224="","",IF(_calc!$E$224&lt;=500,IF(LEN(INDEX('Our policies'!$R$4:$R$503,_calc!$E$224))=0,"",INDEX('Our policies'!$R$4:$R$503,_calc!$E$224)),IF(LEN(INDEX('Vendor COIs'!$O$4:$O$503,(_calc!$E$224-500)))=0,"",INDEX('Vendor COIs'!$O$4:$O$503,(_calc!$E$224-500)))))</f>
        <v/>
      </c>
      <c r="H222" s="46">
        <f>IF(_calc!$E$224="","",IF(_calc!$E$224&lt;=500,IF(LEN(INDEX('Our policies'!$G$4:$G$503,_calc!$E$224))=0,"",INDEX('Our policies'!$G$4:$G$503,_calc!$E$224)),""))</f>
        <v/>
      </c>
      <c r="I222" s="46">
        <f>IF(_calc!$E$224="","",IF(_calc!$E$224&lt;=500,IF(LEN(INDEX('Our policies'!$H$4:$H$503,_calc!$E$224))=0,"",INDEX('Our policies'!$H$4:$H$503,_calc!$E$224)),""))</f>
        <v/>
      </c>
      <c r="K222" s="46">
        <f>IF(_calc!$E$224="","",IF(_calc!$E$224&lt;=500,IF(LEN(INDEX('Our policies'!$P$4:$P$503,_calc!$E$224))=0,"",INDEX('Our policies'!$P$4:$P$503,_calc!$E$224)),IF(LEN(INDEX('Vendor COIs'!$N$4:$N$503,(_calc!$E$224-500)))=0,"",INDEX('Vendor COIs'!$N$4:$N$503,(_calc!$E$224-500)))))</f>
        <v/>
      </c>
    </row>
    <row r="223">
      <c r="A223" s="46">
        <f>IF(_calc!$E$225="","",IF(_calc!$E$225&lt;=500,IF(LEN(INDEX('Our policies'!$A$4:$A$503,_calc!$E$225))=0,"",INDEX('Our policies'!$A$4:$A$503,_calc!$E$225)),"COI – "&amp;IF(LEN(INDEX('Vendor COIs'!$A$4:$A$503,(_calc!$E$225-500)))=0,"",INDEX('Vendor COIs'!$A$4:$A$503,(_calc!$E$225-500)))&amp;" – "&amp;IF(LEN(INDEX('Vendor COIs'!$B$4:$B$503,(_calc!$E$225-500)))=0,"",INDEX('Vendor COIs'!$B$4:$B$503,(_calc!$E$225-500)))))</f>
        <v/>
      </c>
      <c r="B223" s="46">
        <f>IF(_calc!$E$225="","",IF(_calc!$E$225&lt;=500,IF(ISNUMBER(INDEX('Our policies'!$J$4:$J$503,_calc!$E$225)),TEXT(INDEX('Our policies'!$J$4:$J$503,_calc!$E$225),"yyyy-mm-dd"),""),IF(ISNUMBER(INDEX('Vendor COIs'!$H$4:$H$503,(_calc!$E$225-500))),TEXT(INDEX('Vendor COIs'!$H$4:$H$503,(_calc!$E$225-500)),"yyyy-mm-dd"),"")))</f>
        <v/>
      </c>
      <c r="C223" s="46">
        <f>IF(_calc!$E$225="","",IF(_calc!$E$225&lt;=500,"Insurance","Certificate of insurance"))</f>
        <v/>
      </c>
      <c r="D223" s="46">
        <f>IF(_calc!$E$225="","",IF(_calc!$E$225&lt;=500,IF(ISNUMBER(INDEX('Our policies'!$I$4:$I$503,_calc!$E$225)),TEXT(INDEX('Our policies'!$I$4:$I$503,_calc!$E$225),"yyyy-mm-dd"),""),""))</f>
        <v/>
      </c>
      <c r="E223" s="46">
        <f>IF(_calc!$E$225="","",IF(_calc!$E$225&lt;=500,IF(LEN(INDEX('Our policies'!$Q$4:$Q$503,_calc!$E$225))=0,"",INDEX('Our policies'!$Q$4:$Q$503,_calc!$E$225)),"Medium"))</f>
        <v/>
      </c>
      <c r="F223" s="46">
        <f>IF(_calc!$E$225="","",IF(_calc!$E$225&lt;=500,TRIM(IF(LEN(IF(LEN(INDEX('Our policies'!$B$4:$B$503,_calc!$E$225))=0,"",INDEX('Our policies'!$B$4:$B$503,_calc!$E$225)))=0,"","Cover: "&amp;IF(LEN(INDEX('Our policies'!$B$4:$B$503,_calc!$E$225))=0,"",INDEX('Our policies'!$B$4:$B$503,_calc!$E$225))&amp;". ")&amp;IF(LEN(IF(LEN(INDEX('Our policies'!$C$4:$C$503,_calc!$E$225))=0,"",INDEX('Our policies'!$C$4:$C$503,_calc!$E$225)))=0,"","Insurer: "&amp;IF(LEN(INDEX('Our policies'!$C$4:$C$503,_calc!$E$225))=0,"",INDEX('Our policies'!$C$4:$C$503,_calc!$E$225))&amp;". ")&amp;IF(LEN(IF(LEN(INDEX('Our policies'!$D$4:$D$503,_calc!$E$225))=0,"",INDEX('Our policies'!$D$4:$D$503,_calc!$E$225)))=0,"","Broker: "&amp;IF(LEN(INDEX('Our policies'!$D$4:$D$503,_calc!$E$225))=0,"",INDEX('Our policies'!$D$4:$D$503,_calc!$E$225))&amp;". ")&amp;IF(LEN(IF(LEN(INDEX('Our policies'!$E$4:$E$503,_calc!$E$225))=0,"",INDEX('Our policies'!$E$4:$E$503,_calc!$E$225)))=0,"","Policy no.: "&amp;IF(LEN(INDEX('Our policies'!$E$4:$E$503,_calc!$E$225))=0,"",INDEX('Our policies'!$E$4:$E$503,_calc!$E$225))&amp;". ")&amp;IF(LEN(IF(LEN(INDEX('Our policies'!$S$4:$S$503,_calc!$E$225))=0,"",INDEX('Our policies'!$S$4:$S$503,_calc!$E$225)))=0,"",IF(LEN(INDEX('Our policies'!$S$4:$S$503,_calc!$E$225))=0,"",INDEX('Our policies'!$S$4:$S$503,_calc!$E$225)))),TRIM(IF(LEN(IF(LEN(INDEX('Vendor COIs'!$C$4:$C$503,(_calc!$E$225-500)))=0,"",INDEX('Vendor COIs'!$C$4:$C$503,(_calc!$E$225-500))))=0,"","Insurer: "&amp;IF(LEN(INDEX('Vendor COIs'!$C$4:$C$503,(_calc!$E$225-500)))=0,"",INDEX('Vendor COIs'!$C$4:$C$503,(_calc!$E$225-500)))&amp;". ")&amp;IF(LEN(IF(LEN(INDEX('Vendor COIs'!$D$4:$D$503,(_calc!$E$225-500)))=0,"",INDEX('Vendor COIs'!$D$4:$D$503,(_calc!$E$225-500))))=0,"","Policy no.: "&amp;IF(LEN(INDEX('Vendor COIs'!$D$4:$D$503,(_calc!$E$225-500)))=0,"",INDEX('Vendor COIs'!$D$4:$D$503,(_calc!$E$225-500)))&amp;". ")&amp;IF(LEN(IF(LEN(INDEX('Vendor COIs'!$F$4:$F$503,(_calc!$E$225-500)))=0,"",INDEX('Vendor COIs'!$F$4:$F$503,(_calc!$E$225-500))))=0,"","Meets minimum: "&amp;IF(LEN(INDEX('Vendor COIs'!$F$4:$F$503,(_calc!$E$225-500)))=0,"",INDEX('Vendor COIs'!$F$4:$F$503,(_calc!$E$225-500)))&amp;". ")&amp;IF(LEN(IF(LEN(INDEX('Vendor COIs'!$G$4:$G$503,(_calc!$E$225-500)))=0,"",INDEX('Vendor COIs'!$G$4:$G$503,(_calc!$E$225-500))))=0,"","Additional insured: "&amp;IF(LEN(INDEX('Vendor COIs'!$G$4:$G$503,(_calc!$E$225-500)))=0,"",INDEX('Vendor COIs'!$G$4:$G$503,(_calc!$E$225-500)))&amp;". ")&amp;IF(LEN(IF(LEN(INDEX('Vendor COIs'!$M$4:$M$503,(_calc!$E$225-500)))=0,"",INDEX('Vendor COIs'!$M$4:$M$503,(_calc!$E$225-500))))=0,"","Vendor contact: "&amp;IF(LEN(INDEX('Vendor COIs'!$M$4:$M$503,(_calc!$E$225-500)))=0,"",INDEX('Vendor COIs'!$M$4:$M$503,(_calc!$E$225-500)))&amp;". ")&amp;IF(LEN(IF(LEN(INDEX('Vendor COIs'!$P$4:$P$503,(_calc!$E$225-500)))=0,"",INDEX('Vendor COIs'!$P$4:$P$503,(_calc!$E$225-500))))=0,"",IF(LEN(INDEX('Vendor COIs'!$P$4:$P$503,(_calc!$E$225-500)))=0,"",INDEX('Vendor COIs'!$P$4:$P$503,(_calc!$E$225-500)))))))</f>
        <v/>
      </c>
      <c r="G223" s="46">
        <f>IF(_calc!$E$225="","",IF(_calc!$E$225&lt;=500,IF(LEN(INDEX('Our policies'!$R$4:$R$503,_calc!$E$225))=0,"",INDEX('Our policies'!$R$4:$R$503,_calc!$E$225)),IF(LEN(INDEX('Vendor COIs'!$O$4:$O$503,(_calc!$E$225-500)))=0,"",INDEX('Vendor COIs'!$O$4:$O$503,(_calc!$E$225-500)))))</f>
        <v/>
      </c>
      <c r="H223" s="46">
        <f>IF(_calc!$E$225="","",IF(_calc!$E$225&lt;=500,IF(LEN(INDEX('Our policies'!$G$4:$G$503,_calc!$E$225))=0,"",INDEX('Our policies'!$G$4:$G$503,_calc!$E$225)),""))</f>
        <v/>
      </c>
      <c r="I223" s="46">
        <f>IF(_calc!$E$225="","",IF(_calc!$E$225&lt;=500,IF(LEN(INDEX('Our policies'!$H$4:$H$503,_calc!$E$225))=0,"",INDEX('Our policies'!$H$4:$H$503,_calc!$E$225)),""))</f>
        <v/>
      </c>
      <c r="K223" s="46">
        <f>IF(_calc!$E$225="","",IF(_calc!$E$225&lt;=500,IF(LEN(INDEX('Our policies'!$P$4:$P$503,_calc!$E$225))=0,"",INDEX('Our policies'!$P$4:$P$503,_calc!$E$225)),IF(LEN(INDEX('Vendor COIs'!$N$4:$N$503,(_calc!$E$225-500)))=0,"",INDEX('Vendor COIs'!$N$4:$N$503,(_calc!$E$225-500)))))</f>
        <v/>
      </c>
    </row>
    <row r="224">
      <c r="A224" s="46">
        <f>IF(_calc!$E$226="","",IF(_calc!$E$226&lt;=500,IF(LEN(INDEX('Our policies'!$A$4:$A$503,_calc!$E$226))=0,"",INDEX('Our policies'!$A$4:$A$503,_calc!$E$226)),"COI – "&amp;IF(LEN(INDEX('Vendor COIs'!$A$4:$A$503,(_calc!$E$226-500)))=0,"",INDEX('Vendor COIs'!$A$4:$A$503,(_calc!$E$226-500)))&amp;" – "&amp;IF(LEN(INDEX('Vendor COIs'!$B$4:$B$503,(_calc!$E$226-500)))=0,"",INDEX('Vendor COIs'!$B$4:$B$503,(_calc!$E$226-500)))))</f>
        <v/>
      </c>
      <c r="B224" s="46">
        <f>IF(_calc!$E$226="","",IF(_calc!$E$226&lt;=500,IF(ISNUMBER(INDEX('Our policies'!$J$4:$J$503,_calc!$E$226)),TEXT(INDEX('Our policies'!$J$4:$J$503,_calc!$E$226),"yyyy-mm-dd"),""),IF(ISNUMBER(INDEX('Vendor COIs'!$H$4:$H$503,(_calc!$E$226-500))),TEXT(INDEX('Vendor COIs'!$H$4:$H$503,(_calc!$E$226-500)),"yyyy-mm-dd"),"")))</f>
        <v/>
      </c>
      <c r="C224" s="46">
        <f>IF(_calc!$E$226="","",IF(_calc!$E$226&lt;=500,"Insurance","Certificate of insurance"))</f>
        <v/>
      </c>
      <c r="D224" s="46">
        <f>IF(_calc!$E$226="","",IF(_calc!$E$226&lt;=500,IF(ISNUMBER(INDEX('Our policies'!$I$4:$I$503,_calc!$E$226)),TEXT(INDEX('Our policies'!$I$4:$I$503,_calc!$E$226),"yyyy-mm-dd"),""),""))</f>
        <v/>
      </c>
      <c r="E224" s="46">
        <f>IF(_calc!$E$226="","",IF(_calc!$E$226&lt;=500,IF(LEN(INDEX('Our policies'!$Q$4:$Q$503,_calc!$E$226))=0,"",INDEX('Our policies'!$Q$4:$Q$503,_calc!$E$226)),"Medium"))</f>
        <v/>
      </c>
      <c r="F224" s="46">
        <f>IF(_calc!$E$226="","",IF(_calc!$E$226&lt;=500,TRIM(IF(LEN(IF(LEN(INDEX('Our policies'!$B$4:$B$503,_calc!$E$226))=0,"",INDEX('Our policies'!$B$4:$B$503,_calc!$E$226)))=0,"","Cover: "&amp;IF(LEN(INDEX('Our policies'!$B$4:$B$503,_calc!$E$226))=0,"",INDEX('Our policies'!$B$4:$B$503,_calc!$E$226))&amp;". ")&amp;IF(LEN(IF(LEN(INDEX('Our policies'!$C$4:$C$503,_calc!$E$226))=0,"",INDEX('Our policies'!$C$4:$C$503,_calc!$E$226)))=0,"","Insurer: "&amp;IF(LEN(INDEX('Our policies'!$C$4:$C$503,_calc!$E$226))=0,"",INDEX('Our policies'!$C$4:$C$503,_calc!$E$226))&amp;". ")&amp;IF(LEN(IF(LEN(INDEX('Our policies'!$D$4:$D$503,_calc!$E$226))=0,"",INDEX('Our policies'!$D$4:$D$503,_calc!$E$226)))=0,"","Broker: "&amp;IF(LEN(INDEX('Our policies'!$D$4:$D$503,_calc!$E$226))=0,"",INDEX('Our policies'!$D$4:$D$503,_calc!$E$226))&amp;". ")&amp;IF(LEN(IF(LEN(INDEX('Our policies'!$E$4:$E$503,_calc!$E$226))=0,"",INDEX('Our policies'!$E$4:$E$503,_calc!$E$226)))=0,"","Policy no.: "&amp;IF(LEN(INDEX('Our policies'!$E$4:$E$503,_calc!$E$226))=0,"",INDEX('Our policies'!$E$4:$E$503,_calc!$E$226))&amp;". ")&amp;IF(LEN(IF(LEN(INDEX('Our policies'!$S$4:$S$503,_calc!$E$226))=0,"",INDEX('Our policies'!$S$4:$S$503,_calc!$E$226)))=0,"",IF(LEN(INDEX('Our policies'!$S$4:$S$503,_calc!$E$226))=0,"",INDEX('Our policies'!$S$4:$S$503,_calc!$E$226)))),TRIM(IF(LEN(IF(LEN(INDEX('Vendor COIs'!$C$4:$C$503,(_calc!$E$226-500)))=0,"",INDEX('Vendor COIs'!$C$4:$C$503,(_calc!$E$226-500))))=0,"","Insurer: "&amp;IF(LEN(INDEX('Vendor COIs'!$C$4:$C$503,(_calc!$E$226-500)))=0,"",INDEX('Vendor COIs'!$C$4:$C$503,(_calc!$E$226-500)))&amp;". ")&amp;IF(LEN(IF(LEN(INDEX('Vendor COIs'!$D$4:$D$503,(_calc!$E$226-500)))=0,"",INDEX('Vendor COIs'!$D$4:$D$503,(_calc!$E$226-500))))=0,"","Policy no.: "&amp;IF(LEN(INDEX('Vendor COIs'!$D$4:$D$503,(_calc!$E$226-500)))=0,"",INDEX('Vendor COIs'!$D$4:$D$503,(_calc!$E$226-500)))&amp;". ")&amp;IF(LEN(IF(LEN(INDEX('Vendor COIs'!$F$4:$F$503,(_calc!$E$226-500)))=0,"",INDEX('Vendor COIs'!$F$4:$F$503,(_calc!$E$226-500))))=0,"","Meets minimum: "&amp;IF(LEN(INDEX('Vendor COIs'!$F$4:$F$503,(_calc!$E$226-500)))=0,"",INDEX('Vendor COIs'!$F$4:$F$503,(_calc!$E$226-500)))&amp;". ")&amp;IF(LEN(IF(LEN(INDEX('Vendor COIs'!$G$4:$G$503,(_calc!$E$226-500)))=0,"",INDEX('Vendor COIs'!$G$4:$G$503,(_calc!$E$226-500))))=0,"","Additional insured: "&amp;IF(LEN(INDEX('Vendor COIs'!$G$4:$G$503,(_calc!$E$226-500)))=0,"",INDEX('Vendor COIs'!$G$4:$G$503,(_calc!$E$226-500)))&amp;". ")&amp;IF(LEN(IF(LEN(INDEX('Vendor COIs'!$M$4:$M$503,(_calc!$E$226-500)))=0,"",INDEX('Vendor COIs'!$M$4:$M$503,(_calc!$E$226-500))))=0,"","Vendor contact: "&amp;IF(LEN(INDEX('Vendor COIs'!$M$4:$M$503,(_calc!$E$226-500)))=0,"",INDEX('Vendor COIs'!$M$4:$M$503,(_calc!$E$226-500)))&amp;". ")&amp;IF(LEN(IF(LEN(INDEX('Vendor COIs'!$P$4:$P$503,(_calc!$E$226-500)))=0,"",INDEX('Vendor COIs'!$P$4:$P$503,(_calc!$E$226-500))))=0,"",IF(LEN(INDEX('Vendor COIs'!$P$4:$P$503,(_calc!$E$226-500)))=0,"",INDEX('Vendor COIs'!$P$4:$P$503,(_calc!$E$226-500)))))))</f>
        <v/>
      </c>
      <c r="G224" s="46">
        <f>IF(_calc!$E$226="","",IF(_calc!$E$226&lt;=500,IF(LEN(INDEX('Our policies'!$R$4:$R$503,_calc!$E$226))=0,"",INDEX('Our policies'!$R$4:$R$503,_calc!$E$226)),IF(LEN(INDEX('Vendor COIs'!$O$4:$O$503,(_calc!$E$226-500)))=0,"",INDEX('Vendor COIs'!$O$4:$O$503,(_calc!$E$226-500)))))</f>
        <v/>
      </c>
      <c r="H224" s="46">
        <f>IF(_calc!$E$226="","",IF(_calc!$E$226&lt;=500,IF(LEN(INDEX('Our policies'!$G$4:$G$503,_calc!$E$226))=0,"",INDEX('Our policies'!$G$4:$G$503,_calc!$E$226)),""))</f>
        <v/>
      </c>
      <c r="I224" s="46">
        <f>IF(_calc!$E$226="","",IF(_calc!$E$226&lt;=500,IF(LEN(INDEX('Our policies'!$H$4:$H$503,_calc!$E$226))=0,"",INDEX('Our policies'!$H$4:$H$503,_calc!$E$226)),""))</f>
        <v/>
      </c>
      <c r="K224" s="46">
        <f>IF(_calc!$E$226="","",IF(_calc!$E$226&lt;=500,IF(LEN(INDEX('Our policies'!$P$4:$P$503,_calc!$E$226))=0,"",INDEX('Our policies'!$P$4:$P$503,_calc!$E$226)),IF(LEN(INDEX('Vendor COIs'!$N$4:$N$503,(_calc!$E$226-500)))=0,"",INDEX('Vendor COIs'!$N$4:$N$503,(_calc!$E$226-500)))))</f>
        <v/>
      </c>
    </row>
    <row r="225">
      <c r="A225" s="46">
        <f>IF(_calc!$E$227="","",IF(_calc!$E$227&lt;=500,IF(LEN(INDEX('Our policies'!$A$4:$A$503,_calc!$E$227))=0,"",INDEX('Our policies'!$A$4:$A$503,_calc!$E$227)),"COI – "&amp;IF(LEN(INDEX('Vendor COIs'!$A$4:$A$503,(_calc!$E$227-500)))=0,"",INDEX('Vendor COIs'!$A$4:$A$503,(_calc!$E$227-500)))&amp;" – "&amp;IF(LEN(INDEX('Vendor COIs'!$B$4:$B$503,(_calc!$E$227-500)))=0,"",INDEX('Vendor COIs'!$B$4:$B$503,(_calc!$E$227-500)))))</f>
        <v/>
      </c>
      <c r="B225" s="46">
        <f>IF(_calc!$E$227="","",IF(_calc!$E$227&lt;=500,IF(ISNUMBER(INDEX('Our policies'!$J$4:$J$503,_calc!$E$227)),TEXT(INDEX('Our policies'!$J$4:$J$503,_calc!$E$227),"yyyy-mm-dd"),""),IF(ISNUMBER(INDEX('Vendor COIs'!$H$4:$H$503,(_calc!$E$227-500))),TEXT(INDEX('Vendor COIs'!$H$4:$H$503,(_calc!$E$227-500)),"yyyy-mm-dd"),"")))</f>
        <v/>
      </c>
      <c r="C225" s="46">
        <f>IF(_calc!$E$227="","",IF(_calc!$E$227&lt;=500,"Insurance","Certificate of insurance"))</f>
        <v/>
      </c>
      <c r="D225" s="46">
        <f>IF(_calc!$E$227="","",IF(_calc!$E$227&lt;=500,IF(ISNUMBER(INDEX('Our policies'!$I$4:$I$503,_calc!$E$227)),TEXT(INDEX('Our policies'!$I$4:$I$503,_calc!$E$227),"yyyy-mm-dd"),""),""))</f>
        <v/>
      </c>
      <c r="E225" s="46">
        <f>IF(_calc!$E$227="","",IF(_calc!$E$227&lt;=500,IF(LEN(INDEX('Our policies'!$Q$4:$Q$503,_calc!$E$227))=0,"",INDEX('Our policies'!$Q$4:$Q$503,_calc!$E$227)),"Medium"))</f>
        <v/>
      </c>
      <c r="F225" s="46">
        <f>IF(_calc!$E$227="","",IF(_calc!$E$227&lt;=500,TRIM(IF(LEN(IF(LEN(INDEX('Our policies'!$B$4:$B$503,_calc!$E$227))=0,"",INDEX('Our policies'!$B$4:$B$503,_calc!$E$227)))=0,"","Cover: "&amp;IF(LEN(INDEX('Our policies'!$B$4:$B$503,_calc!$E$227))=0,"",INDEX('Our policies'!$B$4:$B$503,_calc!$E$227))&amp;". ")&amp;IF(LEN(IF(LEN(INDEX('Our policies'!$C$4:$C$503,_calc!$E$227))=0,"",INDEX('Our policies'!$C$4:$C$503,_calc!$E$227)))=0,"","Insurer: "&amp;IF(LEN(INDEX('Our policies'!$C$4:$C$503,_calc!$E$227))=0,"",INDEX('Our policies'!$C$4:$C$503,_calc!$E$227))&amp;". ")&amp;IF(LEN(IF(LEN(INDEX('Our policies'!$D$4:$D$503,_calc!$E$227))=0,"",INDEX('Our policies'!$D$4:$D$503,_calc!$E$227)))=0,"","Broker: "&amp;IF(LEN(INDEX('Our policies'!$D$4:$D$503,_calc!$E$227))=0,"",INDEX('Our policies'!$D$4:$D$503,_calc!$E$227))&amp;". ")&amp;IF(LEN(IF(LEN(INDEX('Our policies'!$E$4:$E$503,_calc!$E$227))=0,"",INDEX('Our policies'!$E$4:$E$503,_calc!$E$227)))=0,"","Policy no.: "&amp;IF(LEN(INDEX('Our policies'!$E$4:$E$503,_calc!$E$227))=0,"",INDEX('Our policies'!$E$4:$E$503,_calc!$E$227))&amp;". ")&amp;IF(LEN(IF(LEN(INDEX('Our policies'!$S$4:$S$503,_calc!$E$227))=0,"",INDEX('Our policies'!$S$4:$S$503,_calc!$E$227)))=0,"",IF(LEN(INDEX('Our policies'!$S$4:$S$503,_calc!$E$227))=0,"",INDEX('Our policies'!$S$4:$S$503,_calc!$E$227)))),TRIM(IF(LEN(IF(LEN(INDEX('Vendor COIs'!$C$4:$C$503,(_calc!$E$227-500)))=0,"",INDEX('Vendor COIs'!$C$4:$C$503,(_calc!$E$227-500))))=0,"","Insurer: "&amp;IF(LEN(INDEX('Vendor COIs'!$C$4:$C$503,(_calc!$E$227-500)))=0,"",INDEX('Vendor COIs'!$C$4:$C$503,(_calc!$E$227-500)))&amp;". ")&amp;IF(LEN(IF(LEN(INDEX('Vendor COIs'!$D$4:$D$503,(_calc!$E$227-500)))=0,"",INDEX('Vendor COIs'!$D$4:$D$503,(_calc!$E$227-500))))=0,"","Policy no.: "&amp;IF(LEN(INDEX('Vendor COIs'!$D$4:$D$503,(_calc!$E$227-500)))=0,"",INDEX('Vendor COIs'!$D$4:$D$503,(_calc!$E$227-500)))&amp;". ")&amp;IF(LEN(IF(LEN(INDEX('Vendor COIs'!$F$4:$F$503,(_calc!$E$227-500)))=0,"",INDEX('Vendor COIs'!$F$4:$F$503,(_calc!$E$227-500))))=0,"","Meets minimum: "&amp;IF(LEN(INDEX('Vendor COIs'!$F$4:$F$503,(_calc!$E$227-500)))=0,"",INDEX('Vendor COIs'!$F$4:$F$503,(_calc!$E$227-500)))&amp;". ")&amp;IF(LEN(IF(LEN(INDEX('Vendor COIs'!$G$4:$G$503,(_calc!$E$227-500)))=0,"",INDEX('Vendor COIs'!$G$4:$G$503,(_calc!$E$227-500))))=0,"","Additional insured: "&amp;IF(LEN(INDEX('Vendor COIs'!$G$4:$G$503,(_calc!$E$227-500)))=0,"",INDEX('Vendor COIs'!$G$4:$G$503,(_calc!$E$227-500)))&amp;". ")&amp;IF(LEN(IF(LEN(INDEX('Vendor COIs'!$M$4:$M$503,(_calc!$E$227-500)))=0,"",INDEX('Vendor COIs'!$M$4:$M$503,(_calc!$E$227-500))))=0,"","Vendor contact: "&amp;IF(LEN(INDEX('Vendor COIs'!$M$4:$M$503,(_calc!$E$227-500)))=0,"",INDEX('Vendor COIs'!$M$4:$M$503,(_calc!$E$227-500)))&amp;". ")&amp;IF(LEN(IF(LEN(INDEX('Vendor COIs'!$P$4:$P$503,(_calc!$E$227-500)))=0,"",INDEX('Vendor COIs'!$P$4:$P$503,(_calc!$E$227-500))))=0,"",IF(LEN(INDEX('Vendor COIs'!$P$4:$P$503,(_calc!$E$227-500)))=0,"",INDEX('Vendor COIs'!$P$4:$P$503,(_calc!$E$227-500)))))))</f>
        <v/>
      </c>
      <c r="G225" s="46">
        <f>IF(_calc!$E$227="","",IF(_calc!$E$227&lt;=500,IF(LEN(INDEX('Our policies'!$R$4:$R$503,_calc!$E$227))=0,"",INDEX('Our policies'!$R$4:$R$503,_calc!$E$227)),IF(LEN(INDEX('Vendor COIs'!$O$4:$O$503,(_calc!$E$227-500)))=0,"",INDEX('Vendor COIs'!$O$4:$O$503,(_calc!$E$227-500)))))</f>
        <v/>
      </c>
      <c r="H225" s="46">
        <f>IF(_calc!$E$227="","",IF(_calc!$E$227&lt;=500,IF(LEN(INDEX('Our policies'!$G$4:$G$503,_calc!$E$227))=0,"",INDEX('Our policies'!$G$4:$G$503,_calc!$E$227)),""))</f>
        <v/>
      </c>
      <c r="I225" s="46">
        <f>IF(_calc!$E$227="","",IF(_calc!$E$227&lt;=500,IF(LEN(INDEX('Our policies'!$H$4:$H$503,_calc!$E$227))=0,"",INDEX('Our policies'!$H$4:$H$503,_calc!$E$227)),""))</f>
        <v/>
      </c>
      <c r="K225" s="46">
        <f>IF(_calc!$E$227="","",IF(_calc!$E$227&lt;=500,IF(LEN(INDEX('Our policies'!$P$4:$P$503,_calc!$E$227))=0,"",INDEX('Our policies'!$P$4:$P$503,_calc!$E$227)),IF(LEN(INDEX('Vendor COIs'!$N$4:$N$503,(_calc!$E$227-500)))=0,"",INDEX('Vendor COIs'!$N$4:$N$503,(_calc!$E$227-500)))))</f>
        <v/>
      </c>
    </row>
    <row r="226">
      <c r="A226" s="46">
        <f>IF(_calc!$E$228="","",IF(_calc!$E$228&lt;=500,IF(LEN(INDEX('Our policies'!$A$4:$A$503,_calc!$E$228))=0,"",INDEX('Our policies'!$A$4:$A$503,_calc!$E$228)),"COI – "&amp;IF(LEN(INDEX('Vendor COIs'!$A$4:$A$503,(_calc!$E$228-500)))=0,"",INDEX('Vendor COIs'!$A$4:$A$503,(_calc!$E$228-500)))&amp;" – "&amp;IF(LEN(INDEX('Vendor COIs'!$B$4:$B$503,(_calc!$E$228-500)))=0,"",INDEX('Vendor COIs'!$B$4:$B$503,(_calc!$E$228-500)))))</f>
        <v/>
      </c>
      <c r="B226" s="46">
        <f>IF(_calc!$E$228="","",IF(_calc!$E$228&lt;=500,IF(ISNUMBER(INDEX('Our policies'!$J$4:$J$503,_calc!$E$228)),TEXT(INDEX('Our policies'!$J$4:$J$503,_calc!$E$228),"yyyy-mm-dd"),""),IF(ISNUMBER(INDEX('Vendor COIs'!$H$4:$H$503,(_calc!$E$228-500))),TEXT(INDEX('Vendor COIs'!$H$4:$H$503,(_calc!$E$228-500)),"yyyy-mm-dd"),"")))</f>
        <v/>
      </c>
      <c r="C226" s="46">
        <f>IF(_calc!$E$228="","",IF(_calc!$E$228&lt;=500,"Insurance","Certificate of insurance"))</f>
        <v/>
      </c>
      <c r="D226" s="46">
        <f>IF(_calc!$E$228="","",IF(_calc!$E$228&lt;=500,IF(ISNUMBER(INDEX('Our policies'!$I$4:$I$503,_calc!$E$228)),TEXT(INDEX('Our policies'!$I$4:$I$503,_calc!$E$228),"yyyy-mm-dd"),""),""))</f>
        <v/>
      </c>
      <c r="E226" s="46">
        <f>IF(_calc!$E$228="","",IF(_calc!$E$228&lt;=500,IF(LEN(INDEX('Our policies'!$Q$4:$Q$503,_calc!$E$228))=0,"",INDEX('Our policies'!$Q$4:$Q$503,_calc!$E$228)),"Medium"))</f>
        <v/>
      </c>
      <c r="F226" s="46">
        <f>IF(_calc!$E$228="","",IF(_calc!$E$228&lt;=500,TRIM(IF(LEN(IF(LEN(INDEX('Our policies'!$B$4:$B$503,_calc!$E$228))=0,"",INDEX('Our policies'!$B$4:$B$503,_calc!$E$228)))=0,"","Cover: "&amp;IF(LEN(INDEX('Our policies'!$B$4:$B$503,_calc!$E$228))=0,"",INDEX('Our policies'!$B$4:$B$503,_calc!$E$228))&amp;". ")&amp;IF(LEN(IF(LEN(INDEX('Our policies'!$C$4:$C$503,_calc!$E$228))=0,"",INDEX('Our policies'!$C$4:$C$503,_calc!$E$228)))=0,"","Insurer: "&amp;IF(LEN(INDEX('Our policies'!$C$4:$C$503,_calc!$E$228))=0,"",INDEX('Our policies'!$C$4:$C$503,_calc!$E$228))&amp;". ")&amp;IF(LEN(IF(LEN(INDEX('Our policies'!$D$4:$D$503,_calc!$E$228))=0,"",INDEX('Our policies'!$D$4:$D$503,_calc!$E$228)))=0,"","Broker: "&amp;IF(LEN(INDEX('Our policies'!$D$4:$D$503,_calc!$E$228))=0,"",INDEX('Our policies'!$D$4:$D$503,_calc!$E$228))&amp;". ")&amp;IF(LEN(IF(LEN(INDEX('Our policies'!$E$4:$E$503,_calc!$E$228))=0,"",INDEX('Our policies'!$E$4:$E$503,_calc!$E$228)))=0,"","Policy no.: "&amp;IF(LEN(INDEX('Our policies'!$E$4:$E$503,_calc!$E$228))=0,"",INDEX('Our policies'!$E$4:$E$503,_calc!$E$228))&amp;". ")&amp;IF(LEN(IF(LEN(INDEX('Our policies'!$S$4:$S$503,_calc!$E$228))=0,"",INDEX('Our policies'!$S$4:$S$503,_calc!$E$228)))=0,"",IF(LEN(INDEX('Our policies'!$S$4:$S$503,_calc!$E$228))=0,"",INDEX('Our policies'!$S$4:$S$503,_calc!$E$228)))),TRIM(IF(LEN(IF(LEN(INDEX('Vendor COIs'!$C$4:$C$503,(_calc!$E$228-500)))=0,"",INDEX('Vendor COIs'!$C$4:$C$503,(_calc!$E$228-500))))=0,"","Insurer: "&amp;IF(LEN(INDEX('Vendor COIs'!$C$4:$C$503,(_calc!$E$228-500)))=0,"",INDEX('Vendor COIs'!$C$4:$C$503,(_calc!$E$228-500)))&amp;". ")&amp;IF(LEN(IF(LEN(INDEX('Vendor COIs'!$D$4:$D$503,(_calc!$E$228-500)))=0,"",INDEX('Vendor COIs'!$D$4:$D$503,(_calc!$E$228-500))))=0,"","Policy no.: "&amp;IF(LEN(INDEX('Vendor COIs'!$D$4:$D$503,(_calc!$E$228-500)))=0,"",INDEX('Vendor COIs'!$D$4:$D$503,(_calc!$E$228-500)))&amp;". ")&amp;IF(LEN(IF(LEN(INDEX('Vendor COIs'!$F$4:$F$503,(_calc!$E$228-500)))=0,"",INDEX('Vendor COIs'!$F$4:$F$503,(_calc!$E$228-500))))=0,"","Meets minimum: "&amp;IF(LEN(INDEX('Vendor COIs'!$F$4:$F$503,(_calc!$E$228-500)))=0,"",INDEX('Vendor COIs'!$F$4:$F$503,(_calc!$E$228-500)))&amp;". ")&amp;IF(LEN(IF(LEN(INDEX('Vendor COIs'!$G$4:$G$503,(_calc!$E$228-500)))=0,"",INDEX('Vendor COIs'!$G$4:$G$503,(_calc!$E$228-500))))=0,"","Additional insured: "&amp;IF(LEN(INDEX('Vendor COIs'!$G$4:$G$503,(_calc!$E$228-500)))=0,"",INDEX('Vendor COIs'!$G$4:$G$503,(_calc!$E$228-500)))&amp;". ")&amp;IF(LEN(IF(LEN(INDEX('Vendor COIs'!$M$4:$M$503,(_calc!$E$228-500)))=0,"",INDEX('Vendor COIs'!$M$4:$M$503,(_calc!$E$228-500))))=0,"","Vendor contact: "&amp;IF(LEN(INDEX('Vendor COIs'!$M$4:$M$503,(_calc!$E$228-500)))=0,"",INDEX('Vendor COIs'!$M$4:$M$503,(_calc!$E$228-500)))&amp;". ")&amp;IF(LEN(IF(LEN(INDEX('Vendor COIs'!$P$4:$P$503,(_calc!$E$228-500)))=0,"",INDEX('Vendor COIs'!$P$4:$P$503,(_calc!$E$228-500))))=0,"",IF(LEN(INDEX('Vendor COIs'!$P$4:$P$503,(_calc!$E$228-500)))=0,"",INDEX('Vendor COIs'!$P$4:$P$503,(_calc!$E$228-500)))))))</f>
        <v/>
      </c>
      <c r="G226" s="46">
        <f>IF(_calc!$E$228="","",IF(_calc!$E$228&lt;=500,IF(LEN(INDEX('Our policies'!$R$4:$R$503,_calc!$E$228))=0,"",INDEX('Our policies'!$R$4:$R$503,_calc!$E$228)),IF(LEN(INDEX('Vendor COIs'!$O$4:$O$503,(_calc!$E$228-500)))=0,"",INDEX('Vendor COIs'!$O$4:$O$503,(_calc!$E$228-500)))))</f>
        <v/>
      </c>
      <c r="H226" s="46">
        <f>IF(_calc!$E$228="","",IF(_calc!$E$228&lt;=500,IF(LEN(INDEX('Our policies'!$G$4:$G$503,_calc!$E$228))=0,"",INDEX('Our policies'!$G$4:$G$503,_calc!$E$228)),""))</f>
        <v/>
      </c>
      <c r="I226" s="46">
        <f>IF(_calc!$E$228="","",IF(_calc!$E$228&lt;=500,IF(LEN(INDEX('Our policies'!$H$4:$H$503,_calc!$E$228))=0,"",INDEX('Our policies'!$H$4:$H$503,_calc!$E$228)),""))</f>
        <v/>
      </c>
      <c r="K226" s="46">
        <f>IF(_calc!$E$228="","",IF(_calc!$E$228&lt;=500,IF(LEN(INDEX('Our policies'!$P$4:$P$503,_calc!$E$228))=0,"",INDEX('Our policies'!$P$4:$P$503,_calc!$E$228)),IF(LEN(INDEX('Vendor COIs'!$N$4:$N$503,(_calc!$E$228-500)))=0,"",INDEX('Vendor COIs'!$N$4:$N$503,(_calc!$E$228-500)))))</f>
        <v/>
      </c>
    </row>
    <row r="227">
      <c r="A227" s="46">
        <f>IF(_calc!$E$229="","",IF(_calc!$E$229&lt;=500,IF(LEN(INDEX('Our policies'!$A$4:$A$503,_calc!$E$229))=0,"",INDEX('Our policies'!$A$4:$A$503,_calc!$E$229)),"COI – "&amp;IF(LEN(INDEX('Vendor COIs'!$A$4:$A$503,(_calc!$E$229-500)))=0,"",INDEX('Vendor COIs'!$A$4:$A$503,(_calc!$E$229-500)))&amp;" – "&amp;IF(LEN(INDEX('Vendor COIs'!$B$4:$B$503,(_calc!$E$229-500)))=0,"",INDEX('Vendor COIs'!$B$4:$B$503,(_calc!$E$229-500)))))</f>
        <v/>
      </c>
      <c r="B227" s="46">
        <f>IF(_calc!$E$229="","",IF(_calc!$E$229&lt;=500,IF(ISNUMBER(INDEX('Our policies'!$J$4:$J$503,_calc!$E$229)),TEXT(INDEX('Our policies'!$J$4:$J$503,_calc!$E$229),"yyyy-mm-dd"),""),IF(ISNUMBER(INDEX('Vendor COIs'!$H$4:$H$503,(_calc!$E$229-500))),TEXT(INDEX('Vendor COIs'!$H$4:$H$503,(_calc!$E$229-500)),"yyyy-mm-dd"),"")))</f>
        <v/>
      </c>
      <c r="C227" s="46">
        <f>IF(_calc!$E$229="","",IF(_calc!$E$229&lt;=500,"Insurance","Certificate of insurance"))</f>
        <v/>
      </c>
      <c r="D227" s="46">
        <f>IF(_calc!$E$229="","",IF(_calc!$E$229&lt;=500,IF(ISNUMBER(INDEX('Our policies'!$I$4:$I$503,_calc!$E$229)),TEXT(INDEX('Our policies'!$I$4:$I$503,_calc!$E$229),"yyyy-mm-dd"),""),""))</f>
        <v/>
      </c>
      <c r="E227" s="46">
        <f>IF(_calc!$E$229="","",IF(_calc!$E$229&lt;=500,IF(LEN(INDEX('Our policies'!$Q$4:$Q$503,_calc!$E$229))=0,"",INDEX('Our policies'!$Q$4:$Q$503,_calc!$E$229)),"Medium"))</f>
        <v/>
      </c>
      <c r="F227" s="46">
        <f>IF(_calc!$E$229="","",IF(_calc!$E$229&lt;=500,TRIM(IF(LEN(IF(LEN(INDEX('Our policies'!$B$4:$B$503,_calc!$E$229))=0,"",INDEX('Our policies'!$B$4:$B$503,_calc!$E$229)))=0,"","Cover: "&amp;IF(LEN(INDEX('Our policies'!$B$4:$B$503,_calc!$E$229))=0,"",INDEX('Our policies'!$B$4:$B$503,_calc!$E$229))&amp;". ")&amp;IF(LEN(IF(LEN(INDEX('Our policies'!$C$4:$C$503,_calc!$E$229))=0,"",INDEX('Our policies'!$C$4:$C$503,_calc!$E$229)))=0,"","Insurer: "&amp;IF(LEN(INDEX('Our policies'!$C$4:$C$503,_calc!$E$229))=0,"",INDEX('Our policies'!$C$4:$C$503,_calc!$E$229))&amp;". ")&amp;IF(LEN(IF(LEN(INDEX('Our policies'!$D$4:$D$503,_calc!$E$229))=0,"",INDEX('Our policies'!$D$4:$D$503,_calc!$E$229)))=0,"","Broker: "&amp;IF(LEN(INDEX('Our policies'!$D$4:$D$503,_calc!$E$229))=0,"",INDEX('Our policies'!$D$4:$D$503,_calc!$E$229))&amp;". ")&amp;IF(LEN(IF(LEN(INDEX('Our policies'!$E$4:$E$503,_calc!$E$229))=0,"",INDEX('Our policies'!$E$4:$E$503,_calc!$E$229)))=0,"","Policy no.: "&amp;IF(LEN(INDEX('Our policies'!$E$4:$E$503,_calc!$E$229))=0,"",INDEX('Our policies'!$E$4:$E$503,_calc!$E$229))&amp;". ")&amp;IF(LEN(IF(LEN(INDEX('Our policies'!$S$4:$S$503,_calc!$E$229))=0,"",INDEX('Our policies'!$S$4:$S$503,_calc!$E$229)))=0,"",IF(LEN(INDEX('Our policies'!$S$4:$S$503,_calc!$E$229))=0,"",INDEX('Our policies'!$S$4:$S$503,_calc!$E$229)))),TRIM(IF(LEN(IF(LEN(INDEX('Vendor COIs'!$C$4:$C$503,(_calc!$E$229-500)))=0,"",INDEX('Vendor COIs'!$C$4:$C$503,(_calc!$E$229-500))))=0,"","Insurer: "&amp;IF(LEN(INDEX('Vendor COIs'!$C$4:$C$503,(_calc!$E$229-500)))=0,"",INDEX('Vendor COIs'!$C$4:$C$503,(_calc!$E$229-500)))&amp;". ")&amp;IF(LEN(IF(LEN(INDEX('Vendor COIs'!$D$4:$D$503,(_calc!$E$229-500)))=0,"",INDEX('Vendor COIs'!$D$4:$D$503,(_calc!$E$229-500))))=0,"","Policy no.: "&amp;IF(LEN(INDEX('Vendor COIs'!$D$4:$D$503,(_calc!$E$229-500)))=0,"",INDEX('Vendor COIs'!$D$4:$D$503,(_calc!$E$229-500)))&amp;". ")&amp;IF(LEN(IF(LEN(INDEX('Vendor COIs'!$F$4:$F$503,(_calc!$E$229-500)))=0,"",INDEX('Vendor COIs'!$F$4:$F$503,(_calc!$E$229-500))))=0,"","Meets minimum: "&amp;IF(LEN(INDEX('Vendor COIs'!$F$4:$F$503,(_calc!$E$229-500)))=0,"",INDEX('Vendor COIs'!$F$4:$F$503,(_calc!$E$229-500)))&amp;". ")&amp;IF(LEN(IF(LEN(INDEX('Vendor COIs'!$G$4:$G$503,(_calc!$E$229-500)))=0,"",INDEX('Vendor COIs'!$G$4:$G$503,(_calc!$E$229-500))))=0,"","Additional insured: "&amp;IF(LEN(INDEX('Vendor COIs'!$G$4:$G$503,(_calc!$E$229-500)))=0,"",INDEX('Vendor COIs'!$G$4:$G$503,(_calc!$E$229-500)))&amp;". ")&amp;IF(LEN(IF(LEN(INDEX('Vendor COIs'!$M$4:$M$503,(_calc!$E$229-500)))=0,"",INDEX('Vendor COIs'!$M$4:$M$503,(_calc!$E$229-500))))=0,"","Vendor contact: "&amp;IF(LEN(INDEX('Vendor COIs'!$M$4:$M$503,(_calc!$E$229-500)))=0,"",INDEX('Vendor COIs'!$M$4:$M$503,(_calc!$E$229-500)))&amp;". ")&amp;IF(LEN(IF(LEN(INDEX('Vendor COIs'!$P$4:$P$503,(_calc!$E$229-500)))=0,"",INDEX('Vendor COIs'!$P$4:$P$503,(_calc!$E$229-500))))=0,"",IF(LEN(INDEX('Vendor COIs'!$P$4:$P$503,(_calc!$E$229-500)))=0,"",INDEX('Vendor COIs'!$P$4:$P$503,(_calc!$E$229-500)))))))</f>
        <v/>
      </c>
      <c r="G227" s="46">
        <f>IF(_calc!$E$229="","",IF(_calc!$E$229&lt;=500,IF(LEN(INDEX('Our policies'!$R$4:$R$503,_calc!$E$229))=0,"",INDEX('Our policies'!$R$4:$R$503,_calc!$E$229)),IF(LEN(INDEX('Vendor COIs'!$O$4:$O$503,(_calc!$E$229-500)))=0,"",INDEX('Vendor COIs'!$O$4:$O$503,(_calc!$E$229-500)))))</f>
        <v/>
      </c>
      <c r="H227" s="46">
        <f>IF(_calc!$E$229="","",IF(_calc!$E$229&lt;=500,IF(LEN(INDEX('Our policies'!$G$4:$G$503,_calc!$E$229))=0,"",INDEX('Our policies'!$G$4:$G$503,_calc!$E$229)),""))</f>
        <v/>
      </c>
      <c r="I227" s="46">
        <f>IF(_calc!$E$229="","",IF(_calc!$E$229&lt;=500,IF(LEN(INDEX('Our policies'!$H$4:$H$503,_calc!$E$229))=0,"",INDEX('Our policies'!$H$4:$H$503,_calc!$E$229)),""))</f>
        <v/>
      </c>
      <c r="K227" s="46">
        <f>IF(_calc!$E$229="","",IF(_calc!$E$229&lt;=500,IF(LEN(INDEX('Our policies'!$P$4:$P$503,_calc!$E$229))=0,"",INDEX('Our policies'!$P$4:$P$503,_calc!$E$229)),IF(LEN(INDEX('Vendor COIs'!$N$4:$N$503,(_calc!$E$229-500)))=0,"",INDEX('Vendor COIs'!$N$4:$N$503,(_calc!$E$229-500)))))</f>
        <v/>
      </c>
    </row>
    <row r="228">
      <c r="A228" s="46">
        <f>IF(_calc!$E$230="","",IF(_calc!$E$230&lt;=500,IF(LEN(INDEX('Our policies'!$A$4:$A$503,_calc!$E$230))=0,"",INDEX('Our policies'!$A$4:$A$503,_calc!$E$230)),"COI – "&amp;IF(LEN(INDEX('Vendor COIs'!$A$4:$A$503,(_calc!$E$230-500)))=0,"",INDEX('Vendor COIs'!$A$4:$A$503,(_calc!$E$230-500)))&amp;" – "&amp;IF(LEN(INDEX('Vendor COIs'!$B$4:$B$503,(_calc!$E$230-500)))=0,"",INDEX('Vendor COIs'!$B$4:$B$503,(_calc!$E$230-500)))))</f>
        <v/>
      </c>
      <c r="B228" s="46">
        <f>IF(_calc!$E$230="","",IF(_calc!$E$230&lt;=500,IF(ISNUMBER(INDEX('Our policies'!$J$4:$J$503,_calc!$E$230)),TEXT(INDEX('Our policies'!$J$4:$J$503,_calc!$E$230),"yyyy-mm-dd"),""),IF(ISNUMBER(INDEX('Vendor COIs'!$H$4:$H$503,(_calc!$E$230-500))),TEXT(INDEX('Vendor COIs'!$H$4:$H$503,(_calc!$E$230-500)),"yyyy-mm-dd"),"")))</f>
        <v/>
      </c>
      <c r="C228" s="46">
        <f>IF(_calc!$E$230="","",IF(_calc!$E$230&lt;=500,"Insurance","Certificate of insurance"))</f>
        <v/>
      </c>
      <c r="D228" s="46">
        <f>IF(_calc!$E$230="","",IF(_calc!$E$230&lt;=500,IF(ISNUMBER(INDEX('Our policies'!$I$4:$I$503,_calc!$E$230)),TEXT(INDEX('Our policies'!$I$4:$I$503,_calc!$E$230),"yyyy-mm-dd"),""),""))</f>
        <v/>
      </c>
      <c r="E228" s="46">
        <f>IF(_calc!$E$230="","",IF(_calc!$E$230&lt;=500,IF(LEN(INDEX('Our policies'!$Q$4:$Q$503,_calc!$E$230))=0,"",INDEX('Our policies'!$Q$4:$Q$503,_calc!$E$230)),"Medium"))</f>
        <v/>
      </c>
      <c r="F228" s="46">
        <f>IF(_calc!$E$230="","",IF(_calc!$E$230&lt;=500,TRIM(IF(LEN(IF(LEN(INDEX('Our policies'!$B$4:$B$503,_calc!$E$230))=0,"",INDEX('Our policies'!$B$4:$B$503,_calc!$E$230)))=0,"","Cover: "&amp;IF(LEN(INDEX('Our policies'!$B$4:$B$503,_calc!$E$230))=0,"",INDEX('Our policies'!$B$4:$B$503,_calc!$E$230))&amp;". ")&amp;IF(LEN(IF(LEN(INDEX('Our policies'!$C$4:$C$503,_calc!$E$230))=0,"",INDEX('Our policies'!$C$4:$C$503,_calc!$E$230)))=0,"","Insurer: "&amp;IF(LEN(INDEX('Our policies'!$C$4:$C$503,_calc!$E$230))=0,"",INDEX('Our policies'!$C$4:$C$503,_calc!$E$230))&amp;". ")&amp;IF(LEN(IF(LEN(INDEX('Our policies'!$D$4:$D$503,_calc!$E$230))=0,"",INDEX('Our policies'!$D$4:$D$503,_calc!$E$230)))=0,"","Broker: "&amp;IF(LEN(INDEX('Our policies'!$D$4:$D$503,_calc!$E$230))=0,"",INDEX('Our policies'!$D$4:$D$503,_calc!$E$230))&amp;". ")&amp;IF(LEN(IF(LEN(INDEX('Our policies'!$E$4:$E$503,_calc!$E$230))=0,"",INDEX('Our policies'!$E$4:$E$503,_calc!$E$230)))=0,"","Policy no.: "&amp;IF(LEN(INDEX('Our policies'!$E$4:$E$503,_calc!$E$230))=0,"",INDEX('Our policies'!$E$4:$E$503,_calc!$E$230))&amp;". ")&amp;IF(LEN(IF(LEN(INDEX('Our policies'!$S$4:$S$503,_calc!$E$230))=0,"",INDEX('Our policies'!$S$4:$S$503,_calc!$E$230)))=0,"",IF(LEN(INDEX('Our policies'!$S$4:$S$503,_calc!$E$230))=0,"",INDEX('Our policies'!$S$4:$S$503,_calc!$E$230)))),TRIM(IF(LEN(IF(LEN(INDEX('Vendor COIs'!$C$4:$C$503,(_calc!$E$230-500)))=0,"",INDEX('Vendor COIs'!$C$4:$C$503,(_calc!$E$230-500))))=0,"","Insurer: "&amp;IF(LEN(INDEX('Vendor COIs'!$C$4:$C$503,(_calc!$E$230-500)))=0,"",INDEX('Vendor COIs'!$C$4:$C$503,(_calc!$E$230-500)))&amp;". ")&amp;IF(LEN(IF(LEN(INDEX('Vendor COIs'!$D$4:$D$503,(_calc!$E$230-500)))=0,"",INDEX('Vendor COIs'!$D$4:$D$503,(_calc!$E$230-500))))=0,"","Policy no.: "&amp;IF(LEN(INDEX('Vendor COIs'!$D$4:$D$503,(_calc!$E$230-500)))=0,"",INDEX('Vendor COIs'!$D$4:$D$503,(_calc!$E$230-500)))&amp;". ")&amp;IF(LEN(IF(LEN(INDEX('Vendor COIs'!$F$4:$F$503,(_calc!$E$230-500)))=0,"",INDEX('Vendor COIs'!$F$4:$F$503,(_calc!$E$230-500))))=0,"","Meets minimum: "&amp;IF(LEN(INDEX('Vendor COIs'!$F$4:$F$503,(_calc!$E$230-500)))=0,"",INDEX('Vendor COIs'!$F$4:$F$503,(_calc!$E$230-500)))&amp;". ")&amp;IF(LEN(IF(LEN(INDEX('Vendor COIs'!$G$4:$G$503,(_calc!$E$230-500)))=0,"",INDEX('Vendor COIs'!$G$4:$G$503,(_calc!$E$230-500))))=0,"","Additional insured: "&amp;IF(LEN(INDEX('Vendor COIs'!$G$4:$G$503,(_calc!$E$230-500)))=0,"",INDEX('Vendor COIs'!$G$4:$G$503,(_calc!$E$230-500)))&amp;". ")&amp;IF(LEN(IF(LEN(INDEX('Vendor COIs'!$M$4:$M$503,(_calc!$E$230-500)))=0,"",INDEX('Vendor COIs'!$M$4:$M$503,(_calc!$E$230-500))))=0,"","Vendor contact: "&amp;IF(LEN(INDEX('Vendor COIs'!$M$4:$M$503,(_calc!$E$230-500)))=0,"",INDEX('Vendor COIs'!$M$4:$M$503,(_calc!$E$230-500)))&amp;". ")&amp;IF(LEN(IF(LEN(INDEX('Vendor COIs'!$P$4:$P$503,(_calc!$E$230-500)))=0,"",INDEX('Vendor COIs'!$P$4:$P$503,(_calc!$E$230-500))))=0,"",IF(LEN(INDEX('Vendor COIs'!$P$4:$P$503,(_calc!$E$230-500)))=0,"",INDEX('Vendor COIs'!$P$4:$P$503,(_calc!$E$230-500)))))))</f>
        <v/>
      </c>
      <c r="G228" s="46">
        <f>IF(_calc!$E$230="","",IF(_calc!$E$230&lt;=500,IF(LEN(INDEX('Our policies'!$R$4:$R$503,_calc!$E$230))=0,"",INDEX('Our policies'!$R$4:$R$503,_calc!$E$230)),IF(LEN(INDEX('Vendor COIs'!$O$4:$O$503,(_calc!$E$230-500)))=0,"",INDEX('Vendor COIs'!$O$4:$O$503,(_calc!$E$230-500)))))</f>
        <v/>
      </c>
      <c r="H228" s="46">
        <f>IF(_calc!$E$230="","",IF(_calc!$E$230&lt;=500,IF(LEN(INDEX('Our policies'!$G$4:$G$503,_calc!$E$230))=0,"",INDEX('Our policies'!$G$4:$G$503,_calc!$E$230)),""))</f>
        <v/>
      </c>
      <c r="I228" s="46">
        <f>IF(_calc!$E$230="","",IF(_calc!$E$230&lt;=500,IF(LEN(INDEX('Our policies'!$H$4:$H$503,_calc!$E$230))=0,"",INDEX('Our policies'!$H$4:$H$503,_calc!$E$230)),""))</f>
        <v/>
      </c>
      <c r="K228" s="46">
        <f>IF(_calc!$E$230="","",IF(_calc!$E$230&lt;=500,IF(LEN(INDEX('Our policies'!$P$4:$P$503,_calc!$E$230))=0,"",INDEX('Our policies'!$P$4:$P$503,_calc!$E$230)),IF(LEN(INDEX('Vendor COIs'!$N$4:$N$503,(_calc!$E$230-500)))=0,"",INDEX('Vendor COIs'!$N$4:$N$503,(_calc!$E$230-500)))))</f>
        <v/>
      </c>
    </row>
    <row r="229">
      <c r="A229" s="46">
        <f>IF(_calc!$E$231="","",IF(_calc!$E$231&lt;=500,IF(LEN(INDEX('Our policies'!$A$4:$A$503,_calc!$E$231))=0,"",INDEX('Our policies'!$A$4:$A$503,_calc!$E$231)),"COI – "&amp;IF(LEN(INDEX('Vendor COIs'!$A$4:$A$503,(_calc!$E$231-500)))=0,"",INDEX('Vendor COIs'!$A$4:$A$503,(_calc!$E$231-500)))&amp;" – "&amp;IF(LEN(INDEX('Vendor COIs'!$B$4:$B$503,(_calc!$E$231-500)))=0,"",INDEX('Vendor COIs'!$B$4:$B$503,(_calc!$E$231-500)))))</f>
        <v/>
      </c>
      <c r="B229" s="46">
        <f>IF(_calc!$E$231="","",IF(_calc!$E$231&lt;=500,IF(ISNUMBER(INDEX('Our policies'!$J$4:$J$503,_calc!$E$231)),TEXT(INDEX('Our policies'!$J$4:$J$503,_calc!$E$231),"yyyy-mm-dd"),""),IF(ISNUMBER(INDEX('Vendor COIs'!$H$4:$H$503,(_calc!$E$231-500))),TEXT(INDEX('Vendor COIs'!$H$4:$H$503,(_calc!$E$231-500)),"yyyy-mm-dd"),"")))</f>
        <v/>
      </c>
      <c r="C229" s="46">
        <f>IF(_calc!$E$231="","",IF(_calc!$E$231&lt;=500,"Insurance","Certificate of insurance"))</f>
        <v/>
      </c>
      <c r="D229" s="46">
        <f>IF(_calc!$E$231="","",IF(_calc!$E$231&lt;=500,IF(ISNUMBER(INDEX('Our policies'!$I$4:$I$503,_calc!$E$231)),TEXT(INDEX('Our policies'!$I$4:$I$503,_calc!$E$231),"yyyy-mm-dd"),""),""))</f>
        <v/>
      </c>
      <c r="E229" s="46">
        <f>IF(_calc!$E$231="","",IF(_calc!$E$231&lt;=500,IF(LEN(INDEX('Our policies'!$Q$4:$Q$503,_calc!$E$231))=0,"",INDEX('Our policies'!$Q$4:$Q$503,_calc!$E$231)),"Medium"))</f>
        <v/>
      </c>
      <c r="F229" s="46">
        <f>IF(_calc!$E$231="","",IF(_calc!$E$231&lt;=500,TRIM(IF(LEN(IF(LEN(INDEX('Our policies'!$B$4:$B$503,_calc!$E$231))=0,"",INDEX('Our policies'!$B$4:$B$503,_calc!$E$231)))=0,"","Cover: "&amp;IF(LEN(INDEX('Our policies'!$B$4:$B$503,_calc!$E$231))=0,"",INDEX('Our policies'!$B$4:$B$503,_calc!$E$231))&amp;". ")&amp;IF(LEN(IF(LEN(INDEX('Our policies'!$C$4:$C$503,_calc!$E$231))=0,"",INDEX('Our policies'!$C$4:$C$503,_calc!$E$231)))=0,"","Insurer: "&amp;IF(LEN(INDEX('Our policies'!$C$4:$C$503,_calc!$E$231))=0,"",INDEX('Our policies'!$C$4:$C$503,_calc!$E$231))&amp;". ")&amp;IF(LEN(IF(LEN(INDEX('Our policies'!$D$4:$D$503,_calc!$E$231))=0,"",INDEX('Our policies'!$D$4:$D$503,_calc!$E$231)))=0,"","Broker: "&amp;IF(LEN(INDEX('Our policies'!$D$4:$D$503,_calc!$E$231))=0,"",INDEX('Our policies'!$D$4:$D$503,_calc!$E$231))&amp;". ")&amp;IF(LEN(IF(LEN(INDEX('Our policies'!$E$4:$E$503,_calc!$E$231))=0,"",INDEX('Our policies'!$E$4:$E$503,_calc!$E$231)))=0,"","Policy no.: "&amp;IF(LEN(INDEX('Our policies'!$E$4:$E$503,_calc!$E$231))=0,"",INDEX('Our policies'!$E$4:$E$503,_calc!$E$231))&amp;". ")&amp;IF(LEN(IF(LEN(INDEX('Our policies'!$S$4:$S$503,_calc!$E$231))=0,"",INDEX('Our policies'!$S$4:$S$503,_calc!$E$231)))=0,"",IF(LEN(INDEX('Our policies'!$S$4:$S$503,_calc!$E$231))=0,"",INDEX('Our policies'!$S$4:$S$503,_calc!$E$231)))),TRIM(IF(LEN(IF(LEN(INDEX('Vendor COIs'!$C$4:$C$503,(_calc!$E$231-500)))=0,"",INDEX('Vendor COIs'!$C$4:$C$503,(_calc!$E$231-500))))=0,"","Insurer: "&amp;IF(LEN(INDEX('Vendor COIs'!$C$4:$C$503,(_calc!$E$231-500)))=0,"",INDEX('Vendor COIs'!$C$4:$C$503,(_calc!$E$231-500)))&amp;". ")&amp;IF(LEN(IF(LEN(INDEX('Vendor COIs'!$D$4:$D$503,(_calc!$E$231-500)))=0,"",INDEX('Vendor COIs'!$D$4:$D$503,(_calc!$E$231-500))))=0,"","Policy no.: "&amp;IF(LEN(INDEX('Vendor COIs'!$D$4:$D$503,(_calc!$E$231-500)))=0,"",INDEX('Vendor COIs'!$D$4:$D$503,(_calc!$E$231-500)))&amp;". ")&amp;IF(LEN(IF(LEN(INDEX('Vendor COIs'!$F$4:$F$503,(_calc!$E$231-500)))=0,"",INDEX('Vendor COIs'!$F$4:$F$503,(_calc!$E$231-500))))=0,"","Meets minimum: "&amp;IF(LEN(INDEX('Vendor COIs'!$F$4:$F$503,(_calc!$E$231-500)))=0,"",INDEX('Vendor COIs'!$F$4:$F$503,(_calc!$E$231-500)))&amp;". ")&amp;IF(LEN(IF(LEN(INDEX('Vendor COIs'!$G$4:$G$503,(_calc!$E$231-500)))=0,"",INDEX('Vendor COIs'!$G$4:$G$503,(_calc!$E$231-500))))=0,"","Additional insured: "&amp;IF(LEN(INDEX('Vendor COIs'!$G$4:$G$503,(_calc!$E$231-500)))=0,"",INDEX('Vendor COIs'!$G$4:$G$503,(_calc!$E$231-500)))&amp;". ")&amp;IF(LEN(IF(LEN(INDEX('Vendor COIs'!$M$4:$M$503,(_calc!$E$231-500)))=0,"",INDEX('Vendor COIs'!$M$4:$M$503,(_calc!$E$231-500))))=0,"","Vendor contact: "&amp;IF(LEN(INDEX('Vendor COIs'!$M$4:$M$503,(_calc!$E$231-500)))=0,"",INDEX('Vendor COIs'!$M$4:$M$503,(_calc!$E$231-500)))&amp;". ")&amp;IF(LEN(IF(LEN(INDEX('Vendor COIs'!$P$4:$P$503,(_calc!$E$231-500)))=0,"",INDEX('Vendor COIs'!$P$4:$P$503,(_calc!$E$231-500))))=0,"",IF(LEN(INDEX('Vendor COIs'!$P$4:$P$503,(_calc!$E$231-500)))=0,"",INDEX('Vendor COIs'!$P$4:$P$503,(_calc!$E$231-500)))))))</f>
        <v/>
      </c>
      <c r="G229" s="46">
        <f>IF(_calc!$E$231="","",IF(_calc!$E$231&lt;=500,IF(LEN(INDEX('Our policies'!$R$4:$R$503,_calc!$E$231))=0,"",INDEX('Our policies'!$R$4:$R$503,_calc!$E$231)),IF(LEN(INDEX('Vendor COIs'!$O$4:$O$503,(_calc!$E$231-500)))=0,"",INDEX('Vendor COIs'!$O$4:$O$503,(_calc!$E$231-500)))))</f>
        <v/>
      </c>
      <c r="H229" s="46">
        <f>IF(_calc!$E$231="","",IF(_calc!$E$231&lt;=500,IF(LEN(INDEX('Our policies'!$G$4:$G$503,_calc!$E$231))=0,"",INDEX('Our policies'!$G$4:$G$503,_calc!$E$231)),""))</f>
        <v/>
      </c>
      <c r="I229" s="46">
        <f>IF(_calc!$E$231="","",IF(_calc!$E$231&lt;=500,IF(LEN(INDEX('Our policies'!$H$4:$H$503,_calc!$E$231))=0,"",INDEX('Our policies'!$H$4:$H$503,_calc!$E$231)),""))</f>
        <v/>
      </c>
      <c r="K229" s="46">
        <f>IF(_calc!$E$231="","",IF(_calc!$E$231&lt;=500,IF(LEN(INDEX('Our policies'!$P$4:$P$503,_calc!$E$231))=0,"",INDEX('Our policies'!$P$4:$P$503,_calc!$E$231)),IF(LEN(INDEX('Vendor COIs'!$N$4:$N$503,(_calc!$E$231-500)))=0,"",INDEX('Vendor COIs'!$N$4:$N$503,(_calc!$E$231-500)))))</f>
        <v/>
      </c>
    </row>
    <row r="230">
      <c r="A230" s="46">
        <f>IF(_calc!$E$232="","",IF(_calc!$E$232&lt;=500,IF(LEN(INDEX('Our policies'!$A$4:$A$503,_calc!$E$232))=0,"",INDEX('Our policies'!$A$4:$A$503,_calc!$E$232)),"COI – "&amp;IF(LEN(INDEX('Vendor COIs'!$A$4:$A$503,(_calc!$E$232-500)))=0,"",INDEX('Vendor COIs'!$A$4:$A$503,(_calc!$E$232-500)))&amp;" – "&amp;IF(LEN(INDEX('Vendor COIs'!$B$4:$B$503,(_calc!$E$232-500)))=0,"",INDEX('Vendor COIs'!$B$4:$B$503,(_calc!$E$232-500)))))</f>
        <v/>
      </c>
      <c r="B230" s="46">
        <f>IF(_calc!$E$232="","",IF(_calc!$E$232&lt;=500,IF(ISNUMBER(INDEX('Our policies'!$J$4:$J$503,_calc!$E$232)),TEXT(INDEX('Our policies'!$J$4:$J$503,_calc!$E$232),"yyyy-mm-dd"),""),IF(ISNUMBER(INDEX('Vendor COIs'!$H$4:$H$503,(_calc!$E$232-500))),TEXT(INDEX('Vendor COIs'!$H$4:$H$503,(_calc!$E$232-500)),"yyyy-mm-dd"),"")))</f>
        <v/>
      </c>
      <c r="C230" s="46">
        <f>IF(_calc!$E$232="","",IF(_calc!$E$232&lt;=500,"Insurance","Certificate of insurance"))</f>
        <v/>
      </c>
      <c r="D230" s="46">
        <f>IF(_calc!$E$232="","",IF(_calc!$E$232&lt;=500,IF(ISNUMBER(INDEX('Our policies'!$I$4:$I$503,_calc!$E$232)),TEXT(INDEX('Our policies'!$I$4:$I$503,_calc!$E$232),"yyyy-mm-dd"),""),""))</f>
        <v/>
      </c>
      <c r="E230" s="46">
        <f>IF(_calc!$E$232="","",IF(_calc!$E$232&lt;=500,IF(LEN(INDEX('Our policies'!$Q$4:$Q$503,_calc!$E$232))=0,"",INDEX('Our policies'!$Q$4:$Q$503,_calc!$E$232)),"Medium"))</f>
        <v/>
      </c>
      <c r="F230" s="46">
        <f>IF(_calc!$E$232="","",IF(_calc!$E$232&lt;=500,TRIM(IF(LEN(IF(LEN(INDEX('Our policies'!$B$4:$B$503,_calc!$E$232))=0,"",INDEX('Our policies'!$B$4:$B$503,_calc!$E$232)))=0,"","Cover: "&amp;IF(LEN(INDEX('Our policies'!$B$4:$B$503,_calc!$E$232))=0,"",INDEX('Our policies'!$B$4:$B$503,_calc!$E$232))&amp;". ")&amp;IF(LEN(IF(LEN(INDEX('Our policies'!$C$4:$C$503,_calc!$E$232))=0,"",INDEX('Our policies'!$C$4:$C$503,_calc!$E$232)))=0,"","Insurer: "&amp;IF(LEN(INDEX('Our policies'!$C$4:$C$503,_calc!$E$232))=0,"",INDEX('Our policies'!$C$4:$C$503,_calc!$E$232))&amp;". ")&amp;IF(LEN(IF(LEN(INDEX('Our policies'!$D$4:$D$503,_calc!$E$232))=0,"",INDEX('Our policies'!$D$4:$D$503,_calc!$E$232)))=0,"","Broker: "&amp;IF(LEN(INDEX('Our policies'!$D$4:$D$503,_calc!$E$232))=0,"",INDEX('Our policies'!$D$4:$D$503,_calc!$E$232))&amp;". ")&amp;IF(LEN(IF(LEN(INDEX('Our policies'!$E$4:$E$503,_calc!$E$232))=0,"",INDEX('Our policies'!$E$4:$E$503,_calc!$E$232)))=0,"","Policy no.: "&amp;IF(LEN(INDEX('Our policies'!$E$4:$E$503,_calc!$E$232))=0,"",INDEX('Our policies'!$E$4:$E$503,_calc!$E$232))&amp;". ")&amp;IF(LEN(IF(LEN(INDEX('Our policies'!$S$4:$S$503,_calc!$E$232))=0,"",INDEX('Our policies'!$S$4:$S$503,_calc!$E$232)))=0,"",IF(LEN(INDEX('Our policies'!$S$4:$S$503,_calc!$E$232))=0,"",INDEX('Our policies'!$S$4:$S$503,_calc!$E$232)))),TRIM(IF(LEN(IF(LEN(INDEX('Vendor COIs'!$C$4:$C$503,(_calc!$E$232-500)))=0,"",INDEX('Vendor COIs'!$C$4:$C$503,(_calc!$E$232-500))))=0,"","Insurer: "&amp;IF(LEN(INDEX('Vendor COIs'!$C$4:$C$503,(_calc!$E$232-500)))=0,"",INDEX('Vendor COIs'!$C$4:$C$503,(_calc!$E$232-500)))&amp;". ")&amp;IF(LEN(IF(LEN(INDEX('Vendor COIs'!$D$4:$D$503,(_calc!$E$232-500)))=0,"",INDEX('Vendor COIs'!$D$4:$D$503,(_calc!$E$232-500))))=0,"","Policy no.: "&amp;IF(LEN(INDEX('Vendor COIs'!$D$4:$D$503,(_calc!$E$232-500)))=0,"",INDEX('Vendor COIs'!$D$4:$D$503,(_calc!$E$232-500)))&amp;". ")&amp;IF(LEN(IF(LEN(INDEX('Vendor COIs'!$F$4:$F$503,(_calc!$E$232-500)))=0,"",INDEX('Vendor COIs'!$F$4:$F$503,(_calc!$E$232-500))))=0,"","Meets minimum: "&amp;IF(LEN(INDEX('Vendor COIs'!$F$4:$F$503,(_calc!$E$232-500)))=0,"",INDEX('Vendor COIs'!$F$4:$F$503,(_calc!$E$232-500)))&amp;". ")&amp;IF(LEN(IF(LEN(INDEX('Vendor COIs'!$G$4:$G$503,(_calc!$E$232-500)))=0,"",INDEX('Vendor COIs'!$G$4:$G$503,(_calc!$E$232-500))))=0,"","Additional insured: "&amp;IF(LEN(INDEX('Vendor COIs'!$G$4:$G$503,(_calc!$E$232-500)))=0,"",INDEX('Vendor COIs'!$G$4:$G$503,(_calc!$E$232-500)))&amp;". ")&amp;IF(LEN(IF(LEN(INDEX('Vendor COIs'!$M$4:$M$503,(_calc!$E$232-500)))=0,"",INDEX('Vendor COIs'!$M$4:$M$503,(_calc!$E$232-500))))=0,"","Vendor contact: "&amp;IF(LEN(INDEX('Vendor COIs'!$M$4:$M$503,(_calc!$E$232-500)))=0,"",INDEX('Vendor COIs'!$M$4:$M$503,(_calc!$E$232-500)))&amp;". ")&amp;IF(LEN(IF(LEN(INDEX('Vendor COIs'!$P$4:$P$503,(_calc!$E$232-500)))=0,"",INDEX('Vendor COIs'!$P$4:$P$503,(_calc!$E$232-500))))=0,"",IF(LEN(INDEX('Vendor COIs'!$P$4:$P$503,(_calc!$E$232-500)))=0,"",INDEX('Vendor COIs'!$P$4:$P$503,(_calc!$E$232-500)))))))</f>
        <v/>
      </c>
      <c r="G230" s="46">
        <f>IF(_calc!$E$232="","",IF(_calc!$E$232&lt;=500,IF(LEN(INDEX('Our policies'!$R$4:$R$503,_calc!$E$232))=0,"",INDEX('Our policies'!$R$4:$R$503,_calc!$E$232)),IF(LEN(INDEX('Vendor COIs'!$O$4:$O$503,(_calc!$E$232-500)))=0,"",INDEX('Vendor COIs'!$O$4:$O$503,(_calc!$E$232-500)))))</f>
        <v/>
      </c>
      <c r="H230" s="46">
        <f>IF(_calc!$E$232="","",IF(_calc!$E$232&lt;=500,IF(LEN(INDEX('Our policies'!$G$4:$G$503,_calc!$E$232))=0,"",INDEX('Our policies'!$G$4:$G$503,_calc!$E$232)),""))</f>
        <v/>
      </c>
      <c r="I230" s="46">
        <f>IF(_calc!$E$232="","",IF(_calc!$E$232&lt;=500,IF(LEN(INDEX('Our policies'!$H$4:$H$503,_calc!$E$232))=0,"",INDEX('Our policies'!$H$4:$H$503,_calc!$E$232)),""))</f>
        <v/>
      </c>
      <c r="K230" s="46">
        <f>IF(_calc!$E$232="","",IF(_calc!$E$232&lt;=500,IF(LEN(INDEX('Our policies'!$P$4:$P$503,_calc!$E$232))=0,"",INDEX('Our policies'!$P$4:$P$503,_calc!$E$232)),IF(LEN(INDEX('Vendor COIs'!$N$4:$N$503,(_calc!$E$232-500)))=0,"",INDEX('Vendor COIs'!$N$4:$N$503,(_calc!$E$232-500)))))</f>
        <v/>
      </c>
    </row>
    <row r="231">
      <c r="A231" s="46">
        <f>IF(_calc!$E$233="","",IF(_calc!$E$233&lt;=500,IF(LEN(INDEX('Our policies'!$A$4:$A$503,_calc!$E$233))=0,"",INDEX('Our policies'!$A$4:$A$503,_calc!$E$233)),"COI – "&amp;IF(LEN(INDEX('Vendor COIs'!$A$4:$A$503,(_calc!$E$233-500)))=0,"",INDEX('Vendor COIs'!$A$4:$A$503,(_calc!$E$233-500)))&amp;" – "&amp;IF(LEN(INDEX('Vendor COIs'!$B$4:$B$503,(_calc!$E$233-500)))=0,"",INDEX('Vendor COIs'!$B$4:$B$503,(_calc!$E$233-500)))))</f>
        <v/>
      </c>
      <c r="B231" s="46">
        <f>IF(_calc!$E$233="","",IF(_calc!$E$233&lt;=500,IF(ISNUMBER(INDEX('Our policies'!$J$4:$J$503,_calc!$E$233)),TEXT(INDEX('Our policies'!$J$4:$J$503,_calc!$E$233),"yyyy-mm-dd"),""),IF(ISNUMBER(INDEX('Vendor COIs'!$H$4:$H$503,(_calc!$E$233-500))),TEXT(INDEX('Vendor COIs'!$H$4:$H$503,(_calc!$E$233-500)),"yyyy-mm-dd"),"")))</f>
        <v/>
      </c>
      <c r="C231" s="46">
        <f>IF(_calc!$E$233="","",IF(_calc!$E$233&lt;=500,"Insurance","Certificate of insurance"))</f>
        <v/>
      </c>
      <c r="D231" s="46">
        <f>IF(_calc!$E$233="","",IF(_calc!$E$233&lt;=500,IF(ISNUMBER(INDEX('Our policies'!$I$4:$I$503,_calc!$E$233)),TEXT(INDEX('Our policies'!$I$4:$I$503,_calc!$E$233),"yyyy-mm-dd"),""),""))</f>
        <v/>
      </c>
      <c r="E231" s="46">
        <f>IF(_calc!$E$233="","",IF(_calc!$E$233&lt;=500,IF(LEN(INDEX('Our policies'!$Q$4:$Q$503,_calc!$E$233))=0,"",INDEX('Our policies'!$Q$4:$Q$503,_calc!$E$233)),"Medium"))</f>
        <v/>
      </c>
      <c r="F231" s="46">
        <f>IF(_calc!$E$233="","",IF(_calc!$E$233&lt;=500,TRIM(IF(LEN(IF(LEN(INDEX('Our policies'!$B$4:$B$503,_calc!$E$233))=0,"",INDEX('Our policies'!$B$4:$B$503,_calc!$E$233)))=0,"","Cover: "&amp;IF(LEN(INDEX('Our policies'!$B$4:$B$503,_calc!$E$233))=0,"",INDEX('Our policies'!$B$4:$B$503,_calc!$E$233))&amp;". ")&amp;IF(LEN(IF(LEN(INDEX('Our policies'!$C$4:$C$503,_calc!$E$233))=0,"",INDEX('Our policies'!$C$4:$C$503,_calc!$E$233)))=0,"","Insurer: "&amp;IF(LEN(INDEX('Our policies'!$C$4:$C$503,_calc!$E$233))=0,"",INDEX('Our policies'!$C$4:$C$503,_calc!$E$233))&amp;". ")&amp;IF(LEN(IF(LEN(INDEX('Our policies'!$D$4:$D$503,_calc!$E$233))=0,"",INDEX('Our policies'!$D$4:$D$503,_calc!$E$233)))=0,"","Broker: "&amp;IF(LEN(INDEX('Our policies'!$D$4:$D$503,_calc!$E$233))=0,"",INDEX('Our policies'!$D$4:$D$503,_calc!$E$233))&amp;". ")&amp;IF(LEN(IF(LEN(INDEX('Our policies'!$E$4:$E$503,_calc!$E$233))=0,"",INDEX('Our policies'!$E$4:$E$503,_calc!$E$233)))=0,"","Policy no.: "&amp;IF(LEN(INDEX('Our policies'!$E$4:$E$503,_calc!$E$233))=0,"",INDEX('Our policies'!$E$4:$E$503,_calc!$E$233))&amp;". ")&amp;IF(LEN(IF(LEN(INDEX('Our policies'!$S$4:$S$503,_calc!$E$233))=0,"",INDEX('Our policies'!$S$4:$S$503,_calc!$E$233)))=0,"",IF(LEN(INDEX('Our policies'!$S$4:$S$503,_calc!$E$233))=0,"",INDEX('Our policies'!$S$4:$S$503,_calc!$E$233)))),TRIM(IF(LEN(IF(LEN(INDEX('Vendor COIs'!$C$4:$C$503,(_calc!$E$233-500)))=0,"",INDEX('Vendor COIs'!$C$4:$C$503,(_calc!$E$233-500))))=0,"","Insurer: "&amp;IF(LEN(INDEX('Vendor COIs'!$C$4:$C$503,(_calc!$E$233-500)))=0,"",INDEX('Vendor COIs'!$C$4:$C$503,(_calc!$E$233-500)))&amp;". ")&amp;IF(LEN(IF(LEN(INDEX('Vendor COIs'!$D$4:$D$503,(_calc!$E$233-500)))=0,"",INDEX('Vendor COIs'!$D$4:$D$503,(_calc!$E$233-500))))=0,"","Policy no.: "&amp;IF(LEN(INDEX('Vendor COIs'!$D$4:$D$503,(_calc!$E$233-500)))=0,"",INDEX('Vendor COIs'!$D$4:$D$503,(_calc!$E$233-500)))&amp;". ")&amp;IF(LEN(IF(LEN(INDEX('Vendor COIs'!$F$4:$F$503,(_calc!$E$233-500)))=0,"",INDEX('Vendor COIs'!$F$4:$F$503,(_calc!$E$233-500))))=0,"","Meets minimum: "&amp;IF(LEN(INDEX('Vendor COIs'!$F$4:$F$503,(_calc!$E$233-500)))=0,"",INDEX('Vendor COIs'!$F$4:$F$503,(_calc!$E$233-500)))&amp;". ")&amp;IF(LEN(IF(LEN(INDEX('Vendor COIs'!$G$4:$G$503,(_calc!$E$233-500)))=0,"",INDEX('Vendor COIs'!$G$4:$G$503,(_calc!$E$233-500))))=0,"","Additional insured: "&amp;IF(LEN(INDEX('Vendor COIs'!$G$4:$G$503,(_calc!$E$233-500)))=0,"",INDEX('Vendor COIs'!$G$4:$G$503,(_calc!$E$233-500)))&amp;". ")&amp;IF(LEN(IF(LEN(INDEX('Vendor COIs'!$M$4:$M$503,(_calc!$E$233-500)))=0,"",INDEX('Vendor COIs'!$M$4:$M$503,(_calc!$E$233-500))))=0,"","Vendor contact: "&amp;IF(LEN(INDEX('Vendor COIs'!$M$4:$M$503,(_calc!$E$233-500)))=0,"",INDEX('Vendor COIs'!$M$4:$M$503,(_calc!$E$233-500)))&amp;". ")&amp;IF(LEN(IF(LEN(INDEX('Vendor COIs'!$P$4:$P$503,(_calc!$E$233-500)))=0,"",INDEX('Vendor COIs'!$P$4:$P$503,(_calc!$E$233-500))))=0,"",IF(LEN(INDEX('Vendor COIs'!$P$4:$P$503,(_calc!$E$233-500)))=0,"",INDEX('Vendor COIs'!$P$4:$P$503,(_calc!$E$233-500)))))))</f>
        <v/>
      </c>
      <c r="G231" s="46">
        <f>IF(_calc!$E$233="","",IF(_calc!$E$233&lt;=500,IF(LEN(INDEX('Our policies'!$R$4:$R$503,_calc!$E$233))=0,"",INDEX('Our policies'!$R$4:$R$503,_calc!$E$233)),IF(LEN(INDEX('Vendor COIs'!$O$4:$O$503,(_calc!$E$233-500)))=0,"",INDEX('Vendor COIs'!$O$4:$O$503,(_calc!$E$233-500)))))</f>
        <v/>
      </c>
      <c r="H231" s="46">
        <f>IF(_calc!$E$233="","",IF(_calc!$E$233&lt;=500,IF(LEN(INDEX('Our policies'!$G$4:$G$503,_calc!$E$233))=0,"",INDEX('Our policies'!$G$4:$G$503,_calc!$E$233)),""))</f>
        <v/>
      </c>
      <c r="I231" s="46">
        <f>IF(_calc!$E$233="","",IF(_calc!$E$233&lt;=500,IF(LEN(INDEX('Our policies'!$H$4:$H$503,_calc!$E$233))=0,"",INDEX('Our policies'!$H$4:$H$503,_calc!$E$233)),""))</f>
        <v/>
      </c>
      <c r="K231" s="46">
        <f>IF(_calc!$E$233="","",IF(_calc!$E$233&lt;=500,IF(LEN(INDEX('Our policies'!$P$4:$P$503,_calc!$E$233))=0,"",INDEX('Our policies'!$P$4:$P$503,_calc!$E$233)),IF(LEN(INDEX('Vendor COIs'!$N$4:$N$503,(_calc!$E$233-500)))=0,"",INDEX('Vendor COIs'!$N$4:$N$503,(_calc!$E$233-500)))))</f>
        <v/>
      </c>
    </row>
    <row r="232">
      <c r="A232" s="46">
        <f>IF(_calc!$E$234="","",IF(_calc!$E$234&lt;=500,IF(LEN(INDEX('Our policies'!$A$4:$A$503,_calc!$E$234))=0,"",INDEX('Our policies'!$A$4:$A$503,_calc!$E$234)),"COI – "&amp;IF(LEN(INDEX('Vendor COIs'!$A$4:$A$503,(_calc!$E$234-500)))=0,"",INDEX('Vendor COIs'!$A$4:$A$503,(_calc!$E$234-500)))&amp;" – "&amp;IF(LEN(INDEX('Vendor COIs'!$B$4:$B$503,(_calc!$E$234-500)))=0,"",INDEX('Vendor COIs'!$B$4:$B$503,(_calc!$E$234-500)))))</f>
        <v/>
      </c>
      <c r="B232" s="46">
        <f>IF(_calc!$E$234="","",IF(_calc!$E$234&lt;=500,IF(ISNUMBER(INDEX('Our policies'!$J$4:$J$503,_calc!$E$234)),TEXT(INDEX('Our policies'!$J$4:$J$503,_calc!$E$234),"yyyy-mm-dd"),""),IF(ISNUMBER(INDEX('Vendor COIs'!$H$4:$H$503,(_calc!$E$234-500))),TEXT(INDEX('Vendor COIs'!$H$4:$H$503,(_calc!$E$234-500)),"yyyy-mm-dd"),"")))</f>
        <v/>
      </c>
      <c r="C232" s="46">
        <f>IF(_calc!$E$234="","",IF(_calc!$E$234&lt;=500,"Insurance","Certificate of insurance"))</f>
        <v/>
      </c>
      <c r="D232" s="46">
        <f>IF(_calc!$E$234="","",IF(_calc!$E$234&lt;=500,IF(ISNUMBER(INDEX('Our policies'!$I$4:$I$503,_calc!$E$234)),TEXT(INDEX('Our policies'!$I$4:$I$503,_calc!$E$234),"yyyy-mm-dd"),""),""))</f>
        <v/>
      </c>
      <c r="E232" s="46">
        <f>IF(_calc!$E$234="","",IF(_calc!$E$234&lt;=500,IF(LEN(INDEX('Our policies'!$Q$4:$Q$503,_calc!$E$234))=0,"",INDEX('Our policies'!$Q$4:$Q$503,_calc!$E$234)),"Medium"))</f>
        <v/>
      </c>
      <c r="F232" s="46">
        <f>IF(_calc!$E$234="","",IF(_calc!$E$234&lt;=500,TRIM(IF(LEN(IF(LEN(INDEX('Our policies'!$B$4:$B$503,_calc!$E$234))=0,"",INDEX('Our policies'!$B$4:$B$503,_calc!$E$234)))=0,"","Cover: "&amp;IF(LEN(INDEX('Our policies'!$B$4:$B$503,_calc!$E$234))=0,"",INDEX('Our policies'!$B$4:$B$503,_calc!$E$234))&amp;". ")&amp;IF(LEN(IF(LEN(INDEX('Our policies'!$C$4:$C$503,_calc!$E$234))=0,"",INDEX('Our policies'!$C$4:$C$503,_calc!$E$234)))=0,"","Insurer: "&amp;IF(LEN(INDEX('Our policies'!$C$4:$C$503,_calc!$E$234))=0,"",INDEX('Our policies'!$C$4:$C$503,_calc!$E$234))&amp;". ")&amp;IF(LEN(IF(LEN(INDEX('Our policies'!$D$4:$D$503,_calc!$E$234))=0,"",INDEX('Our policies'!$D$4:$D$503,_calc!$E$234)))=0,"","Broker: "&amp;IF(LEN(INDEX('Our policies'!$D$4:$D$503,_calc!$E$234))=0,"",INDEX('Our policies'!$D$4:$D$503,_calc!$E$234))&amp;". ")&amp;IF(LEN(IF(LEN(INDEX('Our policies'!$E$4:$E$503,_calc!$E$234))=0,"",INDEX('Our policies'!$E$4:$E$503,_calc!$E$234)))=0,"","Policy no.: "&amp;IF(LEN(INDEX('Our policies'!$E$4:$E$503,_calc!$E$234))=0,"",INDEX('Our policies'!$E$4:$E$503,_calc!$E$234))&amp;". ")&amp;IF(LEN(IF(LEN(INDEX('Our policies'!$S$4:$S$503,_calc!$E$234))=0,"",INDEX('Our policies'!$S$4:$S$503,_calc!$E$234)))=0,"",IF(LEN(INDEX('Our policies'!$S$4:$S$503,_calc!$E$234))=0,"",INDEX('Our policies'!$S$4:$S$503,_calc!$E$234)))),TRIM(IF(LEN(IF(LEN(INDEX('Vendor COIs'!$C$4:$C$503,(_calc!$E$234-500)))=0,"",INDEX('Vendor COIs'!$C$4:$C$503,(_calc!$E$234-500))))=0,"","Insurer: "&amp;IF(LEN(INDEX('Vendor COIs'!$C$4:$C$503,(_calc!$E$234-500)))=0,"",INDEX('Vendor COIs'!$C$4:$C$503,(_calc!$E$234-500)))&amp;". ")&amp;IF(LEN(IF(LEN(INDEX('Vendor COIs'!$D$4:$D$503,(_calc!$E$234-500)))=0,"",INDEX('Vendor COIs'!$D$4:$D$503,(_calc!$E$234-500))))=0,"","Policy no.: "&amp;IF(LEN(INDEX('Vendor COIs'!$D$4:$D$503,(_calc!$E$234-500)))=0,"",INDEX('Vendor COIs'!$D$4:$D$503,(_calc!$E$234-500)))&amp;". ")&amp;IF(LEN(IF(LEN(INDEX('Vendor COIs'!$F$4:$F$503,(_calc!$E$234-500)))=0,"",INDEX('Vendor COIs'!$F$4:$F$503,(_calc!$E$234-500))))=0,"","Meets minimum: "&amp;IF(LEN(INDEX('Vendor COIs'!$F$4:$F$503,(_calc!$E$234-500)))=0,"",INDEX('Vendor COIs'!$F$4:$F$503,(_calc!$E$234-500)))&amp;". ")&amp;IF(LEN(IF(LEN(INDEX('Vendor COIs'!$G$4:$G$503,(_calc!$E$234-500)))=0,"",INDEX('Vendor COIs'!$G$4:$G$503,(_calc!$E$234-500))))=0,"","Additional insured: "&amp;IF(LEN(INDEX('Vendor COIs'!$G$4:$G$503,(_calc!$E$234-500)))=0,"",INDEX('Vendor COIs'!$G$4:$G$503,(_calc!$E$234-500)))&amp;". ")&amp;IF(LEN(IF(LEN(INDEX('Vendor COIs'!$M$4:$M$503,(_calc!$E$234-500)))=0,"",INDEX('Vendor COIs'!$M$4:$M$503,(_calc!$E$234-500))))=0,"","Vendor contact: "&amp;IF(LEN(INDEX('Vendor COIs'!$M$4:$M$503,(_calc!$E$234-500)))=0,"",INDEX('Vendor COIs'!$M$4:$M$503,(_calc!$E$234-500)))&amp;". ")&amp;IF(LEN(IF(LEN(INDEX('Vendor COIs'!$P$4:$P$503,(_calc!$E$234-500)))=0,"",INDEX('Vendor COIs'!$P$4:$P$503,(_calc!$E$234-500))))=0,"",IF(LEN(INDEX('Vendor COIs'!$P$4:$P$503,(_calc!$E$234-500)))=0,"",INDEX('Vendor COIs'!$P$4:$P$503,(_calc!$E$234-500)))))))</f>
        <v/>
      </c>
      <c r="G232" s="46">
        <f>IF(_calc!$E$234="","",IF(_calc!$E$234&lt;=500,IF(LEN(INDEX('Our policies'!$R$4:$R$503,_calc!$E$234))=0,"",INDEX('Our policies'!$R$4:$R$503,_calc!$E$234)),IF(LEN(INDEX('Vendor COIs'!$O$4:$O$503,(_calc!$E$234-500)))=0,"",INDEX('Vendor COIs'!$O$4:$O$503,(_calc!$E$234-500)))))</f>
        <v/>
      </c>
      <c r="H232" s="46">
        <f>IF(_calc!$E$234="","",IF(_calc!$E$234&lt;=500,IF(LEN(INDEX('Our policies'!$G$4:$G$503,_calc!$E$234))=0,"",INDEX('Our policies'!$G$4:$G$503,_calc!$E$234)),""))</f>
        <v/>
      </c>
      <c r="I232" s="46">
        <f>IF(_calc!$E$234="","",IF(_calc!$E$234&lt;=500,IF(LEN(INDEX('Our policies'!$H$4:$H$503,_calc!$E$234))=0,"",INDEX('Our policies'!$H$4:$H$503,_calc!$E$234)),""))</f>
        <v/>
      </c>
      <c r="K232" s="46">
        <f>IF(_calc!$E$234="","",IF(_calc!$E$234&lt;=500,IF(LEN(INDEX('Our policies'!$P$4:$P$503,_calc!$E$234))=0,"",INDEX('Our policies'!$P$4:$P$503,_calc!$E$234)),IF(LEN(INDEX('Vendor COIs'!$N$4:$N$503,(_calc!$E$234-500)))=0,"",INDEX('Vendor COIs'!$N$4:$N$503,(_calc!$E$234-500)))))</f>
        <v/>
      </c>
    </row>
    <row r="233">
      <c r="A233" s="46">
        <f>IF(_calc!$E$235="","",IF(_calc!$E$235&lt;=500,IF(LEN(INDEX('Our policies'!$A$4:$A$503,_calc!$E$235))=0,"",INDEX('Our policies'!$A$4:$A$503,_calc!$E$235)),"COI – "&amp;IF(LEN(INDEX('Vendor COIs'!$A$4:$A$503,(_calc!$E$235-500)))=0,"",INDEX('Vendor COIs'!$A$4:$A$503,(_calc!$E$235-500)))&amp;" – "&amp;IF(LEN(INDEX('Vendor COIs'!$B$4:$B$503,(_calc!$E$235-500)))=0,"",INDEX('Vendor COIs'!$B$4:$B$503,(_calc!$E$235-500)))))</f>
        <v/>
      </c>
      <c r="B233" s="46">
        <f>IF(_calc!$E$235="","",IF(_calc!$E$235&lt;=500,IF(ISNUMBER(INDEX('Our policies'!$J$4:$J$503,_calc!$E$235)),TEXT(INDEX('Our policies'!$J$4:$J$503,_calc!$E$235),"yyyy-mm-dd"),""),IF(ISNUMBER(INDEX('Vendor COIs'!$H$4:$H$503,(_calc!$E$235-500))),TEXT(INDEX('Vendor COIs'!$H$4:$H$503,(_calc!$E$235-500)),"yyyy-mm-dd"),"")))</f>
        <v/>
      </c>
      <c r="C233" s="46">
        <f>IF(_calc!$E$235="","",IF(_calc!$E$235&lt;=500,"Insurance","Certificate of insurance"))</f>
        <v/>
      </c>
      <c r="D233" s="46">
        <f>IF(_calc!$E$235="","",IF(_calc!$E$235&lt;=500,IF(ISNUMBER(INDEX('Our policies'!$I$4:$I$503,_calc!$E$235)),TEXT(INDEX('Our policies'!$I$4:$I$503,_calc!$E$235),"yyyy-mm-dd"),""),""))</f>
        <v/>
      </c>
      <c r="E233" s="46">
        <f>IF(_calc!$E$235="","",IF(_calc!$E$235&lt;=500,IF(LEN(INDEX('Our policies'!$Q$4:$Q$503,_calc!$E$235))=0,"",INDEX('Our policies'!$Q$4:$Q$503,_calc!$E$235)),"Medium"))</f>
        <v/>
      </c>
      <c r="F233" s="46">
        <f>IF(_calc!$E$235="","",IF(_calc!$E$235&lt;=500,TRIM(IF(LEN(IF(LEN(INDEX('Our policies'!$B$4:$B$503,_calc!$E$235))=0,"",INDEX('Our policies'!$B$4:$B$503,_calc!$E$235)))=0,"","Cover: "&amp;IF(LEN(INDEX('Our policies'!$B$4:$B$503,_calc!$E$235))=0,"",INDEX('Our policies'!$B$4:$B$503,_calc!$E$235))&amp;". ")&amp;IF(LEN(IF(LEN(INDEX('Our policies'!$C$4:$C$503,_calc!$E$235))=0,"",INDEX('Our policies'!$C$4:$C$503,_calc!$E$235)))=0,"","Insurer: "&amp;IF(LEN(INDEX('Our policies'!$C$4:$C$503,_calc!$E$235))=0,"",INDEX('Our policies'!$C$4:$C$503,_calc!$E$235))&amp;". ")&amp;IF(LEN(IF(LEN(INDEX('Our policies'!$D$4:$D$503,_calc!$E$235))=0,"",INDEX('Our policies'!$D$4:$D$503,_calc!$E$235)))=0,"","Broker: "&amp;IF(LEN(INDEX('Our policies'!$D$4:$D$503,_calc!$E$235))=0,"",INDEX('Our policies'!$D$4:$D$503,_calc!$E$235))&amp;". ")&amp;IF(LEN(IF(LEN(INDEX('Our policies'!$E$4:$E$503,_calc!$E$235))=0,"",INDEX('Our policies'!$E$4:$E$503,_calc!$E$235)))=0,"","Policy no.: "&amp;IF(LEN(INDEX('Our policies'!$E$4:$E$503,_calc!$E$235))=0,"",INDEX('Our policies'!$E$4:$E$503,_calc!$E$235))&amp;". ")&amp;IF(LEN(IF(LEN(INDEX('Our policies'!$S$4:$S$503,_calc!$E$235))=0,"",INDEX('Our policies'!$S$4:$S$503,_calc!$E$235)))=0,"",IF(LEN(INDEX('Our policies'!$S$4:$S$503,_calc!$E$235))=0,"",INDEX('Our policies'!$S$4:$S$503,_calc!$E$235)))),TRIM(IF(LEN(IF(LEN(INDEX('Vendor COIs'!$C$4:$C$503,(_calc!$E$235-500)))=0,"",INDEX('Vendor COIs'!$C$4:$C$503,(_calc!$E$235-500))))=0,"","Insurer: "&amp;IF(LEN(INDEX('Vendor COIs'!$C$4:$C$503,(_calc!$E$235-500)))=0,"",INDEX('Vendor COIs'!$C$4:$C$503,(_calc!$E$235-500)))&amp;". ")&amp;IF(LEN(IF(LEN(INDEX('Vendor COIs'!$D$4:$D$503,(_calc!$E$235-500)))=0,"",INDEX('Vendor COIs'!$D$4:$D$503,(_calc!$E$235-500))))=0,"","Policy no.: "&amp;IF(LEN(INDEX('Vendor COIs'!$D$4:$D$503,(_calc!$E$235-500)))=0,"",INDEX('Vendor COIs'!$D$4:$D$503,(_calc!$E$235-500)))&amp;". ")&amp;IF(LEN(IF(LEN(INDEX('Vendor COIs'!$F$4:$F$503,(_calc!$E$235-500)))=0,"",INDEX('Vendor COIs'!$F$4:$F$503,(_calc!$E$235-500))))=0,"","Meets minimum: "&amp;IF(LEN(INDEX('Vendor COIs'!$F$4:$F$503,(_calc!$E$235-500)))=0,"",INDEX('Vendor COIs'!$F$4:$F$503,(_calc!$E$235-500)))&amp;". ")&amp;IF(LEN(IF(LEN(INDEX('Vendor COIs'!$G$4:$G$503,(_calc!$E$235-500)))=0,"",INDEX('Vendor COIs'!$G$4:$G$503,(_calc!$E$235-500))))=0,"","Additional insured: "&amp;IF(LEN(INDEX('Vendor COIs'!$G$4:$G$503,(_calc!$E$235-500)))=0,"",INDEX('Vendor COIs'!$G$4:$G$503,(_calc!$E$235-500)))&amp;". ")&amp;IF(LEN(IF(LEN(INDEX('Vendor COIs'!$M$4:$M$503,(_calc!$E$235-500)))=0,"",INDEX('Vendor COIs'!$M$4:$M$503,(_calc!$E$235-500))))=0,"","Vendor contact: "&amp;IF(LEN(INDEX('Vendor COIs'!$M$4:$M$503,(_calc!$E$235-500)))=0,"",INDEX('Vendor COIs'!$M$4:$M$503,(_calc!$E$235-500)))&amp;". ")&amp;IF(LEN(IF(LEN(INDEX('Vendor COIs'!$P$4:$P$503,(_calc!$E$235-500)))=0,"",INDEX('Vendor COIs'!$P$4:$P$503,(_calc!$E$235-500))))=0,"",IF(LEN(INDEX('Vendor COIs'!$P$4:$P$503,(_calc!$E$235-500)))=0,"",INDEX('Vendor COIs'!$P$4:$P$503,(_calc!$E$235-500)))))))</f>
        <v/>
      </c>
      <c r="G233" s="46">
        <f>IF(_calc!$E$235="","",IF(_calc!$E$235&lt;=500,IF(LEN(INDEX('Our policies'!$R$4:$R$503,_calc!$E$235))=0,"",INDEX('Our policies'!$R$4:$R$503,_calc!$E$235)),IF(LEN(INDEX('Vendor COIs'!$O$4:$O$503,(_calc!$E$235-500)))=0,"",INDEX('Vendor COIs'!$O$4:$O$503,(_calc!$E$235-500)))))</f>
        <v/>
      </c>
      <c r="H233" s="46">
        <f>IF(_calc!$E$235="","",IF(_calc!$E$235&lt;=500,IF(LEN(INDEX('Our policies'!$G$4:$G$503,_calc!$E$235))=0,"",INDEX('Our policies'!$G$4:$G$503,_calc!$E$235)),""))</f>
        <v/>
      </c>
      <c r="I233" s="46">
        <f>IF(_calc!$E$235="","",IF(_calc!$E$235&lt;=500,IF(LEN(INDEX('Our policies'!$H$4:$H$503,_calc!$E$235))=0,"",INDEX('Our policies'!$H$4:$H$503,_calc!$E$235)),""))</f>
        <v/>
      </c>
      <c r="K233" s="46">
        <f>IF(_calc!$E$235="","",IF(_calc!$E$235&lt;=500,IF(LEN(INDEX('Our policies'!$P$4:$P$503,_calc!$E$235))=0,"",INDEX('Our policies'!$P$4:$P$503,_calc!$E$235)),IF(LEN(INDEX('Vendor COIs'!$N$4:$N$503,(_calc!$E$235-500)))=0,"",INDEX('Vendor COIs'!$N$4:$N$503,(_calc!$E$235-500)))))</f>
        <v/>
      </c>
    </row>
    <row r="234">
      <c r="A234" s="46">
        <f>IF(_calc!$E$236="","",IF(_calc!$E$236&lt;=500,IF(LEN(INDEX('Our policies'!$A$4:$A$503,_calc!$E$236))=0,"",INDEX('Our policies'!$A$4:$A$503,_calc!$E$236)),"COI – "&amp;IF(LEN(INDEX('Vendor COIs'!$A$4:$A$503,(_calc!$E$236-500)))=0,"",INDEX('Vendor COIs'!$A$4:$A$503,(_calc!$E$236-500)))&amp;" – "&amp;IF(LEN(INDEX('Vendor COIs'!$B$4:$B$503,(_calc!$E$236-500)))=0,"",INDEX('Vendor COIs'!$B$4:$B$503,(_calc!$E$236-500)))))</f>
        <v/>
      </c>
      <c r="B234" s="46">
        <f>IF(_calc!$E$236="","",IF(_calc!$E$236&lt;=500,IF(ISNUMBER(INDEX('Our policies'!$J$4:$J$503,_calc!$E$236)),TEXT(INDEX('Our policies'!$J$4:$J$503,_calc!$E$236),"yyyy-mm-dd"),""),IF(ISNUMBER(INDEX('Vendor COIs'!$H$4:$H$503,(_calc!$E$236-500))),TEXT(INDEX('Vendor COIs'!$H$4:$H$503,(_calc!$E$236-500)),"yyyy-mm-dd"),"")))</f>
        <v/>
      </c>
      <c r="C234" s="46">
        <f>IF(_calc!$E$236="","",IF(_calc!$E$236&lt;=500,"Insurance","Certificate of insurance"))</f>
        <v/>
      </c>
      <c r="D234" s="46">
        <f>IF(_calc!$E$236="","",IF(_calc!$E$236&lt;=500,IF(ISNUMBER(INDEX('Our policies'!$I$4:$I$503,_calc!$E$236)),TEXT(INDEX('Our policies'!$I$4:$I$503,_calc!$E$236),"yyyy-mm-dd"),""),""))</f>
        <v/>
      </c>
      <c r="E234" s="46">
        <f>IF(_calc!$E$236="","",IF(_calc!$E$236&lt;=500,IF(LEN(INDEX('Our policies'!$Q$4:$Q$503,_calc!$E$236))=0,"",INDEX('Our policies'!$Q$4:$Q$503,_calc!$E$236)),"Medium"))</f>
        <v/>
      </c>
      <c r="F234" s="46">
        <f>IF(_calc!$E$236="","",IF(_calc!$E$236&lt;=500,TRIM(IF(LEN(IF(LEN(INDEX('Our policies'!$B$4:$B$503,_calc!$E$236))=0,"",INDEX('Our policies'!$B$4:$B$503,_calc!$E$236)))=0,"","Cover: "&amp;IF(LEN(INDEX('Our policies'!$B$4:$B$503,_calc!$E$236))=0,"",INDEX('Our policies'!$B$4:$B$503,_calc!$E$236))&amp;". ")&amp;IF(LEN(IF(LEN(INDEX('Our policies'!$C$4:$C$503,_calc!$E$236))=0,"",INDEX('Our policies'!$C$4:$C$503,_calc!$E$236)))=0,"","Insurer: "&amp;IF(LEN(INDEX('Our policies'!$C$4:$C$503,_calc!$E$236))=0,"",INDEX('Our policies'!$C$4:$C$503,_calc!$E$236))&amp;". ")&amp;IF(LEN(IF(LEN(INDEX('Our policies'!$D$4:$D$503,_calc!$E$236))=0,"",INDEX('Our policies'!$D$4:$D$503,_calc!$E$236)))=0,"","Broker: "&amp;IF(LEN(INDEX('Our policies'!$D$4:$D$503,_calc!$E$236))=0,"",INDEX('Our policies'!$D$4:$D$503,_calc!$E$236))&amp;". ")&amp;IF(LEN(IF(LEN(INDEX('Our policies'!$E$4:$E$503,_calc!$E$236))=0,"",INDEX('Our policies'!$E$4:$E$503,_calc!$E$236)))=0,"","Policy no.: "&amp;IF(LEN(INDEX('Our policies'!$E$4:$E$503,_calc!$E$236))=0,"",INDEX('Our policies'!$E$4:$E$503,_calc!$E$236))&amp;". ")&amp;IF(LEN(IF(LEN(INDEX('Our policies'!$S$4:$S$503,_calc!$E$236))=0,"",INDEX('Our policies'!$S$4:$S$503,_calc!$E$236)))=0,"",IF(LEN(INDEX('Our policies'!$S$4:$S$503,_calc!$E$236))=0,"",INDEX('Our policies'!$S$4:$S$503,_calc!$E$236)))),TRIM(IF(LEN(IF(LEN(INDEX('Vendor COIs'!$C$4:$C$503,(_calc!$E$236-500)))=0,"",INDEX('Vendor COIs'!$C$4:$C$503,(_calc!$E$236-500))))=0,"","Insurer: "&amp;IF(LEN(INDEX('Vendor COIs'!$C$4:$C$503,(_calc!$E$236-500)))=0,"",INDEX('Vendor COIs'!$C$4:$C$503,(_calc!$E$236-500)))&amp;". ")&amp;IF(LEN(IF(LEN(INDEX('Vendor COIs'!$D$4:$D$503,(_calc!$E$236-500)))=0,"",INDEX('Vendor COIs'!$D$4:$D$503,(_calc!$E$236-500))))=0,"","Policy no.: "&amp;IF(LEN(INDEX('Vendor COIs'!$D$4:$D$503,(_calc!$E$236-500)))=0,"",INDEX('Vendor COIs'!$D$4:$D$503,(_calc!$E$236-500)))&amp;". ")&amp;IF(LEN(IF(LEN(INDEX('Vendor COIs'!$F$4:$F$503,(_calc!$E$236-500)))=0,"",INDEX('Vendor COIs'!$F$4:$F$503,(_calc!$E$236-500))))=0,"","Meets minimum: "&amp;IF(LEN(INDEX('Vendor COIs'!$F$4:$F$503,(_calc!$E$236-500)))=0,"",INDEX('Vendor COIs'!$F$4:$F$503,(_calc!$E$236-500)))&amp;". ")&amp;IF(LEN(IF(LEN(INDEX('Vendor COIs'!$G$4:$G$503,(_calc!$E$236-500)))=0,"",INDEX('Vendor COIs'!$G$4:$G$503,(_calc!$E$236-500))))=0,"","Additional insured: "&amp;IF(LEN(INDEX('Vendor COIs'!$G$4:$G$503,(_calc!$E$236-500)))=0,"",INDEX('Vendor COIs'!$G$4:$G$503,(_calc!$E$236-500)))&amp;". ")&amp;IF(LEN(IF(LEN(INDEX('Vendor COIs'!$M$4:$M$503,(_calc!$E$236-500)))=0,"",INDEX('Vendor COIs'!$M$4:$M$503,(_calc!$E$236-500))))=0,"","Vendor contact: "&amp;IF(LEN(INDEX('Vendor COIs'!$M$4:$M$503,(_calc!$E$236-500)))=0,"",INDEX('Vendor COIs'!$M$4:$M$503,(_calc!$E$236-500)))&amp;". ")&amp;IF(LEN(IF(LEN(INDEX('Vendor COIs'!$P$4:$P$503,(_calc!$E$236-500)))=0,"",INDEX('Vendor COIs'!$P$4:$P$503,(_calc!$E$236-500))))=0,"",IF(LEN(INDEX('Vendor COIs'!$P$4:$P$503,(_calc!$E$236-500)))=0,"",INDEX('Vendor COIs'!$P$4:$P$503,(_calc!$E$236-500)))))))</f>
        <v/>
      </c>
      <c r="G234" s="46">
        <f>IF(_calc!$E$236="","",IF(_calc!$E$236&lt;=500,IF(LEN(INDEX('Our policies'!$R$4:$R$503,_calc!$E$236))=0,"",INDEX('Our policies'!$R$4:$R$503,_calc!$E$236)),IF(LEN(INDEX('Vendor COIs'!$O$4:$O$503,(_calc!$E$236-500)))=0,"",INDEX('Vendor COIs'!$O$4:$O$503,(_calc!$E$236-500)))))</f>
        <v/>
      </c>
      <c r="H234" s="46">
        <f>IF(_calc!$E$236="","",IF(_calc!$E$236&lt;=500,IF(LEN(INDEX('Our policies'!$G$4:$G$503,_calc!$E$236))=0,"",INDEX('Our policies'!$G$4:$G$503,_calc!$E$236)),""))</f>
        <v/>
      </c>
      <c r="I234" s="46">
        <f>IF(_calc!$E$236="","",IF(_calc!$E$236&lt;=500,IF(LEN(INDEX('Our policies'!$H$4:$H$503,_calc!$E$236))=0,"",INDEX('Our policies'!$H$4:$H$503,_calc!$E$236)),""))</f>
        <v/>
      </c>
      <c r="K234" s="46">
        <f>IF(_calc!$E$236="","",IF(_calc!$E$236&lt;=500,IF(LEN(INDEX('Our policies'!$P$4:$P$503,_calc!$E$236))=0,"",INDEX('Our policies'!$P$4:$P$503,_calc!$E$236)),IF(LEN(INDEX('Vendor COIs'!$N$4:$N$503,(_calc!$E$236-500)))=0,"",INDEX('Vendor COIs'!$N$4:$N$503,(_calc!$E$236-500)))))</f>
        <v/>
      </c>
    </row>
    <row r="235">
      <c r="A235" s="46">
        <f>IF(_calc!$E$237="","",IF(_calc!$E$237&lt;=500,IF(LEN(INDEX('Our policies'!$A$4:$A$503,_calc!$E$237))=0,"",INDEX('Our policies'!$A$4:$A$503,_calc!$E$237)),"COI – "&amp;IF(LEN(INDEX('Vendor COIs'!$A$4:$A$503,(_calc!$E$237-500)))=0,"",INDEX('Vendor COIs'!$A$4:$A$503,(_calc!$E$237-500)))&amp;" – "&amp;IF(LEN(INDEX('Vendor COIs'!$B$4:$B$503,(_calc!$E$237-500)))=0,"",INDEX('Vendor COIs'!$B$4:$B$503,(_calc!$E$237-500)))))</f>
        <v/>
      </c>
      <c r="B235" s="46">
        <f>IF(_calc!$E$237="","",IF(_calc!$E$237&lt;=500,IF(ISNUMBER(INDEX('Our policies'!$J$4:$J$503,_calc!$E$237)),TEXT(INDEX('Our policies'!$J$4:$J$503,_calc!$E$237),"yyyy-mm-dd"),""),IF(ISNUMBER(INDEX('Vendor COIs'!$H$4:$H$503,(_calc!$E$237-500))),TEXT(INDEX('Vendor COIs'!$H$4:$H$503,(_calc!$E$237-500)),"yyyy-mm-dd"),"")))</f>
        <v/>
      </c>
      <c r="C235" s="46">
        <f>IF(_calc!$E$237="","",IF(_calc!$E$237&lt;=500,"Insurance","Certificate of insurance"))</f>
        <v/>
      </c>
      <c r="D235" s="46">
        <f>IF(_calc!$E$237="","",IF(_calc!$E$237&lt;=500,IF(ISNUMBER(INDEX('Our policies'!$I$4:$I$503,_calc!$E$237)),TEXT(INDEX('Our policies'!$I$4:$I$503,_calc!$E$237),"yyyy-mm-dd"),""),""))</f>
        <v/>
      </c>
      <c r="E235" s="46">
        <f>IF(_calc!$E$237="","",IF(_calc!$E$237&lt;=500,IF(LEN(INDEX('Our policies'!$Q$4:$Q$503,_calc!$E$237))=0,"",INDEX('Our policies'!$Q$4:$Q$503,_calc!$E$237)),"Medium"))</f>
        <v/>
      </c>
      <c r="F235" s="46">
        <f>IF(_calc!$E$237="","",IF(_calc!$E$237&lt;=500,TRIM(IF(LEN(IF(LEN(INDEX('Our policies'!$B$4:$B$503,_calc!$E$237))=0,"",INDEX('Our policies'!$B$4:$B$503,_calc!$E$237)))=0,"","Cover: "&amp;IF(LEN(INDEX('Our policies'!$B$4:$B$503,_calc!$E$237))=0,"",INDEX('Our policies'!$B$4:$B$503,_calc!$E$237))&amp;". ")&amp;IF(LEN(IF(LEN(INDEX('Our policies'!$C$4:$C$503,_calc!$E$237))=0,"",INDEX('Our policies'!$C$4:$C$503,_calc!$E$237)))=0,"","Insurer: "&amp;IF(LEN(INDEX('Our policies'!$C$4:$C$503,_calc!$E$237))=0,"",INDEX('Our policies'!$C$4:$C$503,_calc!$E$237))&amp;". ")&amp;IF(LEN(IF(LEN(INDEX('Our policies'!$D$4:$D$503,_calc!$E$237))=0,"",INDEX('Our policies'!$D$4:$D$503,_calc!$E$237)))=0,"","Broker: "&amp;IF(LEN(INDEX('Our policies'!$D$4:$D$503,_calc!$E$237))=0,"",INDEX('Our policies'!$D$4:$D$503,_calc!$E$237))&amp;". ")&amp;IF(LEN(IF(LEN(INDEX('Our policies'!$E$4:$E$503,_calc!$E$237))=0,"",INDEX('Our policies'!$E$4:$E$503,_calc!$E$237)))=0,"","Policy no.: "&amp;IF(LEN(INDEX('Our policies'!$E$4:$E$503,_calc!$E$237))=0,"",INDEX('Our policies'!$E$4:$E$503,_calc!$E$237))&amp;". ")&amp;IF(LEN(IF(LEN(INDEX('Our policies'!$S$4:$S$503,_calc!$E$237))=0,"",INDEX('Our policies'!$S$4:$S$503,_calc!$E$237)))=0,"",IF(LEN(INDEX('Our policies'!$S$4:$S$503,_calc!$E$237))=0,"",INDEX('Our policies'!$S$4:$S$503,_calc!$E$237)))),TRIM(IF(LEN(IF(LEN(INDEX('Vendor COIs'!$C$4:$C$503,(_calc!$E$237-500)))=0,"",INDEX('Vendor COIs'!$C$4:$C$503,(_calc!$E$237-500))))=0,"","Insurer: "&amp;IF(LEN(INDEX('Vendor COIs'!$C$4:$C$503,(_calc!$E$237-500)))=0,"",INDEX('Vendor COIs'!$C$4:$C$503,(_calc!$E$237-500)))&amp;". ")&amp;IF(LEN(IF(LEN(INDEX('Vendor COIs'!$D$4:$D$503,(_calc!$E$237-500)))=0,"",INDEX('Vendor COIs'!$D$4:$D$503,(_calc!$E$237-500))))=0,"","Policy no.: "&amp;IF(LEN(INDEX('Vendor COIs'!$D$4:$D$503,(_calc!$E$237-500)))=0,"",INDEX('Vendor COIs'!$D$4:$D$503,(_calc!$E$237-500)))&amp;". ")&amp;IF(LEN(IF(LEN(INDEX('Vendor COIs'!$F$4:$F$503,(_calc!$E$237-500)))=0,"",INDEX('Vendor COIs'!$F$4:$F$503,(_calc!$E$237-500))))=0,"","Meets minimum: "&amp;IF(LEN(INDEX('Vendor COIs'!$F$4:$F$503,(_calc!$E$237-500)))=0,"",INDEX('Vendor COIs'!$F$4:$F$503,(_calc!$E$237-500)))&amp;". ")&amp;IF(LEN(IF(LEN(INDEX('Vendor COIs'!$G$4:$G$503,(_calc!$E$237-500)))=0,"",INDEX('Vendor COIs'!$G$4:$G$503,(_calc!$E$237-500))))=0,"","Additional insured: "&amp;IF(LEN(INDEX('Vendor COIs'!$G$4:$G$503,(_calc!$E$237-500)))=0,"",INDEX('Vendor COIs'!$G$4:$G$503,(_calc!$E$237-500)))&amp;". ")&amp;IF(LEN(IF(LEN(INDEX('Vendor COIs'!$M$4:$M$503,(_calc!$E$237-500)))=0,"",INDEX('Vendor COIs'!$M$4:$M$503,(_calc!$E$237-500))))=0,"","Vendor contact: "&amp;IF(LEN(INDEX('Vendor COIs'!$M$4:$M$503,(_calc!$E$237-500)))=0,"",INDEX('Vendor COIs'!$M$4:$M$503,(_calc!$E$237-500)))&amp;". ")&amp;IF(LEN(IF(LEN(INDEX('Vendor COIs'!$P$4:$P$503,(_calc!$E$237-500)))=0,"",INDEX('Vendor COIs'!$P$4:$P$503,(_calc!$E$237-500))))=0,"",IF(LEN(INDEX('Vendor COIs'!$P$4:$P$503,(_calc!$E$237-500)))=0,"",INDEX('Vendor COIs'!$P$4:$P$503,(_calc!$E$237-500)))))))</f>
        <v/>
      </c>
      <c r="G235" s="46">
        <f>IF(_calc!$E$237="","",IF(_calc!$E$237&lt;=500,IF(LEN(INDEX('Our policies'!$R$4:$R$503,_calc!$E$237))=0,"",INDEX('Our policies'!$R$4:$R$503,_calc!$E$237)),IF(LEN(INDEX('Vendor COIs'!$O$4:$O$503,(_calc!$E$237-500)))=0,"",INDEX('Vendor COIs'!$O$4:$O$503,(_calc!$E$237-500)))))</f>
        <v/>
      </c>
      <c r="H235" s="46">
        <f>IF(_calc!$E$237="","",IF(_calc!$E$237&lt;=500,IF(LEN(INDEX('Our policies'!$G$4:$G$503,_calc!$E$237))=0,"",INDEX('Our policies'!$G$4:$G$503,_calc!$E$237)),""))</f>
        <v/>
      </c>
      <c r="I235" s="46">
        <f>IF(_calc!$E$237="","",IF(_calc!$E$237&lt;=500,IF(LEN(INDEX('Our policies'!$H$4:$H$503,_calc!$E$237))=0,"",INDEX('Our policies'!$H$4:$H$503,_calc!$E$237)),""))</f>
        <v/>
      </c>
      <c r="K235" s="46">
        <f>IF(_calc!$E$237="","",IF(_calc!$E$237&lt;=500,IF(LEN(INDEX('Our policies'!$P$4:$P$503,_calc!$E$237))=0,"",INDEX('Our policies'!$P$4:$P$503,_calc!$E$237)),IF(LEN(INDEX('Vendor COIs'!$N$4:$N$503,(_calc!$E$237-500)))=0,"",INDEX('Vendor COIs'!$N$4:$N$503,(_calc!$E$237-500)))))</f>
        <v/>
      </c>
    </row>
    <row r="236">
      <c r="A236" s="46">
        <f>IF(_calc!$E$238="","",IF(_calc!$E$238&lt;=500,IF(LEN(INDEX('Our policies'!$A$4:$A$503,_calc!$E$238))=0,"",INDEX('Our policies'!$A$4:$A$503,_calc!$E$238)),"COI – "&amp;IF(LEN(INDEX('Vendor COIs'!$A$4:$A$503,(_calc!$E$238-500)))=0,"",INDEX('Vendor COIs'!$A$4:$A$503,(_calc!$E$238-500)))&amp;" – "&amp;IF(LEN(INDEX('Vendor COIs'!$B$4:$B$503,(_calc!$E$238-500)))=0,"",INDEX('Vendor COIs'!$B$4:$B$503,(_calc!$E$238-500)))))</f>
        <v/>
      </c>
      <c r="B236" s="46">
        <f>IF(_calc!$E$238="","",IF(_calc!$E$238&lt;=500,IF(ISNUMBER(INDEX('Our policies'!$J$4:$J$503,_calc!$E$238)),TEXT(INDEX('Our policies'!$J$4:$J$503,_calc!$E$238),"yyyy-mm-dd"),""),IF(ISNUMBER(INDEX('Vendor COIs'!$H$4:$H$503,(_calc!$E$238-500))),TEXT(INDEX('Vendor COIs'!$H$4:$H$503,(_calc!$E$238-500)),"yyyy-mm-dd"),"")))</f>
        <v/>
      </c>
      <c r="C236" s="46">
        <f>IF(_calc!$E$238="","",IF(_calc!$E$238&lt;=500,"Insurance","Certificate of insurance"))</f>
        <v/>
      </c>
      <c r="D236" s="46">
        <f>IF(_calc!$E$238="","",IF(_calc!$E$238&lt;=500,IF(ISNUMBER(INDEX('Our policies'!$I$4:$I$503,_calc!$E$238)),TEXT(INDEX('Our policies'!$I$4:$I$503,_calc!$E$238),"yyyy-mm-dd"),""),""))</f>
        <v/>
      </c>
      <c r="E236" s="46">
        <f>IF(_calc!$E$238="","",IF(_calc!$E$238&lt;=500,IF(LEN(INDEX('Our policies'!$Q$4:$Q$503,_calc!$E$238))=0,"",INDEX('Our policies'!$Q$4:$Q$503,_calc!$E$238)),"Medium"))</f>
        <v/>
      </c>
      <c r="F236" s="46">
        <f>IF(_calc!$E$238="","",IF(_calc!$E$238&lt;=500,TRIM(IF(LEN(IF(LEN(INDEX('Our policies'!$B$4:$B$503,_calc!$E$238))=0,"",INDEX('Our policies'!$B$4:$B$503,_calc!$E$238)))=0,"","Cover: "&amp;IF(LEN(INDEX('Our policies'!$B$4:$B$503,_calc!$E$238))=0,"",INDEX('Our policies'!$B$4:$B$503,_calc!$E$238))&amp;". ")&amp;IF(LEN(IF(LEN(INDEX('Our policies'!$C$4:$C$503,_calc!$E$238))=0,"",INDEX('Our policies'!$C$4:$C$503,_calc!$E$238)))=0,"","Insurer: "&amp;IF(LEN(INDEX('Our policies'!$C$4:$C$503,_calc!$E$238))=0,"",INDEX('Our policies'!$C$4:$C$503,_calc!$E$238))&amp;". ")&amp;IF(LEN(IF(LEN(INDEX('Our policies'!$D$4:$D$503,_calc!$E$238))=0,"",INDEX('Our policies'!$D$4:$D$503,_calc!$E$238)))=0,"","Broker: "&amp;IF(LEN(INDEX('Our policies'!$D$4:$D$503,_calc!$E$238))=0,"",INDEX('Our policies'!$D$4:$D$503,_calc!$E$238))&amp;". ")&amp;IF(LEN(IF(LEN(INDEX('Our policies'!$E$4:$E$503,_calc!$E$238))=0,"",INDEX('Our policies'!$E$4:$E$503,_calc!$E$238)))=0,"","Policy no.: "&amp;IF(LEN(INDEX('Our policies'!$E$4:$E$503,_calc!$E$238))=0,"",INDEX('Our policies'!$E$4:$E$503,_calc!$E$238))&amp;". ")&amp;IF(LEN(IF(LEN(INDEX('Our policies'!$S$4:$S$503,_calc!$E$238))=0,"",INDEX('Our policies'!$S$4:$S$503,_calc!$E$238)))=0,"",IF(LEN(INDEX('Our policies'!$S$4:$S$503,_calc!$E$238))=0,"",INDEX('Our policies'!$S$4:$S$503,_calc!$E$238)))),TRIM(IF(LEN(IF(LEN(INDEX('Vendor COIs'!$C$4:$C$503,(_calc!$E$238-500)))=0,"",INDEX('Vendor COIs'!$C$4:$C$503,(_calc!$E$238-500))))=0,"","Insurer: "&amp;IF(LEN(INDEX('Vendor COIs'!$C$4:$C$503,(_calc!$E$238-500)))=0,"",INDEX('Vendor COIs'!$C$4:$C$503,(_calc!$E$238-500)))&amp;". ")&amp;IF(LEN(IF(LEN(INDEX('Vendor COIs'!$D$4:$D$503,(_calc!$E$238-500)))=0,"",INDEX('Vendor COIs'!$D$4:$D$503,(_calc!$E$238-500))))=0,"","Policy no.: "&amp;IF(LEN(INDEX('Vendor COIs'!$D$4:$D$503,(_calc!$E$238-500)))=0,"",INDEX('Vendor COIs'!$D$4:$D$503,(_calc!$E$238-500)))&amp;". ")&amp;IF(LEN(IF(LEN(INDEX('Vendor COIs'!$F$4:$F$503,(_calc!$E$238-500)))=0,"",INDEX('Vendor COIs'!$F$4:$F$503,(_calc!$E$238-500))))=0,"","Meets minimum: "&amp;IF(LEN(INDEX('Vendor COIs'!$F$4:$F$503,(_calc!$E$238-500)))=0,"",INDEX('Vendor COIs'!$F$4:$F$503,(_calc!$E$238-500)))&amp;". ")&amp;IF(LEN(IF(LEN(INDEX('Vendor COIs'!$G$4:$G$503,(_calc!$E$238-500)))=0,"",INDEX('Vendor COIs'!$G$4:$G$503,(_calc!$E$238-500))))=0,"","Additional insured: "&amp;IF(LEN(INDEX('Vendor COIs'!$G$4:$G$503,(_calc!$E$238-500)))=0,"",INDEX('Vendor COIs'!$G$4:$G$503,(_calc!$E$238-500)))&amp;". ")&amp;IF(LEN(IF(LEN(INDEX('Vendor COIs'!$M$4:$M$503,(_calc!$E$238-500)))=0,"",INDEX('Vendor COIs'!$M$4:$M$503,(_calc!$E$238-500))))=0,"","Vendor contact: "&amp;IF(LEN(INDEX('Vendor COIs'!$M$4:$M$503,(_calc!$E$238-500)))=0,"",INDEX('Vendor COIs'!$M$4:$M$503,(_calc!$E$238-500)))&amp;". ")&amp;IF(LEN(IF(LEN(INDEX('Vendor COIs'!$P$4:$P$503,(_calc!$E$238-500)))=0,"",INDEX('Vendor COIs'!$P$4:$P$503,(_calc!$E$238-500))))=0,"",IF(LEN(INDEX('Vendor COIs'!$P$4:$P$503,(_calc!$E$238-500)))=0,"",INDEX('Vendor COIs'!$P$4:$P$503,(_calc!$E$238-500)))))))</f>
        <v/>
      </c>
      <c r="G236" s="46">
        <f>IF(_calc!$E$238="","",IF(_calc!$E$238&lt;=500,IF(LEN(INDEX('Our policies'!$R$4:$R$503,_calc!$E$238))=0,"",INDEX('Our policies'!$R$4:$R$503,_calc!$E$238)),IF(LEN(INDEX('Vendor COIs'!$O$4:$O$503,(_calc!$E$238-500)))=0,"",INDEX('Vendor COIs'!$O$4:$O$503,(_calc!$E$238-500)))))</f>
        <v/>
      </c>
      <c r="H236" s="46">
        <f>IF(_calc!$E$238="","",IF(_calc!$E$238&lt;=500,IF(LEN(INDEX('Our policies'!$G$4:$G$503,_calc!$E$238))=0,"",INDEX('Our policies'!$G$4:$G$503,_calc!$E$238)),""))</f>
        <v/>
      </c>
      <c r="I236" s="46">
        <f>IF(_calc!$E$238="","",IF(_calc!$E$238&lt;=500,IF(LEN(INDEX('Our policies'!$H$4:$H$503,_calc!$E$238))=0,"",INDEX('Our policies'!$H$4:$H$503,_calc!$E$238)),""))</f>
        <v/>
      </c>
      <c r="K236" s="46">
        <f>IF(_calc!$E$238="","",IF(_calc!$E$238&lt;=500,IF(LEN(INDEX('Our policies'!$P$4:$P$503,_calc!$E$238))=0,"",INDEX('Our policies'!$P$4:$P$503,_calc!$E$238)),IF(LEN(INDEX('Vendor COIs'!$N$4:$N$503,(_calc!$E$238-500)))=0,"",INDEX('Vendor COIs'!$N$4:$N$503,(_calc!$E$238-500)))))</f>
        <v/>
      </c>
    </row>
    <row r="237">
      <c r="A237" s="46">
        <f>IF(_calc!$E$239="","",IF(_calc!$E$239&lt;=500,IF(LEN(INDEX('Our policies'!$A$4:$A$503,_calc!$E$239))=0,"",INDEX('Our policies'!$A$4:$A$503,_calc!$E$239)),"COI – "&amp;IF(LEN(INDEX('Vendor COIs'!$A$4:$A$503,(_calc!$E$239-500)))=0,"",INDEX('Vendor COIs'!$A$4:$A$503,(_calc!$E$239-500)))&amp;" – "&amp;IF(LEN(INDEX('Vendor COIs'!$B$4:$B$503,(_calc!$E$239-500)))=0,"",INDEX('Vendor COIs'!$B$4:$B$503,(_calc!$E$239-500)))))</f>
        <v/>
      </c>
      <c r="B237" s="46">
        <f>IF(_calc!$E$239="","",IF(_calc!$E$239&lt;=500,IF(ISNUMBER(INDEX('Our policies'!$J$4:$J$503,_calc!$E$239)),TEXT(INDEX('Our policies'!$J$4:$J$503,_calc!$E$239),"yyyy-mm-dd"),""),IF(ISNUMBER(INDEX('Vendor COIs'!$H$4:$H$503,(_calc!$E$239-500))),TEXT(INDEX('Vendor COIs'!$H$4:$H$503,(_calc!$E$239-500)),"yyyy-mm-dd"),"")))</f>
        <v/>
      </c>
      <c r="C237" s="46">
        <f>IF(_calc!$E$239="","",IF(_calc!$E$239&lt;=500,"Insurance","Certificate of insurance"))</f>
        <v/>
      </c>
      <c r="D237" s="46">
        <f>IF(_calc!$E$239="","",IF(_calc!$E$239&lt;=500,IF(ISNUMBER(INDEX('Our policies'!$I$4:$I$503,_calc!$E$239)),TEXT(INDEX('Our policies'!$I$4:$I$503,_calc!$E$239),"yyyy-mm-dd"),""),""))</f>
        <v/>
      </c>
      <c r="E237" s="46">
        <f>IF(_calc!$E$239="","",IF(_calc!$E$239&lt;=500,IF(LEN(INDEX('Our policies'!$Q$4:$Q$503,_calc!$E$239))=0,"",INDEX('Our policies'!$Q$4:$Q$503,_calc!$E$239)),"Medium"))</f>
        <v/>
      </c>
      <c r="F237" s="46">
        <f>IF(_calc!$E$239="","",IF(_calc!$E$239&lt;=500,TRIM(IF(LEN(IF(LEN(INDEX('Our policies'!$B$4:$B$503,_calc!$E$239))=0,"",INDEX('Our policies'!$B$4:$B$503,_calc!$E$239)))=0,"","Cover: "&amp;IF(LEN(INDEX('Our policies'!$B$4:$B$503,_calc!$E$239))=0,"",INDEX('Our policies'!$B$4:$B$503,_calc!$E$239))&amp;". ")&amp;IF(LEN(IF(LEN(INDEX('Our policies'!$C$4:$C$503,_calc!$E$239))=0,"",INDEX('Our policies'!$C$4:$C$503,_calc!$E$239)))=0,"","Insurer: "&amp;IF(LEN(INDEX('Our policies'!$C$4:$C$503,_calc!$E$239))=0,"",INDEX('Our policies'!$C$4:$C$503,_calc!$E$239))&amp;". ")&amp;IF(LEN(IF(LEN(INDEX('Our policies'!$D$4:$D$503,_calc!$E$239))=0,"",INDEX('Our policies'!$D$4:$D$503,_calc!$E$239)))=0,"","Broker: "&amp;IF(LEN(INDEX('Our policies'!$D$4:$D$503,_calc!$E$239))=0,"",INDEX('Our policies'!$D$4:$D$503,_calc!$E$239))&amp;". ")&amp;IF(LEN(IF(LEN(INDEX('Our policies'!$E$4:$E$503,_calc!$E$239))=0,"",INDEX('Our policies'!$E$4:$E$503,_calc!$E$239)))=0,"","Policy no.: "&amp;IF(LEN(INDEX('Our policies'!$E$4:$E$503,_calc!$E$239))=0,"",INDEX('Our policies'!$E$4:$E$503,_calc!$E$239))&amp;". ")&amp;IF(LEN(IF(LEN(INDEX('Our policies'!$S$4:$S$503,_calc!$E$239))=0,"",INDEX('Our policies'!$S$4:$S$503,_calc!$E$239)))=0,"",IF(LEN(INDEX('Our policies'!$S$4:$S$503,_calc!$E$239))=0,"",INDEX('Our policies'!$S$4:$S$503,_calc!$E$239)))),TRIM(IF(LEN(IF(LEN(INDEX('Vendor COIs'!$C$4:$C$503,(_calc!$E$239-500)))=0,"",INDEX('Vendor COIs'!$C$4:$C$503,(_calc!$E$239-500))))=0,"","Insurer: "&amp;IF(LEN(INDEX('Vendor COIs'!$C$4:$C$503,(_calc!$E$239-500)))=0,"",INDEX('Vendor COIs'!$C$4:$C$503,(_calc!$E$239-500)))&amp;". ")&amp;IF(LEN(IF(LEN(INDEX('Vendor COIs'!$D$4:$D$503,(_calc!$E$239-500)))=0,"",INDEX('Vendor COIs'!$D$4:$D$503,(_calc!$E$239-500))))=0,"","Policy no.: "&amp;IF(LEN(INDEX('Vendor COIs'!$D$4:$D$503,(_calc!$E$239-500)))=0,"",INDEX('Vendor COIs'!$D$4:$D$503,(_calc!$E$239-500)))&amp;". ")&amp;IF(LEN(IF(LEN(INDEX('Vendor COIs'!$F$4:$F$503,(_calc!$E$239-500)))=0,"",INDEX('Vendor COIs'!$F$4:$F$503,(_calc!$E$239-500))))=0,"","Meets minimum: "&amp;IF(LEN(INDEX('Vendor COIs'!$F$4:$F$503,(_calc!$E$239-500)))=0,"",INDEX('Vendor COIs'!$F$4:$F$503,(_calc!$E$239-500)))&amp;". ")&amp;IF(LEN(IF(LEN(INDEX('Vendor COIs'!$G$4:$G$503,(_calc!$E$239-500)))=0,"",INDEX('Vendor COIs'!$G$4:$G$503,(_calc!$E$239-500))))=0,"","Additional insured: "&amp;IF(LEN(INDEX('Vendor COIs'!$G$4:$G$503,(_calc!$E$239-500)))=0,"",INDEX('Vendor COIs'!$G$4:$G$503,(_calc!$E$239-500)))&amp;". ")&amp;IF(LEN(IF(LEN(INDEX('Vendor COIs'!$M$4:$M$503,(_calc!$E$239-500)))=0,"",INDEX('Vendor COIs'!$M$4:$M$503,(_calc!$E$239-500))))=0,"","Vendor contact: "&amp;IF(LEN(INDEX('Vendor COIs'!$M$4:$M$503,(_calc!$E$239-500)))=0,"",INDEX('Vendor COIs'!$M$4:$M$503,(_calc!$E$239-500)))&amp;". ")&amp;IF(LEN(IF(LEN(INDEX('Vendor COIs'!$P$4:$P$503,(_calc!$E$239-500)))=0,"",INDEX('Vendor COIs'!$P$4:$P$503,(_calc!$E$239-500))))=0,"",IF(LEN(INDEX('Vendor COIs'!$P$4:$P$503,(_calc!$E$239-500)))=0,"",INDEX('Vendor COIs'!$P$4:$P$503,(_calc!$E$239-500)))))))</f>
        <v/>
      </c>
      <c r="G237" s="46">
        <f>IF(_calc!$E$239="","",IF(_calc!$E$239&lt;=500,IF(LEN(INDEX('Our policies'!$R$4:$R$503,_calc!$E$239))=0,"",INDEX('Our policies'!$R$4:$R$503,_calc!$E$239)),IF(LEN(INDEX('Vendor COIs'!$O$4:$O$503,(_calc!$E$239-500)))=0,"",INDEX('Vendor COIs'!$O$4:$O$503,(_calc!$E$239-500)))))</f>
        <v/>
      </c>
      <c r="H237" s="46">
        <f>IF(_calc!$E$239="","",IF(_calc!$E$239&lt;=500,IF(LEN(INDEX('Our policies'!$G$4:$G$503,_calc!$E$239))=0,"",INDEX('Our policies'!$G$4:$G$503,_calc!$E$239)),""))</f>
        <v/>
      </c>
      <c r="I237" s="46">
        <f>IF(_calc!$E$239="","",IF(_calc!$E$239&lt;=500,IF(LEN(INDEX('Our policies'!$H$4:$H$503,_calc!$E$239))=0,"",INDEX('Our policies'!$H$4:$H$503,_calc!$E$239)),""))</f>
        <v/>
      </c>
      <c r="K237" s="46">
        <f>IF(_calc!$E$239="","",IF(_calc!$E$239&lt;=500,IF(LEN(INDEX('Our policies'!$P$4:$P$503,_calc!$E$239))=0,"",INDEX('Our policies'!$P$4:$P$503,_calc!$E$239)),IF(LEN(INDEX('Vendor COIs'!$N$4:$N$503,(_calc!$E$239-500)))=0,"",INDEX('Vendor COIs'!$N$4:$N$503,(_calc!$E$239-500)))))</f>
        <v/>
      </c>
    </row>
    <row r="238">
      <c r="A238" s="46">
        <f>IF(_calc!$E$240="","",IF(_calc!$E$240&lt;=500,IF(LEN(INDEX('Our policies'!$A$4:$A$503,_calc!$E$240))=0,"",INDEX('Our policies'!$A$4:$A$503,_calc!$E$240)),"COI – "&amp;IF(LEN(INDEX('Vendor COIs'!$A$4:$A$503,(_calc!$E$240-500)))=0,"",INDEX('Vendor COIs'!$A$4:$A$503,(_calc!$E$240-500)))&amp;" – "&amp;IF(LEN(INDEX('Vendor COIs'!$B$4:$B$503,(_calc!$E$240-500)))=0,"",INDEX('Vendor COIs'!$B$4:$B$503,(_calc!$E$240-500)))))</f>
        <v/>
      </c>
      <c r="B238" s="46">
        <f>IF(_calc!$E$240="","",IF(_calc!$E$240&lt;=500,IF(ISNUMBER(INDEX('Our policies'!$J$4:$J$503,_calc!$E$240)),TEXT(INDEX('Our policies'!$J$4:$J$503,_calc!$E$240),"yyyy-mm-dd"),""),IF(ISNUMBER(INDEX('Vendor COIs'!$H$4:$H$503,(_calc!$E$240-500))),TEXT(INDEX('Vendor COIs'!$H$4:$H$503,(_calc!$E$240-500)),"yyyy-mm-dd"),"")))</f>
        <v/>
      </c>
      <c r="C238" s="46">
        <f>IF(_calc!$E$240="","",IF(_calc!$E$240&lt;=500,"Insurance","Certificate of insurance"))</f>
        <v/>
      </c>
      <c r="D238" s="46">
        <f>IF(_calc!$E$240="","",IF(_calc!$E$240&lt;=500,IF(ISNUMBER(INDEX('Our policies'!$I$4:$I$503,_calc!$E$240)),TEXT(INDEX('Our policies'!$I$4:$I$503,_calc!$E$240),"yyyy-mm-dd"),""),""))</f>
        <v/>
      </c>
      <c r="E238" s="46">
        <f>IF(_calc!$E$240="","",IF(_calc!$E$240&lt;=500,IF(LEN(INDEX('Our policies'!$Q$4:$Q$503,_calc!$E$240))=0,"",INDEX('Our policies'!$Q$4:$Q$503,_calc!$E$240)),"Medium"))</f>
        <v/>
      </c>
      <c r="F238" s="46">
        <f>IF(_calc!$E$240="","",IF(_calc!$E$240&lt;=500,TRIM(IF(LEN(IF(LEN(INDEX('Our policies'!$B$4:$B$503,_calc!$E$240))=0,"",INDEX('Our policies'!$B$4:$B$503,_calc!$E$240)))=0,"","Cover: "&amp;IF(LEN(INDEX('Our policies'!$B$4:$B$503,_calc!$E$240))=0,"",INDEX('Our policies'!$B$4:$B$503,_calc!$E$240))&amp;". ")&amp;IF(LEN(IF(LEN(INDEX('Our policies'!$C$4:$C$503,_calc!$E$240))=0,"",INDEX('Our policies'!$C$4:$C$503,_calc!$E$240)))=0,"","Insurer: "&amp;IF(LEN(INDEX('Our policies'!$C$4:$C$503,_calc!$E$240))=0,"",INDEX('Our policies'!$C$4:$C$503,_calc!$E$240))&amp;". ")&amp;IF(LEN(IF(LEN(INDEX('Our policies'!$D$4:$D$503,_calc!$E$240))=0,"",INDEX('Our policies'!$D$4:$D$503,_calc!$E$240)))=0,"","Broker: "&amp;IF(LEN(INDEX('Our policies'!$D$4:$D$503,_calc!$E$240))=0,"",INDEX('Our policies'!$D$4:$D$503,_calc!$E$240))&amp;". ")&amp;IF(LEN(IF(LEN(INDEX('Our policies'!$E$4:$E$503,_calc!$E$240))=0,"",INDEX('Our policies'!$E$4:$E$503,_calc!$E$240)))=0,"","Policy no.: "&amp;IF(LEN(INDEX('Our policies'!$E$4:$E$503,_calc!$E$240))=0,"",INDEX('Our policies'!$E$4:$E$503,_calc!$E$240))&amp;". ")&amp;IF(LEN(IF(LEN(INDEX('Our policies'!$S$4:$S$503,_calc!$E$240))=0,"",INDEX('Our policies'!$S$4:$S$503,_calc!$E$240)))=0,"",IF(LEN(INDEX('Our policies'!$S$4:$S$503,_calc!$E$240))=0,"",INDEX('Our policies'!$S$4:$S$503,_calc!$E$240)))),TRIM(IF(LEN(IF(LEN(INDEX('Vendor COIs'!$C$4:$C$503,(_calc!$E$240-500)))=0,"",INDEX('Vendor COIs'!$C$4:$C$503,(_calc!$E$240-500))))=0,"","Insurer: "&amp;IF(LEN(INDEX('Vendor COIs'!$C$4:$C$503,(_calc!$E$240-500)))=0,"",INDEX('Vendor COIs'!$C$4:$C$503,(_calc!$E$240-500)))&amp;". ")&amp;IF(LEN(IF(LEN(INDEX('Vendor COIs'!$D$4:$D$503,(_calc!$E$240-500)))=0,"",INDEX('Vendor COIs'!$D$4:$D$503,(_calc!$E$240-500))))=0,"","Policy no.: "&amp;IF(LEN(INDEX('Vendor COIs'!$D$4:$D$503,(_calc!$E$240-500)))=0,"",INDEX('Vendor COIs'!$D$4:$D$503,(_calc!$E$240-500)))&amp;". ")&amp;IF(LEN(IF(LEN(INDEX('Vendor COIs'!$F$4:$F$503,(_calc!$E$240-500)))=0,"",INDEX('Vendor COIs'!$F$4:$F$503,(_calc!$E$240-500))))=0,"","Meets minimum: "&amp;IF(LEN(INDEX('Vendor COIs'!$F$4:$F$503,(_calc!$E$240-500)))=0,"",INDEX('Vendor COIs'!$F$4:$F$503,(_calc!$E$240-500)))&amp;". ")&amp;IF(LEN(IF(LEN(INDEX('Vendor COIs'!$G$4:$G$503,(_calc!$E$240-500)))=0,"",INDEX('Vendor COIs'!$G$4:$G$503,(_calc!$E$240-500))))=0,"","Additional insured: "&amp;IF(LEN(INDEX('Vendor COIs'!$G$4:$G$503,(_calc!$E$240-500)))=0,"",INDEX('Vendor COIs'!$G$4:$G$503,(_calc!$E$240-500)))&amp;". ")&amp;IF(LEN(IF(LEN(INDEX('Vendor COIs'!$M$4:$M$503,(_calc!$E$240-500)))=0,"",INDEX('Vendor COIs'!$M$4:$M$503,(_calc!$E$240-500))))=0,"","Vendor contact: "&amp;IF(LEN(INDEX('Vendor COIs'!$M$4:$M$503,(_calc!$E$240-500)))=0,"",INDEX('Vendor COIs'!$M$4:$M$503,(_calc!$E$240-500)))&amp;". ")&amp;IF(LEN(IF(LEN(INDEX('Vendor COIs'!$P$4:$P$503,(_calc!$E$240-500)))=0,"",INDEX('Vendor COIs'!$P$4:$P$503,(_calc!$E$240-500))))=0,"",IF(LEN(INDEX('Vendor COIs'!$P$4:$P$503,(_calc!$E$240-500)))=0,"",INDEX('Vendor COIs'!$P$4:$P$503,(_calc!$E$240-500)))))))</f>
        <v/>
      </c>
      <c r="G238" s="46">
        <f>IF(_calc!$E$240="","",IF(_calc!$E$240&lt;=500,IF(LEN(INDEX('Our policies'!$R$4:$R$503,_calc!$E$240))=0,"",INDEX('Our policies'!$R$4:$R$503,_calc!$E$240)),IF(LEN(INDEX('Vendor COIs'!$O$4:$O$503,(_calc!$E$240-500)))=0,"",INDEX('Vendor COIs'!$O$4:$O$503,(_calc!$E$240-500)))))</f>
        <v/>
      </c>
      <c r="H238" s="46">
        <f>IF(_calc!$E$240="","",IF(_calc!$E$240&lt;=500,IF(LEN(INDEX('Our policies'!$G$4:$G$503,_calc!$E$240))=0,"",INDEX('Our policies'!$G$4:$G$503,_calc!$E$240)),""))</f>
        <v/>
      </c>
      <c r="I238" s="46">
        <f>IF(_calc!$E$240="","",IF(_calc!$E$240&lt;=500,IF(LEN(INDEX('Our policies'!$H$4:$H$503,_calc!$E$240))=0,"",INDEX('Our policies'!$H$4:$H$503,_calc!$E$240)),""))</f>
        <v/>
      </c>
      <c r="K238" s="46">
        <f>IF(_calc!$E$240="","",IF(_calc!$E$240&lt;=500,IF(LEN(INDEX('Our policies'!$P$4:$P$503,_calc!$E$240))=0,"",INDEX('Our policies'!$P$4:$P$503,_calc!$E$240)),IF(LEN(INDEX('Vendor COIs'!$N$4:$N$503,(_calc!$E$240-500)))=0,"",INDEX('Vendor COIs'!$N$4:$N$503,(_calc!$E$240-500)))))</f>
        <v/>
      </c>
    </row>
    <row r="239">
      <c r="A239" s="46">
        <f>IF(_calc!$E$241="","",IF(_calc!$E$241&lt;=500,IF(LEN(INDEX('Our policies'!$A$4:$A$503,_calc!$E$241))=0,"",INDEX('Our policies'!$A$4:$A$503,_calc!$E$241)),"COI – "&amp;IF(LEN(INDEX('Vendor COIs'!$A$4:$A$503,(_calc!$E$241-500)))=0,"",INDEX('Vendor COIs'!$A$4:$A$503,(_calc!$E$241-500)))&amp;" – "&amp;IF(LEN(INDEX('Vendor COIs'!$B$4:$B$503,(_calc!$E$241-500)))=0,"",INDEX('Vendor COIs'!$B$4:$B$503,(_calc!$E$241-500)))))</f>
        <v/>
      </c>
      <c r="B239" s="46">
        <f>IF(_calc!$E$241="","",IF(_calc!$E$241&lt;=500,IF(ISNUMBER(INDEX('Our policies'!$J$4:$J$503,_calc!$E$241)),TEXT(INDEX('Our policies'!$J$4:$J$503,_calc!$E$241),"yyyy-mm-dd"),""),IF(ISNUMBER(INDEX('Vendor COIs'!$H$4:$H$503,(_calc!$E$241-500))),TEXT(INDEX('Vendor COIs'!$H$4:$H$503,(_calc!$E$241-500)),"yyyy-mm-dd"),"")))</f>
        <v/>
      </c>
      <c r="C239" s="46">
        <f>IF(_calc!$E$241="","",IF(_calc!$E$241&lt;=500,"Insurance","Certificate of insurance"))</f>
        <v/>
      </c>
      <c r="D239" s="46">
        <f>IF(_calc!$E$241="","",IF(_calc!$E$241&lt;=500,IF(ISNUMBER(INDEX('Our policies'!$I$4:$I$503,_calc!$E$241)),TEXT(INDEX('Our policies'!$I$4:$I$503,_calc!$E$241),"yyyy-mm-dd"),""),""))</f>
        <v/>
      </c>
      <c r="E239" s="46">
        <f>IF(_calc!$E$241="","",IF(_calc!$E$241&lt;=500,IF(LEN(INDEX('Our policies'!$Q$4:$Q$503,_calc!$E$241))=0,"",INDEX('Our policies'!$Q$4:$Q$503,_calc!$E$241)),"Medium"))</f>
        <v/>
      </c>
      <c r="F239" s="46">
        <f>IF(_calc!$E$241="","",IF(_calc!$E$241&lt;=500,TRIM(IF(LEN(IF(LEN(INDEX('Our policies'!$B$4:$B$503,_calc!$E$241))=0,"",INDEX('Our policies'!$B$4:$B$503,_calc!$E$241)))=0,"","Cover: "&amp;IF(LEN(INDEX('Our policies'!$B$4:$B$503,_calc!$E$241))=0,"",INDEX('Our policies'!$B$4:$B$503,_calc!$E$241))&amp;". ")&amp;IF(LEN(IF(LEN(INDEX('Our policies'!$C$4:$C$503,_calc!$E$241))=0,"",INDEX('Our policies'!$C$4:$C$503,_calc!$E$241)))=0,"","Insurer: "&amp;IF(LEN(INDEX('Our policies'!$C$4:$C$503,_calc!$E$241))=0,"",INDEX('Our policies'!$C$4:$C$503,_calc!$E$241))&amp;". ")&amp;IF(LEN(IF(LEN(INDEX('Our policies'!$D$4:$D$503,_calc!$E$241))=0,"",INDEX('Our policies'!$D$4:$D$503,_calc!$E$241)))=0,"","Broker: "&amp;IF(LEN(INDEX('Our policies'!$D$4:$D$503,_calc!$E$241))=0,"",INDEX('Our policies'!$D$4:$D$503,_calc!$E$241))&amp;". ")&amp;IF(LEN(IF(LEN(INDEX('Our policies'!$E$4:$E$503,_calc!$E$241))=0,"",INDEX('Our policies'!$E$4:$E$503,_calc!$E$241)))=0,"","Policy no.: "&amp;IF(LEN(INDEX('Our policies'!$E$4:$E$503,_calc!$E$241))=0,"",INDEX('Our policies'!$E$4:$E$503,_calc!$E$241))&amp;". ")&amp;IF(LEN(IF(LEN(INDEX('Our policies'!$S$4:$S$503,_calc!$E$241))=0,"",INDEX('Our policies'!$S$4:$S$503,_calc!$E$241)))=0,"",IF(LEN(INDEX('Our policies'!$S$4:$S$503,_calc!$E$241))=0,"",INDEX('Our policies'!$S$4:$S$503,_calc!$E$241)))),TRIM(IF(LEN(IF(LEN(INDEX('Vendor COIs'!$C$4:$C$503,(_calc!$E$241-500)))=0,"",INDEX('Vendor COIs'!$C$4:$C$503,(_calc!$E$241-500))))=0,"","Insurer: "&amp;IF(LEN(INDEX('Vendor COIs'!$C$4:$C$503,(_calc!$E$241-500)))=0,"",INDEX('Vendor COIs'!$C$4:$C$503,(_calc!$E$241-500)))&amp;". ")&amp;IF(LEN(IF(LEN(INDEX('Vendor COIs'!$D$4:$D$503,(_calc!$E$241-500)))=0,"",INDEX('Vendor COIs'!$D$4:$D$503,(_calc!$E$241-500))))=0,"","Policy no.: "&amp;IF(LEN(INDEX('Vendor COIs'!$D$4:$D$503,(_calc!$E$241-500)))=0,"",INDEX('Vendor COIs'!$D$4:$D$503,(_calc!$E$241-500)))&amp;". ")&amp;IF(LEN(IF(LEN(INDEX('Vendor COIs'!$F$4:$F$503,(_calc!$E$241-500)))=0,"",INDEX('Vendor COIs'!$F$4:$F$503,(_calc!$E$241-500))))=0,"","Meets minimum: "&amp;IF(LEN(INDEX('Vendor COIs'!$F$4:$F$503,(_calc!$E$241-500)))=0,"",INDEX('Vendor COIs'!$F$4:$F$503,(_calc!$E$241-500)))&amp;". ")&amp;IF(LEN(IF(LEN(INDEX('Vendor COIs'!$G$4:$G$503,(_calc!$E$241-500)))=0,"",INDEX('Vendor COIs'!$G$4:$G$503,(_calc!$E$241-500))))=0,"","Additional insured: "&amp;IF(LEN(INDEX('Vendor COIs'!$G$4:$G$503,(_calc!$E$241-500)))=0,"",INDEX('Vendor COIs'!$G$4:$G$503,(_calc!$E$241-500)))&amp;". ")&amp;IF(LEN(IF(LEN(INDEX('Vendor COIs'!$M$4:$M$503,(_calc!$E$241-500)))=0,"",INDEX('Vendor COIs'!$M$4:$M$503,(_calc!$E$241-500))))=0,"","Vendor contact: "&amp;IF(LEN(INDEX('Vendor COIs'!$M$4:$M$503,(_calc!$E$241-500)))=0,"",INDEX('Vendor COIs'!$M$4:$M$503,(_calc!$E$241-500)))&amp;". ")&amp;IF(LEN(IF(LEN(INDEX('Vendor COIs'!$P$4:$P$503,(_calc!$E$241-500)))=0,"",INDEX('Vendor COIs'!$P$4:$P$503,(_calc!$E$241-500))))=0,"",IF(LEN(INDEX('Vendor COIs'!$P$4:$P$503,(_calc!$E$241-500)))=0,"",INDEX('Vendor COIs'!$P$4:$P$503,(_calc!$E$241-500)))))))</f>
        <v/>
      </c>
      <c r="G239" s="46">
        <f>IF(_calc!$E$241="","",IF(_calc!$E$241&lt;=500,IF(LEN(INDEX('Our policies'!$R$4:$R$503,_calc!$E$241))=0,"",INDEX('Our policies'!$R$4:$R$503,_calc!$E$241)),IF(LEN(INDEX('Vendor COIs'!$O$4:$O$503,(_calc!$E$241-500)))=0,"",INDEX('Vendor COIs'!$O$4:$O$503,(_calc!$E$241-500)))))</f>
        <v/>
      </c>
      <c r="H239" s="46">
        <f>IF(_calc!$E$241="","",IF(_calc!$E$241&lt;=500,IF(LEN(INDEX('Our policies'!$G$4:$G$503,_calc!$E$241))=0,"",INDEX('Our policies'!$G$4:$G$503,_calc!$E$241)),""))</f>
        <v/>
      </c>
      <c r="I239" s="46">
        <f>IF(_calc!$E$241="","",IF(_calc!$E$241&lt;=500,IF(LEN(INDEX('Our policies'!$H$4:$H$503,_calc!$E$241))=0,"",INDEX('Our policies'!$H$4:$H$503,_calc!$E$241)),""))</f>
        <v/>
      </c>
      <c r="K239" s="46">
        <f>IF(_calc!$E$241="","",IF(_calc!$E$241&lt;=500,IF(LEN(INDEX('Our policies'!$P$4:$P$503,_calc!$E$241))=0,"",INDEX('Our policies'!$P$4:$P$503,_calc!$E$241)),IF(LEN(INDEX('Vendor COIs'!$N$4:$N$503,(_calc!$E$241-500)))=0,"",INDEX('Vendor COIs'!$N$4:$N$503,(_calc!$E$241-500)))))</f>
        <v/>
      </c>
    </row>
    <row r="240">
      <c r="A240" s="46">
        <f>IF(_calc!$E$242="","",IF(_calc!$E$242&lt;=500,IF(LEN(INDEX('Our policies'!$A$4:$A$503,_calc!$E$242))=0,"",INDEX('Our policies'!$A$4:$A$503,_calc!$E$242)),"COI – "&amp;IF(LEN(INDEX('Vendor COIs'!$A$4:$A$503,(_calc!$E$242-500)))=0,"",INDEX('Vendor COIs'!$A$4:$A$503,(_calc!$E$242-500)))&amp;" – "&amp;IF(LEN(INDEX('Vendor COIs'!$B$4:$B$503,(_calc!$E$242-500)))=0,"",INDEX('Vendor COIs'!$B$4:$B$503,(_calc!$E$242-500)))))</f>
        <v/>
      </c>
      <c r="B240" s="46">
        <f>IF(_calc!$E$242="","",IF(_calc!$E$242&lt;=500,IF(ISNUMBER(INDEX('Our policies'!$J$4:$J$503,_calc!$E$242)),TEXT(INDEX('Our policies'!$J$4:$J$503,_calc!$E$242),"yyyy-mm-dd"),""),IF(ISNUMBER(INDEX('Vendor COIs'!$H$4:$H$503,(_calc!$E$242-500))),TEXT(INDEX('Vendor COIs'!$H$4:$H$503,(_calc!$E$242-500)),"yyyy-mm-dd"),"")))</f>
        <v/>
      </c>
      <c r="C240" s="46">
        <f>IF(_calc!$E$242="","",IF(_calc!$E$242&lt;=500,"Insurance","Certificate of insurance"))</f>
        <v/>
      </c>
      <c r="D240" s="46">
        <f>IF(_calc!$E$242="","",IF(_calc!$E$242&lt;=500,IF(ISNUMBER(INDEX('Our policies'!$I$4:$I$503,_calc!$E$242)),TEXT(INDEX('Our policies'!$I$4:$I$503,_calc!$E$242),"yyyy-mm-dd"),""),""))</f>
        <v/>
      </c>
      <c r="E240" s="46">
        <f>IF(_calc!$E$242="","",IF(_calc!$E$242&lt;=500,IF(LEN(INDEX('Our policies'!$Q$4:$Q$503,_calc!$E$242))=0,"",INDEX('Our policies'!$Q$4:$Q$503,_calc!$E$242)),"Medium"))</f>
        <v/>
      </c>
      <c r="F240" s="46">
        <f>IF(_calc!$E$242="","",IF(_calc!$E$242&lt;=500,TRIM(IF(LEN(IF(LEN(INDEX('Our policies'!$B$4:$B$503,_calc!$E$242))=0,"",INDEX('Our policies'!$B$4:$B$503,_calc!$E$242)))=0,"","Cover: "&amp;IF(LEN(INDEX('Our policies'!$B$4:$B$503,_calc!$E$242))=0,"",INDEX('Our policies'!$B$4:$B$503,_calc!$E$242))&amp;". ")&amp;IF(LEN(IF(LEN(INDEX('Our policies'!$C$4:$C$503,_calc!$E$242))=0,"",INDEX('Our policies'!$C$4:$C$503,_calc!$E$242)))=0,"","Insurer: "&amp;IF(LEN(INDEX('Our policies'!$C$4:$C$503,_calc!$E$242))=0,"",INDEX('Our policies'!$C$4:$C$503,_calc!$E$242))&amp;". ")&amp;IF(LEN(IF(LEN(INDEX('Our policies'!$D$4:$D$503,_calc!$E$242))=0,"",INDEX('Our policies'!$D$4:$D$503,_calc!$E$242)))=0,"","Broker: "&amp;IF(LEN(INDEX('Our policies'!$D$4:$D$503,_calc!$E$242))=0,"",INDEX('Our policies'!$D$4:$D$503,_calc!$E$242))&amp;". ")&amp;IF(LEN(IF(LEN(INDEX('Our policies'!$E$4:$E$503,_calc!$E$242))=0,"",INDEX('Our policies'!$E$4:$E$503,_calc!$E$242)))=0,"","Policy no.: "&amp;IF(LEN(INDEX('Our policies'!$E$4:$E$503,_calc!$E$242))=0,"",INDEX('Our policies'!$E$4:$E$503,_calc!$E$242))&amp;". ")&amp;IF(LEN(IF(LEN(INDEX('Our policies'!$S$4:$S$503,_calc!$E$242))=0,"",INDEX('Our policies'!$S$4:$S$503,_calc!$E$242)))=0,"",IF(LEN(INDEX('Our policies'!$S$4:$S$503,_calc!$E$242))=0,"",INDEX('Our policies'!$S$4:$S$503,_calc!$E$242)))),TRIM(IF(LEN(IF(LEN(INDEX('Vendor COIs'!$C$4:$C$503,(_calc!$E$242-500)))=0,"",INDEX('Vendor COIs'!$C$4:$C$503,(_calc!$E$242-500))))=0,"","Insurer: "&amp;IF(LEN(INDEX('Vendor COIs'!$C$4:$C$503,(_calc!$E$242-500)))=0,"",INDEX('Vendor COIs'!$C$4:$C$503,(_calc!$E$242-500)))&amp;". ")&amp;IF(LEN(IF(LEN(INDEX('Vendor COIs'!$D$4:$D$503,(_calc!$E$242-500)))=0,"",INDEX('Vendor COIs'!$D$4:$D$503,(_calc!$E$242-500))))=0,"","Policy no.: "&amp;IF(LEN(INDEX('Vendor COIs'!$D$4:$D$503,(_calc!$E$242-500)))=0,"",INDEX('Vendor COIs'!$D$4:$D$503,(_calc!$E$242-500)))&amp;". ")&amp;IF(LEN(IF(LEN(INDEX('Vendor COIs'!$F$4:$F$503,(_calc!$E$242-500)))=0,"",INDEX('Vendor COIs'!$F$4:$F$503,(_calc!$E$242-500))))=0,"","Meets minimum: "&amp;IF(LEN(INDEX('Vendor COIs'!$F$4:$F$503,(_calc!$E$242-500)))=0,"",INDEX('Vendor COIs'!$F$4:$F$503,(_calc!$E$242-500)))&amp;". ")&amp;IF(LEN(IF(LEN(INDEX('Vendor COIs'!$G$4:$G$503,(_calc!$E$242-500)))=0,"",INDEX('Vendor COIs'!$G$4:$G$503,(_calc!$E$242-500))))=0,"","Additional insured: "&amp;IF(LEN(INDEX('Vendor COIs'!$G$4:$G$503,(_calc!$E$242-500)))=0,"",INDEX('Vendor COIs'!$G$4:$G$503,(_calc!$E$242-500)))&amp;". ")&amp;IF(LEN(IF(LEN(INDEX('Vendor COIs'!$M$4:$M$503,(_calc!$E$242-500)))=0,"",INDEX('Vendor COIs'!$M$4:$M$503,(_calc!$E$242-500))))=0,"","Vendor contact: "&amp;IF(LEN(INDEX('Vendor COIs'!$M$4:$M$503,(_calc!$E$242-500)))=0,"",INDEX('Vendor COIs'!$M$4:$M$503,(_calc!$E$242-500)))&amp;". ")&amp;IF(LEN(IF(LEN(INDEX('Vendor COIs'!$P$4:$P$503,(_calc!$E$242-500)))=0,"",INDEX('Vendor COIs'!$P$4:$P$503,(_calc!$E$242-500))))=0,"",IF(LEN(INDEX('Vendor COIs'!$P$4:$P$503,(_calc!$E$242-500)))=0,"",INDEX('Vendor COIs'!$P$4:$P$503,(_calc!$E$242-500)))))))</f>
        <v/>
      </c>
      <c r="G240" s="46">
        <f>IF(_calc!$E$242="","",IF(_calc!$E$242&lt;=500,IF(LEN(INDEX('Our policies'!$R$4:$R$503,_calc!$E$242))=0,"",INDEX('Our policies'!$R$4:$R$503,_calc!$E$242)),IF(LEN(INDEX('Vendor COIs'!$O$4:$O$503,(_calc!$E$242-500)))=0,"",INDEX('Vendor COIs'!$O$4:$O$503,(_calc!$E$242-500)))))</f>
        <v/>
      </c>
      <c r="H240" s="46">
        <f>IF(_calc!$E$242="","",IF(_calc!$E$242&lt;=500,IF(LEN(INDEX('Our policies'!$G$4:$G$503,_calc!$E$242))=0,"",INDEX('Our policies'!$G$4:$G$503,_calc!$E$242)),""))</f>
        <v/>
      </c>
      <c r="I240" s="46">
        <f>IF(_calc!$E$242="","",IF(_calc!$E$242&lt;=500,IF(LEN(INDEX('Our policies'!$H$4:$H$503,_calc!$E$242))=0,"",INDEX('Our policies'!$H$4:$H$503,_calc!$E$242)),""))</f>
        <v/>
      </c>
      <c r="K240" s="46">
        <f>IF(_calc!$E$242="","",IF(_calc!$E$242&lt;=500,IF(LEN(INDEX('Our policies'!$P$4:$P$503,_calc!$E$242))=0,"",INDEX('Our policies'!$P$4:$P$503,_calc!$E$242)),IF(LEN(INDEX('Vendor COIs'!$N$4:$N$503,(_calc!$E$242-500)))=0,"",INDEX('Vendor COIs'!$N$4:$N$503,(_calc!$E$242-500)))))</f>
        <v/>
      </c>
    </row>
    <row r="241">
      <c r="A241" s="46">
        <f>IF(_calc!$E$243="","",IF(_calc!$E$243&lt;=500,IF(LEN(INDEX('Our policies'!$A$4:$A$503,_calc!$E$243))=0,"",INDEX('Our policies'!$A$4:$A$503,_calc!$E$243)),"COI – "&amp;IF(LEN(INDEX('Vendor COIs'!$A$4:$A$503,(_calc!$E$243-500)))=0,"",INDEX('Vendor COIs'!$A$4:$A$503,(_calc!$E$243-500)))&amp;" – "&amp;IF(LEN(INDEX('Vendor COIs'!$B$4:$B$503,(_calc!$E$243-500)))=0,"",INDEX('Vendor COIs'!$B$4:$B$503,(_calc!$E$243-500)))))</f>
        <v/>
      </c>
      <c r="B241" s="46">
        <f>IF(_calc!$E$243="","",IF(_calc!$E$243&lt;=500,IF(ISNUMBER(INDEX('Our policies'!$J$4:$J$503,_calc!$E$243)),TEXT(INDEX('Our policies'!$J$4:$J$503,_calc!$E$243),"yyyy-mm-dd"),""),IF(ISNUMBER(INDEX('Vendor COIs'!$H$4:$H$503,(_calc!$E$243-500))),TEXT(INDEX('Vendor COIs'!$H$4:$H$503,(_calc!$E$243-500)),"yyyy-mm-dd"),"")))</f>
        <v/>
      </c>
      <c r="C241" s="46">
        <f>IF(_calc!$E$243="","",IF(_calc!$E$243&lt;=500,"Insurance","Certificate of insurance"))</f>
        <v/>
      </c>
      <c r="D241" s="46">
        <f>IF(_calc!$E$243="","",IF(_calc!$E$243&lt;=500,IF(ISNUMBER(INDEX('Our policies'!$I$4:$I$503,_calc!$E$243)),TEXT(INDEX('Our policies'!$I$4:$I$503,_calc!$E$243),"yyyy-mm-dd"),""),""))</f>
        <v/>
      </c>
      <c r="E241" s="46">
        <f>IF(_calc!$E$243="","",IF(_calc!$E$243&lt;=500,IF(LEN(INDEX('Our policies'!$Q$4:$Q$503,_calc!$E$243))=0,"",INDEX('Our policies'!$Q$4:$Q$503,_calc!$E$243)),"Medium"))</f>
        <v/>
      </c>
      <c r="F241" s="46">
        <f>IF(_calc!$E$243="","",IF(_calc!$E$243&lt;=500,TRIM(IF(LEN(IF(LEN(INDEX('Our policies'!$B$4:$B$503,_calc!$E$243))=0,"",INDEX('Our policies'!$B$4:$B$503,_calc!$E$243)))=0,"","Cover: "&amp;IF(LEN(INDEX('Our policies'!$B$4:$B$503,_calc!$E$243))=0,"",INDEX('Our policies'!$B$4:$B$503,_calc!$E$243))&amp;". ")&amp;IF(LEN(IF(LEN(INDEX('Our policies'!$C$4:$C$503,_calc!$E$243))=0,"",INDEX('Our policies'!$C$4:$C$503,_calc!$E$243)))=0,"","Insurer: "&amp;IF(LEN(INDEX('Our policies'!$C$4:$C$503,_calc!$E$243))=0,"",INDEX('Our policies'!$C$4:$C$503,_calc!$E$243))&amp;". ")&amp;IF(LEN(IF(LEN(INDEX('Our policies'!$D$4:$D$503,_calc!$E$243))=0,"",INDEX('Our policies'!$D$4:$D$503,_calc!$E$243)))=0,"","Broker: "&amp;IF(LEN(INDEX('Our policies'!$D$4:$D$503,_calc!$E$243))=0,"",INDEX('Our policies'!$D$4:$D$503,_calc!$E$243))&amp;". ")&amp;IF(LEN(IF(LEN(INDEX('Our policies'!$E$4:$E$503,_calc!$E$243))=0,"",INDEX('Our policies'!$E$4:$E$503,_calc!$E$243)))=0,"","Policy no.: "&amp;IF(LEN(INDEX('Our policies'!$E$4:$E$503,_calc!$E$243))=0,"",INDEX('Our policies'!$E$4:$E$503,_calc!$E$243))&amp;". ")&amp;IF(LEN(IF(LEN(INDEX('Our policies'!$S$4:$S$503,_calc!$E$243))=0,"",INDEX('Our policies'!$S$4:$S$503,_calc!$E$243)))=0,"",IF(LEN(INDEX('Our policies'!$S$4:$S$503,_calc!$E$243))=0,"",INDEX('Our policies'!$S$4:$S$503,_calc!$E$243)))),TRIM(IF(LEN(IF(LEN(INDEX('Vendor COIs'!$C$4:$C$503,(_calc!$E$243-500)))=0,"",INDEX('Vendor COIs'!$C$4:$C$503,(_calc!$E$243-500))))=0,"","Insurer: "&amp;IF(LEN(INDEX('Vendor COIs'!$C$4:$C$503,(_calc!$E$243-500)))=0,"",INDEX('Vendor COIs'!$C$4:$C$503,(_calc!$E$243-500)))&amp;". ")&amp;IF(LEN(IF(LEN(INDEX('Vendor COIs'!$D$4:$D$503,(_calc!$E$243-500)))=0,"",INDEX('Vendor COIs'!$D$4:$D$503,(_calc!$E$243-500))))=0,"","Policy no.: "&amp;IF(LEN(INDEX('Vendor COIs'!$D$4:$D$503,(_calc!$E$243-500)))=0,"",INDEX('Vendor COIs'!$D$4:$D$503,(_calc!$E$243-500)))&amp;". ")&amp;IF(LEN(IF(LEN(INDEX('Vendor COIs'!$F$4:$F$503,(_calc!$E$243-500)))=0,"",INDEX('Vendor COIs'!$F$4:$F$503,(_calc!$E$243-500))))=0,"","Meets minimum: "&amp;IF(LEN(INDEX('Vendor COIs'!$F$4:$F$503,(_calc!$E$243-500)))=0,"",INDEX('Vendor COIs'!$F$4:$F$503,(_calc!$E$243-500)))&amp;". ")&amp;IF(LEN(IF(LEN(INDEX('Vendor COIs'!$G$4:$G$503,(_calc!$E$243-500)))=0,"",INDEX('Vendor COIs'!$G$4:$G$503,(_calc!$E$243-500))))=0,"","Additional insured: "&amp;IF(LEN(INDEX('Vendor COIs'!$G$4:$G$503,(_calc!$E$243-500)))=0,"",INDEX('Vendor COIs'!$G$4:$G$503,(_calc!$E$243-500)))&amp;". ")&amp;IF(LEN(IF(LEN(INDEX('Vendor COIs'!$M$4:$M$503,(_calc!$E$243-500)))=0,"",INDEX('Vendor COIs'!$M$4:$M$503,(_calc!$E$243-500))))=0,"","Vendor contact: "&amp;IF(LEN(INDEX('Vendor COIs'!$M$4:$M$503,(_calc!$E$243-500)))=0,"",INDEX('Vendor COIs'!$M$4:$M$503,(_calc!$E$243-500)))&amp;". ")&amp;IF(LEN(IF(LEN(INDEX('Vendor COIs'!$P$4:$P$503,(_calc!$E$243-500)))=0,"",INDEX('Vendor COIs'!$P$4:$P$503,(_calc!$E$243-500))))=0,"",IF(LEN(INDEX('Vendor COIs'!$P$4:$P$503,(_calc!$E$243-500)))=0,"",INDEX('Vendor COIs'!$P$4:$P$503,(_calc!$E$243-500)))))))</f>
        <v/>
      </c>
      <c r="G241" s="46">
        <f>IF(_calc!$E$243="","",IF(_calc!$E$243&lt;=500,IF(LEN(INDEX('Our policies'!$R$4:$R$503,_calc!$E$243))=0,"",INDEX('Our policies'!$R$4:$R$503,_calc!$E$243)),IF(LEN(INDEX('Vendor COIs'!$O$4:$O$503,(_calc!$E$243-500)))=0,"",INDEX('Vendor COIs'!$O$4:$O$503,(_calc!$E$243-500)))))</f>
        <v/>
      </c>
      <c r="H241" s="46">
        <f>IF(_calc!$E$243="","",IF(_calc!$E$243&lt;=500,IF(LEN(INDEX('Our policies'!$G$4:$G$503,_calc!$E$243))=0,"",INDEX('Our policies'!$G$4:$G$503,_calc!$E$243)),""))</f>
        <v/>
      </c>
      <c r="I241" s="46">
        <f>IF(_calc!$E$243="","",IF(_calc!$E$243&lt;=500,IF(LEN(INDEX('Our policies'!$H$4:$H$503,_calc!$E$243))=0,"",INDEX('Our policies'!$H$4:$H$503,_calc!$E$243)),""))</f>
        <v/>
      </c>
      <c r="K241" s="46">
        <f>IF(_calc!$E$243="","",IF(_calc!$E$243&lt;=500,IF(LEN(INDEX('Our policies'!$P$4:$P$503,_calc!$E$243))=0,"",INDEX('Our policies'!$P$4:$P$503,_calc!$E$243)),IF(LEN(INDEX('Vendor COIs'!$N$4:$N$503,(_calc!$E$243-500)))=0,"",INDEX('Vendor COIs'!$N$4:$N$503,(_calc!$E$243-500)))))</f>
        <v/>
      </c>
    </row>
    <row r="242">
      <c r="A242" s="46">
        <f>IF(_calc!$E$244="","",IF(_calc!$E$244&lt;=500,IF(LEN(INDEX('Our policies'!$A$4:$A$503,_calc!$E$244))=0,"",INDEX('Our policies'!$A$4:$A$503,_calc!$E$244)),"COI – "&amp;IF(LEN(INDEX('Vendor COIs'!$A$4:$A$503,(_calc!$E$244-500)))=0,"",INDEX('Vendor COIs'!$A$4:$A$503,(_calc!$E$244-500)))&amp;" – "&amp;IF(LEN(INDEX('Vendor COIs'!$B$4:$B$503,(_calc!$E$244-500)))=0,"",INDEX('Vendor COIs'!$B$4:$B$503,(_calc!$E$244-500)))))</f>
        <v/>
      </c>
      <c r="B242" s="46">
        <f>IF(_calc!$E$244="","",IF(_calc!$E$244&lt;=500,IF(ISNUMBER(INDEX('Our policies'!$J$4:$J$503,_calc!$E$244)),TEXT(INDEX('Our policies'!$J$4:$J$503,_calc!$E$244),"yyyy-mm-dd"),""),IF(ISNUMBER(INDEX('Vendor COIs'!$H$4:$H$503,(_calc!$E$244-500))),TEXT(INDEX('Vendor COIs'!$H$4:$H$503,(_calc!$E$244-500)),"yyyy-mm-dd"),"")))</f>
        <v/>
      </c>
      <c r="C242" s="46">
        <f>IF(_calc!$E$244="","",IF(_calc!$E$244&lt;=500,"Insurance","Certificate of insurance"))</f>
        <v/>
      </c>
      <c r="D242" s="46">
        <f>IF(_calc!$E$244="","",IF(_calc!$E$244&lt;=500,IF(ISNUMBER(INDEX('Our policies'!$I$4:$I$503,_calc!$E$244)),TEXT(INDEX('Our policies'!$I$4:$I$503,_calc!$E$244),"yyyy-mm-dd"),""),""))</f>
        <v/>
      </c>
      <c r="E242" s="46">
        <f>IF(_calc!$E$244="","",IF(_calc!$E$244&lt;=500,IF(LEN(INDEX('Our policies'!$Q$4:$Q$503,_calc!$E$244))=0,"",INDEX('Our policies'!$Q$4:$Q$503,_calc!$E$244)),"Medium"))</f>
        <v/>
      </c>
      <c r="F242" s="46">
        <f>IF(_calc!$E$244="","",IF(_calc!$E$244&lt;=500,TRIM(IF(LEN(IF(LEN(INDEX('Our policies'!$B$4:$B$503,_calc!$E$244))=0,"",INDEX('Our policies'!$B$4:$B$503,_calc!$E$244)))=0,"","Cover: "&amp;IF(LEN(INDEX('Our policies'!$B$4:$B$503,_calc!$E$244))=0,"",INDEX('Our policies'!$B$4:$B$503,_calc!$E$244))&amp;". ")&amp;IF(LEN(IF(LEN(INDEX('Our policies'!$C$4:$C$503,_calc!$E$244))=0,"",INDEX('Our policies'!$C$4:$C$503,_calc!$E$244)))=0,"","Insurer: "&amp;IF(LEN(INDEX('Our policies'!$C$4:$C$503,_calc!$E$244))=0,"",INDEX('Our policies'!$C$4:$C$503,_calc!$E$244))&amp;". ")&amp;IF(LEN(IF(LEN(INDEX('Our policies'!$D$4:$D$503,_calc!$E$244))=0,"",INDEX('Our policies'!$D$4:$D$503,_calc!$E$244)))=0,"","Broker: "&amp;IF(LEN(INDEX('Our policies'!$D$4:$D$503,_calc!$E$244))=0,"",INDEX('Our policies'!$D$4:$D$503,_calc!$E$244))&amp;". ")&amp;IF(LEN(IF(LEN(INDEX('Our policies'!$E$4:$E$503,_calc!$E$244))=0,"",INDEX('Our policies'!$E$4:$E$503,_calc!$E$244)))=0,"","Policy no.: "&amp;IF(LEN(INDEX('Our policies'!$E$4:$E$503,_calc!$E$244))=0,"",INDEX('Our policies'!$E$4:$E$503,_calc!$E$244))&amp;". ")&amp;IF(LEN(IF(LEN(INDEX('Our policies'!$S$4:$S$503,_calc!$E$244))=0,"",INDEX('Our policies'!$S$4:$S$503,_calc!$E$244)))=0,"",IF(LEN(INDEX('Our policies'!$S$4:$S$503,_calc!$E$244))=0,"",INDEX('Our policies'!$S$4:$S$503,_calc!$E$244)))),TRIM(IF(LEN(IF(LEN(INDEX('Vendor COIs'!$C$4:$C$503,(_calc!$E$244-500)))=0,"",INDEX('Vendor COIs'!$C$4:$C$503,(_calc!$E$244-500))))=0,"","Insurer: "&amp;IF(LEN(INDEX('Vendor COIs'!$C$4:$C$503,(_calc!$E$244-500)))=0,"",INDEX('Vendor COIs'!$C$4:$C$503,(_calc!$E$244-500)))&amp;". ")&amp;IF(LEN(IF(LEN(INDEX('Vendor COIs'!$D$4:$D$503,(_calc!$E$244-500)))=0,"",INDEX('Vendor COIs'!$D$4:$D$503,(_calc!$E$244-500))))=0,"","Policy no.: "&amp;IF(LEN(INDEX('Vendor COIs'!$D$4:$D$503,(_calc!$E$244-500)))=0,"",INDEX('Vendor COIs'!$D$4:$D$503,(_calc!$E$244-500)))&amp;". ")&amp;IF(LEN(IF(LEN(INDEX('Vendor COIs'!$F$4:$F$503,(_calc!$E$244-500)))=0,"",INDEX('Vendor COIs'!$F$4:$F$503,(_calc!$E$244-500))))=0,"","Meets minimum: "&amp;IF(LEN(INDEX('Vendor COIs'!$F$4:$F$503,(_calc!$E$244-500)))=0,"",INDEX('Vendor COIs'!$F$4:$F$503,(_calc!$E$244-500)))&amp;". ")&amp;IF(LEN(IF(LEN(INDEX('Vendor COIs'!$G$4:$G$503,(_calc!$E$244-500)))=0,"",INDEX('Vendor COIs'!$G$4:$G$503,(_calc!$E$244-500))))=0,"","Additional insured: "&amp;IF(LEN(INDEX('Vendor COIs'!$G$4:$G$503,(_calc!$E$244-500)))=0,"",INDEX('Vendor COIs'!$G$4:$G$503,(_calc!$E$244-500)))&amp;". ")&amp;IF(LEN(IF(LEN(INDEX('Vendor COIs'!$M$4:$M$503,(_calc!$E$244-500)))=0,"",INDEX('Vendor COIs'!$M$4:$M$503,(_calc!$E$244-500))))=0,"","Vendor contact: "&amp;IF(LEN(INDEX('Vendor COIs'!$M$4:$M$503,(_calc!$E$244-500)))=0,"",INDEX('Vendor COIs'!$M$4:$M$503,(_calc!$E$244-500)))&amp;". ")&amp;IF(LEN(IF(LEN(INDEX('Vendor COIs'!$P$4:$P$503,(_calc!$E$244-500)))=0,"",INDEX('Vendor COIs'!$P$4:$P$503,(_calc!$E$244-500))))=0,"",IF(LEN(INDEX('Vendor COIs'!$P$4:$P$503,(_calc!$E$244-500)))=0,"",INDEX('Vendor COIs'!$P$4:$P$503,(_calc!$E$244-500)))))))</f>
        <v/>
      </c>
      <c r="G242" s="46">
        <f>IF(_calc!$E$244="","",IF(_calc!$E$244&lt;=500,IF(LEN(INDEX('Our policies'!$R$4:$R$503,_calc!$E$244))=0,"",INDEX('Our policies'!$R$4:$R$503,_calc!$E$244)),IF(LEN(INDEX('Vendor COIs'!$O$4:$O$503,(_calc!$E$244-500)))=0,"",INDEX('Vendor COIs'!$O$4:$O$503,(_calc!$E$244-500)))))</f>
        <v/>
      </c>
      <c r="H242" s="46">
        <f>IF(_calc!$E$244="","",IF(_calc!$E$244&lt;=500,IF(LEN(INDEX('Our policies'!$G$4:$G$503,_calc!$E$244))=0,"",INDEX('Our policies'!$G$4:$G$503,_calc!$E$244)),""))</f>
        <v/>
      </c>
      <c r="I242" s="46">
        <f>IF(_calc!$E$244="","",IF(_calc!$E$244&lt;=500,IF(LEN(INDEX('Our policies'!$H$4:$H$503,_calc!$E$244))=0,"",INDEX('Our policies'!$H$4:$H$503,_calc!$E$244)),""))</f>
        <v/>
      </c>
      <c r="K242" s="46">
        <f>IF(_calc!$E$244="","",IF(_calc!$E$244&lt;=500,IF(LEN(INDEX('Our policies'!$P$4:$P$503,_calc!$E$244))=0,"",INDEX('Our policies'!$P$4:$P$503,_calc!$E$244)),IF(LEN(INDEX('Vendor COIs'!$N$4:$N$503,(_calc!$E$244-500)))=0,"",INDEX('Vendor COIs'!$N$4:$N$503,(_calc!$E$244-500)))))</f>
        <v/>
      </c>
    </row>
    <row r="243">
      <c r="A243" s="46">
        <f>IF(_calc!$E$245="","",IF(_calc!$E$245&lt;=500,IF(LEN(INDEX('Our policies'!$A$4:$A$503,_calc!$E$245))=0,"",INDEX('Our policies'!$A$4:$A$503,_calc!$E$245)),"COI – "&amp;IF(LEN(INDEX('Vendor COIs'!$A$4:$A$503,(_calc!$E$245-500)))=0,"",INDEX('Vendor COIs'!$A$4:$A$503,(_calc!$E$245-500)))&amp;" – "&amp;IF(LEN(INDEX('Vendor COIs'!$B$4:$B$503,(_calc!$E$245-500)))=0,"",INDEX('Vendor COIs'!$B$4:$B$503,(_calc!$E$245-500)))))</f>
        <v/>
      </c>
      <c r="B243" s="46">
        <f>IF(_calc!$E$245="","",IF(_calc!$E$245&lt;=500,IF(ISNUMBER(INDEX('Our policies'!$J$4:$J$503,_calc!$E$245)),TEXT(INDEX('Our policies'!$J$4:$J$503,_calc!$E$245),"yyyy-mm-dd"),""),IF(ISNUMBER(INDEX('Vendor COIs'!$H$4:$H$503,(_calc!$E$245-500))),TEXT(INDEX('Vendor COIs'!$H$4:$H$503,(_calc!$E$245-500)),"yyyy-mm-dd"),"")))</f>
        <v/>
      </c>
      <c r="C243" s="46">
        <f>IF(_calc!$E$245="","",IF(_calc!$E$245&lt;=500,"Insurance","Certificate of insurance"))</f>
        <v/>
      </c>
      <c r="D243" s="46">
        <f>IF(_calc!$E$245="","",IF(_calc!$E$245&lt;=500,IF(ISNUMBER(INDEX('Our policies'!$I$4:$I$503,_calc!$E$245)),TEXT(INDEX('Our policies'!$I$4:$I$503,_calc!$E$245),"yyyy-mm-dd"),""),""))</f>
        <v/>
      </c>
      <c r="E243" s="46">
        <f>IF(_calc!$E$245="","",IF(_calc!$E$245&lt;=500,IF(LEN(INDEX('Our policies'!$Q$4:$Q$503,_calc!$E$245))=0,"",INDEX('Our policies'!$Q$4:$Q$503,_calc!$E$245)),"Medium"))</f>
        <v/>
      </c>
      <c r="F243" s="46">
        <f>IF(_calc!$E$245="","",IF(_calc!$E$245&lt;=500,TRIM(IF(LEN(IF(LEN(INDEX('Our policies'!$B$4:$B$503,_calc!$E$245))=0,"",INDEX('Our policies'!$B$4:$B$503,_calc!$E$245)))=0,"","Cover: "&amp;IF(LEN(INDEX('Our policies'!$B$4:$B$503,_calc!$E$245))=0,"",INDEX('Our policies'!$B$4:$B$503,_calc!$E$245))&amp;". ")&amp;IF(LEN(IF(LEN(INDEX('Our policies'!$C$4:$C$503,_calc!$E$245))=0,"",INDEX('Our policies'!$C$4:$C$503,_calc!$E$245)))=0,"","Insurer: "&amp;IF(LEN(INDEX('Our policies'!$C$4:$C$503,_calc!$E$245))=0,"",INDEX('Our policies'!$C$4:$C$503,_calc!$E$245))&amp;". ")&amp;IF(LEN(IF(LEN(INDEX('Our policies'!$D$4:$D$503,_calc!$E$245))=0,"",INDEX('Our policies'!$D$4:$D$503,_calc!$E$245)))=0,"","Broker: "&amp;IF(LEN(INDEX('Our policies'!$D$4:$D$503,_calc!$E$245))=0,"",INDEX('Our policies'!$D$4:$D$503,_calc!$E$245))&amp;". ")&amp;IF(LEN(IF(LEN(INDEX('Our policies'!$E$4:$E$503,_calc!$E$245))=0,"",INDEX('Our policies'!$E$4:$E$503,_calc!$E$245)))=0,"","Policy no.: "&amp;IF(LEN(INDEX('Our policies'!$E$4:$E$503,_calc!$E$245))=0,"",INDEX('Our policies'!$E$4:$E$503,_calc!$E$245))&amp;". ")&amp;IF(LEN(IF(LEN(INDEX('Our policies'!$S$4:$S$503,_calc!$E$245))=0,"",INDEX('Our policies'!$S$4:$S$503,_calc!$E$245)))=0,"",IF(LEN(INDEX('Our policies'!$S$4:$S$503,_calc!$E$245))=0,"",INDEX('Our policies'!$S$4:$S$503,_calc!$E$245)))),TRIM(IF(LEN(IF(LEN(INDEX('Vendor COIs'!$C$4:$C$503,(_calc!$E$245-500)))=0,"",INDEX('Vendor COIs'!$C$4:$C$503,(_calc!$E$245-500))))=0,"","Insurer: "&amp;IF(LEN(INDEX('Vendor COIs'!$C$4:$C$503,(_calc!$E$245-500)))=0,"",INDEX('Vendor COIs'!$C$4:$C$503,(_calc!$E$245-500)))&amp;". ")&amp;IF(LEN(IF(LEN(INDEX('Vendor COIs'!$D$4:$D$503,(_calc!$E$245-500)))=0,"",INDEX('Vendor COIs'!$D$4:$D$503,(_calc!$E$245-500))))=0,"","Policy no.: "&amp;IF(LEN(INDEX('Vendor COIs'!$D$4:$D$503,(_calc!$E$245-500)))=0,"",INDEX('Vendor COIs'!$D$4:$D$503,(_calc!$E$245-500)))&amp;". ")&amp;IF(LEN(IF(LEN(INDEX('Vendor COIs'!$F$4:$F$503,(_calc!$E$245-500)))=0,"",INDEX('Vendor COIs'!$F$4:$F$503,(_calc!$E$245-500))))=0,"","Meets minimum: "&amp;IF(LEN(INDEX('Vendor COIs'!$F$4:$F$503,(_calc!$E$245-500)))=0,"",INDEX('Vendor COIs'!$F$4:$F$503,(_calc!$E$245-500)))&amp;". ")&amp;IF(LEN(IF(LEN(INDEX('Vendor COIs'!$G$4:$G$503,(_calc!$E$245-500)))=0,"",INDEX('Vendor COIs'!$G$4:$G$503,(_calc!$E$245-500))))=0,"","Additional insured: "&amp;IF(LEN(INDEX('Vendor COIs'!$G$4:$G$503,(_calc!$E$245-500)))=0,"",INDEX('Vendor COIs'!$G$4:$G$503,(_calc!$E$245-500)))&amp;". ")&amp;IF(LEN(IF(LEN(INDEX('Vendor COIs'!$M$4:$M$503,(_calc!$E$245-500)))=0,"",INDEX('Vendor COIs'!$M$4:$M$503,(_calc!$E$245-500))))=0,"","Vendor contact: "&amp;IF(LEN(INDEX('Vendor COIs'!$M$4:$M$503,(_calc!$E$245-500)))=0,"",INDEX('Vendor COIs'!$M$4:$M$503,(_calc!$E$245-500)))&amp;". ")&amp;IF(LEN(IF(LEN(INDEX('Vendor COIs'!$P$4:$P$503,(_calc!$E$245-500)))=0,"",INDEX('Vendor COIs'!$P$4:$P$503,(_calc!$E$245-500))))=0,"",IF(LEN(INDEX('Vendor COIs'!$P$4:$P$503,(_calc!$E$245-500)))=0,"",INDEX('Vendor COIs'!$P$4:$P$503,(_calc!$E$245-500)))))))</f>
        <v/>
      </c>
      <c r="G243" s="46">
        <f>IF(_calc!$E$245="","",IF(_calc!$E$245&lt;=500,IF(LEN(INDEX('Our policies'!$R$4:$R$503,_calc!$E$245))=0,"",INDEX('Our policies'!$R$4:$R$503,_calc!$E$245)),IF(LEN(INDEX('Vendor COIs'!$O$4:$O$503,(_calc!$E$245-500)))=0,"",INDEX('Vendor COIs'!$O$4:$O$503,(_calc!$E$245-500)))))</f>
        <v/>
      </c>
      <c r="H243" s="46">
        <f>IF(_calc!$E$245="","",IF(_calc!$E$245&lt;=500,IF(LEN(INDEX('Our policies'!$G$4:$G$503,_calc!$E$245))=0,"",INDEX('Our policies'!$G$4:$G$503,_calc!$E$245)),""))</f>
        <v/>
      </c>
      <c r="I243" s="46">
        <f>IF(_calc!$E$245="","",IF(_calc!$E$245&lt;=500,IF(LEN(INDEX('Our policies'!$H$4:$H$503,_calc!$E$245))=0,"",INDEX('Our policies'!$H$4:$H$503,_calc!$E$245)),""))</f>
        <v/>
      </c>
      <c r="K243" s="46">
        <f>IF(_calc!$E$245="","",IF(_calc!$E$245&lt;=500,IF(LEN(INDEX('Our policies'!$P$4:$P$503,_calc!$E$245))=0,"",INDEX('Our policies'!$P$4:$P$503,_calc!$E$245)),IF(LEN(INDEX('Vendor COIs'!$N$4:$N$503,(_calc!$E$245-500)))=0,"",INDEX('Vendor COIs'!$N$4:$N$503,(_calc!$E$245-500)))))</f>
        <v/>
      </c>
    </row>
    <row r="244">
      <c r="A244" s="46">
        <f>IF(_calc!$E$246="","",IF(_calc!$E$246&lt;=500,IF(LEN(INDEX('Our policies'!$A$4:$A$503,_calc!$E$246))=0,"",INDEX('Our policies'!$A$4:$A$503,_calc!$E$246)),"COI – "&amp;IF(LEN(INDEX('Vendor COIs'!$A$4:$A$503,(_calc!$E$246-500)))=0,"",INDEX('Vendor COIs'!$A$4:$A$503,(_calc!$E$246-500)))&amp;" – "&amp;IF(LEN(INDEX('Vendor COIs'!$B$4:$B$503,(_calc!$E$246-500)))=0,"",INDEX('Vendor COIs'!$B$4:$B$503,(_calc!$E$246-500)))))</f>
        <v/>
      </c>
      <c r="B244" s="46">
        <f>IF(_calc!$E$246="","",IF(_calc!$E$246&lt;=500,IF(ISNUMBER(INDEX('Our policies'!$J$4:$J$503,_calc!$E$246)),TEXT(INDEX('Our policies'!$J$4:$J$503,_calc!$E$246),"yyyy-mm-dd"),""),IF(ISNUMBER(INDEX('Vendor COIs'!$H$4:$H$503,(_calc!$E$246-500))),TEXT(INDEX('Vendor COIs'!$H$4:$H$503,(_calc!$E$246-500)),"yyyy-mm-dd"),"")))</f>
        <v/>
      </c>
      <c r="C244" s="46">
        <f>IF(_calc!$E$246="","",IF(_calc!$E$246&lt;=500,"Insurance","Certificate of insurance"))</f>
        <v/>
      </c>
      <c r="D244" s="46">
        <f>IF(_calc!$E$246="","",IF(_calc!$E$246&lt;=500,IF(ISNUMBER(INDEX('Our policies'!$I$4:$I$503,_calc!$E$246)),TEXT(INDEX('Our policies'!$I$4:$I$503,_calc!$E$246),"yyyy-mm-dd"),""),""))</f>
        <v/>
      </c>
      <c r="E244" s="46">
        <f>IF(_calc!$E$246="","",IF(_calc!$E$246&lt;=500,IF(LEN(INDEX('Our policies'!$Q$4:$Q$503,_calc!$E$246))=0,"",INDEX('Our policies'!$Q$4:$Q$503,_calc!$E$246)),"Medium"))</f>
        <v/>
      </c>
      <c r="F244" s="46">
        <f>IF(_calc!$E$246="","",IF(_calc!$E$246&lt;=500,TRIM(IF(LEN(IF(LEN(INDEX('Our policies'!$B$4:$B$503,_calc!$E$246))=0,"",INDEX('Our policies'!$B$4:$B$503,_calc!$E$246)))=0,"","Cover: "&amp;IF(LEN(INDEX('Our policies'!$B$4:$B$503,_calc!$E$246))=0,"",INDEX('Our policies'!$B$4:$B$503,_calc!$E$246))&amp;". ")&amp;IF(LEN(IF(LEN(INDEX('Our policies'!$C$4:$C$503,_calc!$E$246))=0,"",INDEX('Our policies'!$C$4:$C$503,_calc!$E$246)))=0,"","Insurer: "&amp;IF(LEN(INDEX('Our policies'!$C$4:$C$503,_calc!$E$246))=0,"",INDEX('Our policies'!$C$4:$C$503,_calc!$E$246))&amp;". ")&amp;IF(LEN(IF(LEN(INDEX('Our policies'!$D$4:$D$503,_calc!$E$246))=0,"",INDEX('Our policies'!$D$4:$D$503,_calc!$E$246)))=0,"","Broker: "&amp;IF(LEN(INDEX('Our policies'!$D$4:$D$503,_calc!$E$246))=0,"",INDEX('Our policies'!$D$4:$D$503,_calc!$E$246))&amp;". ")&amp;IF(LEN(IF(LEN(INDEX('Our policies'!$E$4:$E$503,_calc!$E$246))=0,"",INDEX('Our policies'!$E$4:$E$503,_calc!$E$246)))=0,"","Policy no.: "&amp;IF(LEN(INDEX('Our policies'!$E$4:$E$503,_calc!$E$246))=0,"",INDEX('Our policies'!$E$4:$E$503,_calc!$E$246))&amp;". ")&amp;IF(LEN(IF(LEN(INDEX('Our policies'!$S$4:$S$503,_calc!$E$246))=0,"",INDEX('Our policies'!$S$4:$S$503,_calc!$E$246)))=0,"",IF(LEN(INDEX('Our policies'!$S$4:$S$503,_calc!$E$246))=0,"",INDEX('Our policies'!$S$4:$S$503,_calc!$E$246)))),TRIM(IF(LEN(IF(LEN(INDEX('Vendor COIs'!$C$4:$C$503,(_calc!$E$246-500)))=0,"",INDEX('Vendor COIs'!$C$4:$C$503,(_calc!$E$246-500))))=0,"","Insurer: "&amp;IF(LEN(INDEX('Vendor COIs'!$C$4:$C$503,(_calc!$E$246-500)))=0,"",INDEX('Vendor COIs'!$C$4:$C$503,(_calc!$E$246-500)))&amp;". ")&amp;IF(LEN(IF(LEN(INDEX('Vendor COIs'!$D$4:$D$503,(_calc!$E$246-500)))=0,"",INDEX('Vendor COIs'!$D$4:$D$503,(_calc!$E$246-500))))=0,"","Policy no.: "&amp;IF(LEN(INDEX('Vendor COIs'!$D$4:$D$503,(_calc!$E$246-500)))=0,"",INDEX('Vendor COIs'!$D$4:$D$503,(_calc!$E$246-500)))&amp;". ")&amp;IF(LEN(IF(LEN(INDEX('Vendor COIs'!$F$4:$F$503,(_calc!$E$246-500)))=0,"",INDEX('Vendor COIs'!$F$4:$F$503,(_calc!$E$246-500))))=0,"","Meets minimum: "&amp;IF(LEN(INDEX('Vendor COIs'!$F$4:$F$503,(_calc!$E$246-500)))=0,"",INDEX('Vendor COIs'!$F$4:$F$503,(_calc!$E$246-500)))&amp;". ")&amp;IF(LEN(IF(LEN(INDEX('Vendor COIs'!$G$4:$G$503,(_calc!$E$246-500)))=0,"",INDEX('Vendor COIs'!$G$4:$G$503,(_calc!$E$246-500))))=0,"","Additional insured: "&amp;IF(LEN(INDEX('Vendor COIs'!$G$4:$G$503,(_calc!$E$246-500)))=0,"",INDEX('Vendor COIs'!$G$4:$G$503,(_calc!$E$246-500)))&amp;". ")&amp;IF(LEN(IF(LEN(INDEX('Vendor COIs'!$M$4:$M$503,(_calc!$E$246-500)))=0,"",INDEX('Vendor COIs'!$M$4:$M$503,(_calc!$E$246-500))))=0,"","Vendor contact: "&amp;IF(LEN(INDEX('Vendor COIs'!$M$4:$M$503,(_calc!$E$246-500)))=0,"",INDEX('Vendor COIs'!$M$4:$M$503,(_calc!$E$246-500)))&amp;". ")&amp;IF(LEN(IF(LEN(INDEX('Vendor COIs'!$P$4:$P$503,(_calc!$E$246-500)))=0,"",INDEX('Vendor COIs'!$P$4:$P$503,(_calc!$E$246-500))))=0,"",IF(LEN(INDEX('Vendor COIs'!$P$4:$P$503,(_calc!$E$246-500)))=0,"",INDEX('Vendor COIs'!$P$4:$P$503,(_calc!$E$246-500)))))))</f>
        <v/>
      </c>
      <c r="G244" s="46">
        <f>IF(_calc!$E$246="","",IF(_calc!$E$246&lt;=500,IF(LEN(INDEX('Our policies'!$R$4:$R$503,_calc!$E$246))=0,"",INDEX('Our policies'!$R$4:$R$503,_calc!$E$246)),IF(LEN(INDEX('Vendor COIs'!$O$4:$O$503,(_calc!$E$246-500)))=0,"",INDEX('Vendor COIs'!$O$4:$O$503,(_calc!$E$246-500)))))</f>
        <v/>
      </c>
      <c r="H244" s="46">
        <f>IF(_calc!$E$246="","",IF(_calc!$E$246&lt;=500,IF(LEN(INDEX('Our policies'!$G$4:$G$503,_calc!$E$246))=0,"",INDEX('Our policies'!$G$4:$G$503,_calc!$E$246)),""))</f>
        <v/>
      </c>
      <c r="I244" s="46">
        <f>IF(_calc!$E$246="","",IF(_calc!$E$246&lt;=500,IF(LEN(INDEX('Our policies'!$H$4:$H$503,_calc!$E$246))=0,"",INDEX('Our policies'!$H$4:$H$503,_calc!$E$246)),""))</f>
        <v/>
      </c>
      <c r="K244" s="46">
        <f>IF(_calc!$E$246="","",IF(_calc!$E$246&lt;=500,IF(LEN(INDEX('Our policies'!$P$4:$P$503,_calc!$E$246))=0,"",INDEX('Our policies'!$P$4:$P$503,_calc!$E$246)),IF(LEN(INDEX('Vendor COIs'!$N$4:$N$503,(_calc!$E$246-500)))=0,"",INDEX('Vendor COIs'!$N$4:$N$503,(_calc!$E$246-500)))))</f>
        <v/>
      </c>
    </row>
    <row r="245">
      <c r="A245" s="46">
        <f>IF(_calc!$E$247="","",IF(_calc!$E$247&lt;=500,IF(LEN(INDEX('Our policies'!$A$4:$A$503,_calc!$E$247))=0,"",INDEX('Our policies'!$A$4:$A$503,_calc!$E$247)),"COI – "&amp;IF(LEN(INDEX('Vendor COIs'!$A$4:$A$503,(_calc!$E$247-500)))=0,"",INDEX('Vendor COIs'!$A$4:$A$503,(_calc!$E$247-500)))&amp;" – "&amp;IF(LEN(INDEX('Vendor COIs'!$B$4:$B$503,(_calc!$E$247-500)))=0,"",INDEX('Vendor COIs'!$B$4:$B$503,(_calc!$E$247-500)))))</f>
        <v/>
      </c>
      <c r="B245" s="46">
        <f>IF(_calc!$E$247="","",IF(_calc!$E$247&lt;=500,IF(ISNUMBER(INDEX('Our policies'!$J$4:$J$503,_calc!$E$247)),TEXT(INDEX('Our policies'!$J$4:$J$503,_calc!$E$247),"yyyy-mm-dd"),""),IF(ISNUMBER(INDEX('Vendor COIs'!$H$4:$H$503,(_calc!$E$247-500))),TEXT(INDEX('Vendor COIs'!$H$4:$H$503,(_calc!$E$247-500)),"yyyy-mm-dd"),"")))</f>
        <v/>
      </c>
      <c r="C245" s="46">
        <f>IF(_calc!$E$247="","",IF(_calc!$E$247&lt;=500,"Insurance","Certificate of insurance"))</f>
        <v/>
      </c>
      <c r="D245" s="46">
        <f>IF(_calc!$E$247="","",IF(_calc!$E$247&lt;=500,IF(ISNUMBER(INDEX('Our policies'!$I$4:$I$503,_calc!$E$247)),TEXT(INDEX('Our policies'!$I$4:$I$503,_calc!$E$247),"yyyy-mm-dd"),""),""))</f>
        <v/>
      </c>
      <c r="E245" s="46">
        <f>IF(_calc!$E$247="","",IF(_calc!$E$247&lt;=500,IF(LEN(INDEX('Our policies'!$Q$4:$Q$503,_calc!$E$247))=0,"",INDEX('Our policies'!$Q$4:$Q$503,_calc!$E$247)),"Medium"))</f>
        <v/>
      </c>
      <c r="F245" s="46">
        <f>IF(_calc!$E$247="","",IF(_calc!$E$247&lt;=500,TRIM(IF(LEN(IF(LEN(INDEX('Our policies'!$B$4:$B$503,_calc!$E$247))=0,"",INDEX('Our policies'!$B$4:$B$503,_calc!$E$247)))=0,"","Cover: "&amp;IF(LEN(INDEX('Our policies'!$B$4:$B$503,_calc!$E$247))=0,"",INDEX('Our policies'!$B$4:$B$503,_calc!$E$247))&amp;". ")&amp;IF(LEN(IF(LEN(INDEX('Our policies'!$C$4:$C$503,_calc!$E$247))=0,"",INDEX('Our policies'!$C$4:$C$503,_calc!$E$247)))=0,"","Insurer: "&amp;IF(LEN(INDEX('Our policies'!$C$4:$C$503,_calc!$E$247))=0,"",INDEX('Our policies'!$C$4:$C$503,_calc!$E$247))&amp;". ")&amp;IF(LEN(IF(LEN(INDEX('Our policies'!$D$4:$D$503,_calc!$E$247))=0,"",INDEX('Our policies'!$D$4:$D$503,_calc!$E$247)))=0,"","Broker: "&amp;IF(LEN(INDEX('Our policies'!$D$4:$D$503,_calc!$E$247))=0,"",INDEX('Our policies'!$D$4:$D$503,_calc!$E$247))&amp;". ")&amp;IF(LEN(IF(LEN(INDEX('Our policies'!$E$4:$E$503,_calc!$E$247))=0,"",INDEX('Our policies'!$E$4:$E$503,_calc!$E$247)))=0,"","Policy no.: "&amp;IF(LEN(INDEX('Our policies'!$E$4:$E$503,_calc!$E$247))=0,"",INDEX('Our policies'!$E$4:$E$503,_calc!$E$247))&amp;". ")&amp;IF(LEN(IF(LEN(INDEX('Our policies'!$S$4:$S$503,_calc!$E$247))=0,"",INDEX('Our policies'!$S$4:$S$503,_calc!$E$247)))=0,"",IF(LEN(INDEX('Our policies'!$S$4:$S$503,_calc!$E$247))=0,"",INDEX('Our policies'!$S$4:$S$503,_calc!$E$247)))),TRIM(IF(LEN(IF(LEN(INDEX('Vendor COIs'!$C$4:$C$503,(_calc!$E$247-500)))=0,"",INDEX('Vendor COIs'!$C$4:$C$503,(_calc!$E$247-500))))=0,"","Insurer: "&amp;IF(LEN(INDEX('Vendor COIs'!$C$4:$C$503,(_calc!$E$247-500)))=0,"",INDEX('Vendor COIs'!$C$4:$C$503,(_calc!$E$247-500)))&amp;". ")&amp;IF(LEN(IF(LEN(INDEX('Vendor COIs'!$D$4:$D$503,(_calc!$E$247-500)))=0,"",INDEX('Vendor COIs'!$D$4:$D$503,(_calc!$E$247-500))))=0,"","Policy no.: "&amp;IF(LEN(INDEX('Vendor COIs'!$D$4:$D$503,(_calc!$E$247-500)))=0,"",INDEX('Vendor COIs'!$D$4:$D$503,(_calc!$E$247-500)))&amp;". ")&amp;IF(LEN(IF(LEN(INDEX('Vendor COIs'!$F$4:$F$503,(_calc!$E$247-500)))=0,"",INDEX('Vendor COIs'!$F$4:$F$503,(_calc!$E$247-500))))=0,"","Meets minimum: "&amp;IF(LEN(INDEX('Vendor COIs'!$F$4:$F$503,(_calc!$E$247-500)))=0,"",INDEX('Vendor COIs'!$F$4:$F$503,(_calc!$E$247-500)))&amp;". ")&amp;IF(LEN(IF(LEN(INDEX('Vendor COIs'!$G$4:$G$503,(_calc!$E$247-500)))=0,"",INDEX('Vendor COIs'!$G$4:$G$503,(_calc!$E$247-500))))=0,"","Additional insured: "&amp;IF(LEN(INDEX('Vendor COIs'!$G$4:$G$503,(_calc!$E$247-500)))=0,"",INDEX('Vendor COIs'!$G$4:$G$503,(_calc!$E$247-500)))&amp;". ")&amp;IF(LEN(IF(LEN(INDEX('Vendor COIs'!$M$4:$M$503,(_calc!$E$247-500)))=0,"",INDEX('Vendor COIs'!$M$4:$M$503,(_calc!$E$247-500))))=0,"","Vendor contact: "&amp;IF(LEN(INDEX('Vendor COIs'!$M$4:$M$503,(_calc!$E$247-500)))=0,"",INDEX('Vendor COIs'!$M$4:$M$503,(_calc!$E$247-500)))&amp;". ")&amp;IF(LEN(IF(LEN(INDEX('Vendor COIs'!$P$4:$P$503,(_calc!$E$247-500)))=0,"",INDEX('Vendor COIs'!$P$4:$P$503,(_calc!$E$247-500))))=0,"",IF(LEN(INDEX('Vendor COIs'!$P$4:$P$503,(_calc!$E$247-500)))=0,"",INDEX('Vendor COIs'!$P$4:$P$503,(_calc!$E$247-500)))))))</f>
        <v/>
      </c>
      <c r="G245" s="46">
        <f>IF(_calc!$E$247="","",IF(_calc!$E$247&lt;=500,IF(LEN(INDEX('Our policies'!$R$4:$R$503,_calc!$E$247))=0,"",INDEX('Our policies'!$R$4:$R$503,_calc!$E$247)),IF(LEN(INDEX('Vendor COIs'!$O$4:$O$503,(_calc!$E$247-500)))=0,"",INDEX('Vendor COIs'!$O$4:$O$503,(_calc!$E$247-500)))))</f>
        <v/>
      </c>
      <c r="H245" s="46">
        <f>IF(_calc!$E$247="","",IF(_calc!$E$247&lt;=500,IF(LEN(INDEX('Our policies'!$G$4:$G$503,_calc!$E$247))=0,"",INDEX('Our policies'!$G$4:$G$503,_calc!$E$247)),""))</f>
        <v/>
      </c>
      <c r="I245" s="46">
        <f>IF(_calc!$E$247="","",IF(_calc!$E$247&lt;=500,IF(LEN(INDEX('Our policies'!$H$4:$H$503,_calc!$E$247))=0,"",INDEX('Our policies'!$H$4:$H$503,_calc!$E$247)),""))</f>
        <v/>
      </c>
      <c r="K245" s="46">
        <f>IF(_calc!$E$247="","",IF(_calc!$E$247&lt;=500,IF(LEN(INDEX('Our policies'!$P$4:$P$503,_calc!$E$247))=0,"",INDEX('Our policies'!$P$4:$P$503,_calc!$E$247)),IF(LEN(INDEX('Vendor COIs'!$N$4:$N$503,(_calc!$E$247-500)))=0,"",INDEX('Vendor COIs'!$N$4:$N$503,(_calc!$E$247-500)))))</f>
        <v/>
      </c>
    </row>
    <row r="246">
      <c r="A246" s="46">
        <f>IF(_calc!$E$248="","",IF(_calc!$E$248&lt;=500,IF(LEN(INDEX('Our policies'!$A$4:$A$503,_calc!$E$248))=0,"",INDEX('Our policies'!$A$4:$A$503,_calc!$E$248)),"COI – "&amp;IF(LEN(INDEX('Vendor COIs'!$A$4:$A$503,(_calc!$E$248-500)))=0,"",INDEX('Vendor COIs'!$A$4:$A$503,(_calc!$E$248-500)))&amp;" – "&amp;IF(LEN(INDEX('Vendor COIs'!$B$4:$B$503,(_calc!$E$248-500)))=0,"",INDEX('Vendor COIs'!$B$4:$B$503,(_calc!$E$248-500)))))</f>
        <v/>
      </c>
      <c r="B246" s="46">
        <f>IF(_calc!$E$248="","",IF(_calc!$E$248&lt;=500,IF(ISNUMBER(INDEX('Our policies'!$J$4:$J$503,_calc!$E$248)),TEXT(INDEX('Our policies'!$J$4:$J$503,_calc!$E$248),"yyyy-mm-dd"),""),IF(ISNUMBER(INDEX('Vendor COIs'!$H$4:$H$503,(_calc!$E$248-500))),TEXT(INDEX('Vendor COIs'!$H$4:$H$503,(_calc!$E$248-500)),"yyyy-mm-dd"),"")))</f>
        <v/>
      </c>
      <c r="C246" s="46">
        <f>IF(_calc!$E$248="","",IF(_calc!$E$248&lt;=500,"Insurance","Certificate of insurance"))</f>
        <v/>
      </c>
      <c r="D246" s="46">
        <f>IF(_calc!$E$248="","",IF(_calc!$E$248&lt;=500,IF(ISNUMBER(INDEX('Our policies'!$I$4:$I$503,_calc!$E$248)),TEXT(INDEX('Our policies'!$I$4:$I$503,_calc!$E$248),"yyyy-mm-dd"),""),""))</f>
        <v/>
      </c>
      <c r="E246" s="46">
        <f>IF(_calc!$E$248="","",IF(_calc!$E$248&lt;=500,IF(LEN(INDEX('Our policies'!$Q$4:$Q$503,_calc!$E$248))=0,"",INDEX('Our policies'!$Q$4:$Q$503,_calc!$E$248)),"Medium"))</f>
        <v/>
      </c>
      <c r="F246" s="46">
        <f>IF(_calc!$E$248="","",IF(_calc!$E$248&lt;=500,TRIM(IF(LEN(IF(LEN(INDEX('Our policies'!$B$4:$B$503,_calc!$E$248))=0,"",INDEX('Our policies'!$B$4:$B$503,_calc!$E$248)))=0,"","Cover: "&amp;IF(LEN(INDEX('Our policies'!$B$4:$B$503,_calc!$E$248))=0,"",INDEX('Our policies'!$B$4:$B$503,_calc!$E$248))&amp;". ")&amp;IF(LEN(IF(LEN(INDEX('Our policies'!$C$4:$C$503,_calc!$E$248))=0,"",INDEX('Our policies'!$C$4:$C$503,_calc!$E$248)))=0,"","Insurer: "&amp;IF(LEN(INDEX('Our policies'!$C$4:$C$503,_calc!$E$248))=0,"",INDEX('Our policies'!$C$4:$C$503,_calc!$E$248))&amp;". ")&amp;IF(LEN(IF(LEN(INDEX('Our policies'!$D$4:$D$503,_calc!$E$248))=0,"",INDEX('Our policies'!$D$4:$D$503,_calc!$E$248)))=0,"","Broker: "&amp;IF(LEN(INDEX('Our policies'!$D$4:$D$503,_calc!$E$248))=0,"",INDEX('Our policies'!$D$4:$D$503,_calc!$E$248))&amp;". ")&amp;IF(LEN(IF(LEN(INDEX('Our policies'!$E$4:$E$503,_calc!$E$248))=0,"",INDEX('Our policies'!$E$4:$E$503,_calc!$E$248)))=0,"","Policy no.: "&amp;IF(LEN(INDEX('Our policies'!$E$4:$E$503,_calc!$E$248))=0,"",INDEX('Our policies'!$E$4:$E$503,_calc!$E$248))&amp;". ")&amp;IF(LEN(IF(LEN(INDEX('Our policies'!$S$4:$S$503,_calc!$E$248))=0,"",INDEX('Our policies'!$S$4:$S$503,_calc!$E$248)))=0,"",IF(LEN(INDEX('Our policies'!$S$4:$S$503,_calc!$E$248))=0,"",INDEX('Our policies'!$S$4:$S$503,_calc!$E$248)))),TRIM(IF(LEN(IF(LEN(INDEX('Vendor COIs'!$C$4:$C$503,(_calc!$E$248-500)))=0,"",INDEX('Vendor COIs'!$C$4:$C$503,(_calc!$E$248-500))))=0,"","Insurer: "&amp;IF(LEN(INDEX('Vendor COIs'!$C$4:$C$503,(_calc!$E$248-500)))=0,"",INDEX('Vendor COIs'!$C$4:$C$503,(_calc!$E$248-500)))&amp;". ")&amp;IF(LEN(IF(LEN(INDEX('Vendor COIs'!$D$4:$D$503,(_calc!$E$248-500)))=0,"",INDEX('Vendor COIs'!$D$4:$D$503,(_calc!$E$248-500))))=0,"","Policy no.: "&amp;IF(LEN(INDEX('Vendor COIs'!$D$4:$D$503,(_calc!$E$248-500)))=0,"",INDEX('Vendor COIs'!$D$4:$D$503,(_calc!$E$248-500)))&amp;". ")&amp;IF(LEN(IF(LEN(INDEX('Vendor COIs'!$F$4:$F$503,(_calc!$E$248-500)))=0,"",INDEX('Vendor COIs'!$F$4:$F$503,(_calc!$E$248-500))))=0,"","Meets minimum: "&amp;IF(LEN(INDEX('Vendor COIs'!$F$4:$F$503,(_calc!$E$248-500)))=0,"",INDEX('Vendor COIs'!$F$4:$F$503,(_calc!$E$248-500)))&amp;". ")&amp;IF(LEN(IF(LEN(INDEX('Vendor COIs'!$G$4:$G$503,(_calc!$E$248-500)))=0,"",INDEX('Vendor COIs'!$G$4:$G$503,(_calc!$E$248-500))))=0,"","Additional insured: "&amp;IF(LEN(INDEX('Vendor COIs'!$G$4:$G$503,(_calc!$E$248-500)))=0,"",INDEX('Vendor COIs'!$G$4:$G$503,(_calc!$E$248-500)))&amp;". ")&amp;IF(LEN(IF(LEN(INDEX('Vendor COIs'!$M$4:$M$503,(_calc!$E$248-500)))=0,"",INDEX('Vendor COIs'!$M$4:$M$503,(_calc!$E$248-500))))=0,"","Vendor contact: "&amp;IF(LEN(INDEX('Vendor COIs'!$M$4:$M$503,(_calc!$E$248-500)))=0,"",INDEX('Vendor COIs'!$M$4:$M$503,(_calc!$E$248-500)))&amp;". ")&amp;IF(LEN(IF(LEN(INDEX('Vendor COIs'!$P$4:$P$503,(_calc!$E$248-500)))=0,"",INDEX('Vendor COIs'!$P$4:$P$503,(_calc!$E$248-500))))=0,"",IF(LEN(INDEX('Vendor COIs'!$P$4:$P$503,(_calc!$E$248-500)))=0,"",INDEX('Vendor COIs'!$P$4:$P$503,(_calc!$E$248-500)))))))</f>
        <v/>
      </c>
      <c r="G246" s="46">
        <f>IF(_calc!$E$248="","",IF(_calc!$E$248&lt;=500,IF(LEN(INDEX('Our policies'!$R$4:$R$503,_calc!$E$248))=0,"",INDEX('Our policies'!$R$4:$R$503,_calc!$E$248)),IF(LEN(INDEX('Vendor COIs'!$O$4:$O$503,(_calc!$E$248-500)))=0,"",INDEX('Vendor COIs'!$O$4:$O$503,(_calc!$E$248-500)))))</f>
        <v/>
      </c>
      <c r="H246" s="46">
        <f>IF(_calc!$E$248="","",IF(_calc!$E$248&lt;=500,IF(LEN(INDEX('Our policies'!$G$4:$G$503,_calc!$E$248))=0,"",INDEX('Our policies'!$G$4:$G$503,_calc!$E$248)),""))</f>
        <v/>
      </c>
      <c r="I246" s="46">
        <f>IF(_calc!$E$248="","",IF(_calc!$E$248&lt;=500,IF(LEN(INDEX('Our policies'!$H$4:$H$503,_calc!$E$248))=0,"",INDEX('Our policies'!$H$4:$H$503,_calc!$E$248)),""))</f>
        <v/>
      </c>
      <c r="K246" s="46">
        <f>IF(_calc!$E$248="","",IF(_calc!$E$248&lt;=500,IF(LEN(INDEX('Our policies'!$P$4:$P$503,_calc!$E$248))=0,"",INDEX('Our policies'!$P$4:$P$503,_calc!$E$248)),IF(LEN(INDEX('Vendor COIs'!$N$4:$N$503,(_calc!$E$248-500)))=0,"",INDEX('Vendor COIs'!$N$4:$N$503,(_calc!$E$248-500)))))</f>
        <v/>
      </c>
    </row>
    <row r="247">
      <c r="A247" s="46">
        <f>IF(_calc!$E$249="","",IF(_calc!$E$249&lt;=500,IF(LEN(INDEX('Our policies'!$A$4:$A$503,_calc!$E$249))=0,"",INDEX('Our policies'!$A$4:$A$503,_calc!$E$249)),"COI – "&amp;IF(LEN(INDEX('Vendor COIs'!$A$4:$A$503,(_calc!$E$249-500)))=0,"",INDEX('Vendor COIs'!$A$4:$A$503,(_calc!$E$249-500)))&amp;" – "&amp;IF(LEN(INDEX('Vendor COIs'!$B$4:$B$503,(_calc!$E$249-500)))=0,"",INDEX('Vendor COIs'!$B$4:$B$503,(_calc!$E$249-500)))))</f>
        <v/>
      </c>
      <c r="B247" s="46">
        <f>IF(_calc!$E$249="","",IF(_calc!$E$249&lt;=500,IF(ISNUMBER(INDEX('Our policies'!$J$4:$J$503,_calc!$E$249)),TEXT(INDEX('Our policies'!$J$4:$J$503,_calc!$E$249),"yyyy-mm-dd"),""),IF(ISNUMBER(INDEX('Vendor COIs'!$H$4:$H$503,(_calc!$E$249-500))),TEXT(INDEX('Vendor COIs'!$H$4:$H$503,(_calc!$E$249-500)),"yyyy-mm-dd"),"")))</f>
        <v/>
      </c>
      <c r="C247" s="46">
        <f>IF(_calc!$E$249="","",IF(_calc!$E$249&lt;=500,"Insurance","Certificate of insurance"))</f>
        <v/>
      </c>
      <c r="D247" s="46">
        <f>IF(_calc!$E$249="","",IF(_calc!$E$249&lt;=500,IF(ISNUMBER(INDEX('Our policies'!$I$4:$I$503,_calc!$E$249)),TEXT(INDEX('Our policies'!$I$4:$I$503,_calc!$E$249),"yyyy-mm-dd"),""),""))</f>
        <v/>
      </c>
      <c r="E247" s="46">
        <f>IF(_calc!$E$249="","",IF(_calc!$E$249&lt;=500,IF(LEN(INDEX('Our policies'!$Q$4:$Q$503,_calc!$E$249))=0,"",INDEX('Our policies'!$Q$4:$Q$503,_calc!$E$249)),"Medium"))</f>
        <v/>
      </c>
      <c r="F247" s="46">
        <f>IF(_calc!$E$249="","",IF(_calc!$E$249&lt;=500,TRIM(IF(LEN(IF(LEN(INDEX('Our policies'!$B$4:$B$503,_calc!$E$249))=0,"",INDEX('Our policies'!$B$4:$B$503,_calc!$E$249)))=0,"","Cover: "&amp;IF(LEN(INDEX('Our policies'!$B$4:$B$503,_calc!$E$249))=0,"",INDEX('Our policies'!$B$4:$B$503,_calc!$E$249))&amp;". ")&amp;IF(LEN(IF(LEN(INDEX('Our policies'!$C$4:$C$503,_calc!$E$249))=0,"",INDEX('Our policies'!$C$4:$C$503,_calc!$E$249)))=0,"","Insurer: "&amp;IF(LEN(INDEX('Our policies'!$C$4:$C$503,_calc!$E$249))=0,"",INDEX('Our policies'!$C$4:$C$503,_calc!$E$249))&amp;". ")&amp;IF(LEN(IF(LEN(INDEX('Our policies'!$D$4:$D$503,_calc!$E$249))=0,"",INDEX('Our policies'!$D$4:$D$503,_calc!$E$249)))=0,"","Broker: "&amp;IF(LEN(INDEX('Our policies'!$D$4:$D$503,_calc!$E$249))=0,"",INDEX('Our policies'!$D$4:$D$503,_calc!$E$249))&amp;". ")&amp;IF(LEN(IF(LEN(INDEX('Our policies'!$E$4:$E$503,_calc!$E$249))=0,"",INDEX('Our policies'!$E$4:$E$503,_calc!$E$249)))=0,"","Policy no.: "&amp;IF(LEN(INDEX('Our policies'!$E$4:$E$503,_calc!$E$249))=0,"",INDEX('Our policies'!$E$4:$E$503,_calc!$E$249))&amp;". ")&amp;IF(LEN(IF(LEN(INDEX('Our policies'!$S$4:$S$503,_calc!$E$249))=0,"",INDEX('Our policies'!$S$4:$S$503,_calc!$E$249)))=0,"",IF(LEN(INDEX('Our policies'!$S$4:$S$503,_calc!$E$249))=0,"",INDEX('Our policies'!$S$4:$S$503,_calc!$E$249)))),TRIM(IF(LEN(IF(LEN(INDEX('Vendor COIs'!$C$4:$C$503,(_calc!$E$249-500)))=0,"",INDEX('Vendor COIs'!$C$4:$C$503,(_calc!$E$249-500))))=0,"","Insurer: "&amp;IF(LEN(INDEX('Vendor COIs'!$C$4:$C$503,(_calc!$E$249-500)))=0,"",INDEX('Vendor COIs'!$C$4:$C$503,(_calc!$E$249-500)))&amp;". ")&amp;IF(LEN(IF(LEN(INDEX('Vendor COIs'!$D$4:$D$503,(_calc!$E$249-500)))=0,"",INDEX('Vendor COIs'!$D$4:$D$503,(_calc!$E$249-500))))=0,"","Policy no.: "&amp;IF(LEN(INDEX('Vendor COIs'!$D$4:$D$503,(_calc!$E$249-500)))=0,"",INDEX('Vendor COIs'!$D$4:$D$503,(_calc!$E$249-500)))&amp;". ")&amp;IF(LEN(IF(LEN(INDEX('Vendor COIs'!$F$4:$F$503,(_calc!$E$249-500)))=0,"",INDEX('Vendor COIs'!$F$4:$F$503,(_calc!$E$249-500))))=0,"","Meets minimum: "&amp;IF(LEN(INDEX('Vendor COIs'!$F$4:$F$503,(_calc!$E$249-500)))=0,"",INDEX('Vendor COIs'!$F$4:$F$503,(_calc!$E$249-500)))&amp;". ")&amp;IF(LEN(IF(LEN(INDEX('Vendor COIs'!$G$4:$G$503,(_calc!$E$249-500)))=0,"",INDEX('Vendor COIs'!$G$4:$G$503,(_calc!$E$249-500))))=0,"","Additional insured: "&amp;IF(LEN(INDEX('Vendor COIs'!$G$4:$G$503,(_calc!$E$249-500)))=0,"",INDEX('Vendor COIs'!$G$4:$G$503,(_calc!$E$249-500)))&amp;". ")&amp;IF(LEN(IF(LEN(INDEX('Vendor COIs'!$M$4:$M$503,(_calc!$E$249-500)))=0,"",INDEX('Vendor COIs'!$M$4:$M$503,(_calc!$E$249-500))))=0,"","Vendor contact: "&amp;IF(LEN(INDEX('Vendor COIs'!$M$4:$M$503,(_calc!$E$249-500)))=0,"",INDEX('Vendor COIs'!$M$4:$M$503,(_calc!$E$249-500)))&amp;". ")&amp;IF(LEN(IF(LEN(INDEX('Vendor COIs'!$P$4:$P$503,(_calc!$E$249-500)))=0,"",INDEX('Vendor COIs'!$P$4:$P$503,(_calc!$E$249-500))))=0,"",IF(LEN(INDEX('Vendor COIs'!$P$4:$P$503,(_calc!$E$249-500)))=0,"",INDEX('Vendor COIs'!$P$4:$P$503,(_calc!$E$249-500)))))))</f>
        <v/>
      </c>
      <c r="G247" s="46">
        <f>IF(_calc!$E$249="","",IF(_calc!$E$249&lt;=500,IF(LEN(INDEX('Our policies'!$R$4:$R$503,_calc!$E$249))=0,"",INDEX('Our policies'!$R$4:$R$503,_calc!$E$249)),IF(LEN(INDEX('Vendor COIs'!$O$4:$O$503,(_calc!$E$249-500)))=0,"",INDEX('Vendor COIs'!$O$4:$O$503,(_calc!$E$249-500)))))</f>
        <v/>
      </c>
      <c r="H247" s="46">
        <f>IF(_calc!$E$249="","",IF(_calc!$E$249&lt;=500,IF(LEN(INDEX('Our policies'!$G$4:$G$503,_calc!$E$249))=0,"",INDEX('Our policies'!$G$4:$G$503,_calc!$E$249)),""))</f>
        <v/>
      </c>
      <c r="I247" s="46">
        <f>IF(_calc!$E$249="","",IF(_calc!$E$249&lt;=500,IF(LEN(INDEX('Our policies'!$H$4:$H$503,_calc!$E$249))=0,"",INDEX('Our policies'!$H$4:$H$503,_calc!$E$249)),""))</f>
        <v/>
      </c>
      <c r="K247" s="46">
        <f>IF(_calc!$E$249="","",IF(_calc!$E$249&lt;=500,IF(LEN(INDEX('Our policies'!$P$4:$P$503,_calc!$E$249))=0,"",INDEX('Our policies'!$P$4:$P$503,_calc!$E$249)),IF(LEN(INDEX('Vendor COIs'!$N$4:$N$503,(_calc!$E$249-500)))=0,"",INDEX('Vendor COIs'!$N$4:$N$503,(_calc!$E$249-500)))))</f>
        <v/>
      </c>
    </row>
    <row r="248">
      <c r="A248" s="46">
        <f>IF(_calc!$E$250="","",IF(_calc!$E$250&lt;=500,IF(LEN(INDEX('Our policies'!$A$4:$A$503,_calc!$E$250))=0,"",INDEX('Our policies'!$A$4:$A$503,_calc!$E$250)),"COI – "&amp;IF(LEN(INDEX('Vendor COIs'!$A$4:$A$503,(_calc!$E$250-500)))=0,"",INDEX('Vendor COIs'!$A$4:$A$503,(_calc!$E$250-500)))&amp;" – "&amp;IF(LEN(INDEX('Vendor COIs'!$B$4:$B$503,(_calc!$E$250-500)))=0,"",INDEX('Vendor COIs'!$B$4:$B$503,(_calc!$E$250-500)))))</f>
        <v/>
      </c>
      <c r="B248" s="46">
        <f>IF(_calc!$E$250="","",IF(_calc!$E$250&lt;=500,IF(ISNUMBER(INDEX('Our policies'!$J$4:$J$503,_calc!$E$250)),TEXT(INDEX('Our policies'!$J$4:$J$503,_calc!$E$250),"yyyy-mm-dd"),""),IF(ISNUMBER(INDEX('Vendor COIs'!$H$4:$H$503,(_calc!$E$250-500))),TEXT(INDEX('Vendor COIs'!$H$4:$H$503,(_calc!$E$250-500)),"yyyy-mm-dd"),"")))</f>
        <v/>
      </c>
      <c r="C248" s="46">
        <f>IF(_calc!$E$250="","",IF(_calc!$E$250&lt;=500,"Insurance","Certificate of insurance"))</f>
        <v/>
      </c>
      <c r="D248" s="46">
        <f>IF(_calc!$E$250="","",IF(_calc!$E$250&lt;=500,IF(ISNUMBER(INDEX('Our policies'!$I$4:$I$503,_calc!$E$250)),TEXT(INDEX('Our policies'!$I$4:$I$503,_calc!$E$250),"yyyy-mm-dd"),""),""))</f>
        <v/>
      </c>
      <c r="E248" s="46">
        <f>IF(_calc!$E$250="","",IF(_calc!$E$250&lt;=500,IF(LEN(INDEX('Our policies'!$Q$4:$Q$503,_calc!$E$250))=0,"",INDEX('Our policies'!$Q$4:$Q$503,_calc!$E$250)),"Medium"))</f>
        <v/>
      </c>
      <c r="F248" s="46">
        <f>IF(_calc!$E$250="","",IF(_calc!$E$250&lt;=500,TRIM(IF(LEN(IF(LEN(INDEX('Our policies'!$B$4:$B$503,_calc!$E$250))=0,"",INDEX('Our policies'!$B$4:$B$503,_calc!$E$250)))=0,"","Cover: "&amp;IF(LEN(INDEX('Our policies'!$B$4:$B$503,_calc!$E$250))=0,"",INDEX('Our policies'!$B$4:$B$503,_calc!$E$250))&amp;". ")&amp;IF(LEN(IF(LEN(INDEX('Our policies'!$C$4:$C$503,_calc!$E$250))=0,"",INDEX('Our policies'!$C$4:$C$503,_calc!$E$250)))=0,"","Insurer: "&amp;IF(LEN(INDEX('Our policies'!$C$4:$C$503,_calc!$E$250))=0,"",INDEX('Our policies'!$C$4:$C$503,_calc!$E$250))&amp;". ")&amp;IF(LEN(IF(LEN(INDEX('Our policies'!$D$4:$D$503,_calc!$E$250))=0,"",INDEX('Our policies'!$D$4:$D$503,_calc!$E$250)))=0,"","Broker: "&amp;IF(LEN(INDEX('Our policies'!$D$4:$D$503,_calc!$E$250))=0,"",INDEX('Our policies'!$D$4:$D$503,_calc!$E$250))&amp;". ")&amp;IF(LEN(IF(LEN(INDEX('Our policies'!$E$4:$E$503,_calc!$E$250))=0,"",INDEX('Our policies'!$E$4:$E$503,_calc!$E$250)))=0,"","Policy no.: "&amp;IF(LEN(INDEX('Our policies'!$E$4:$E$503,_calc!$E$250))=0,"",INDEX('Our policies'!$E$4:$E$503,_calc!$E$250))&amp;". ")&amp;IF(LEN(IF(LEN(INDEX('Our policies'!$S$4:$S$503,_calc!$E$250))=0,"",INDEX('Our policies'!$S$4:$S$503,_calc!$E$250)))=0,"",IF(LEN(INDEX('Our policies'!$S$4:$S$503,_calc!$E$250))=0,"",INDEX('Our policies'!$S$4:$S$503,_calc!$E$250)))),TRIM(IF(LEN(IF(LEN(INDEX('Vendor COIs'!$C$4:$C$503,(_calc!$E$250-500)))=0,"",INDEX('Vendor COIs'!$C$4:$C$503,(_calc!$E$250-500))))=0,"","Insurer: "&amp;IF(LEN(INDEX('Vendor COIs'!$C$4:$C$503,(_calc!$E$250-500)))=0,"",INDEX('Vendor COIs'!$C$4:$C$503,(_calc!$E$250-500)))&amp;". ")&amp;IF(LEN(IF(LEN(INDEX('Vendor COIs'!$D$4:$D$503,(_calc!$E$250-500)))=0,"",INDEX('Vendor COIs'!$D$4:$D$503,(_calc!$E$250-500))))=0,"","Policy no.: "&amp;IF(LEN(INDEX('Vendor COIs'!$D$4:$D$503,(_calc!$E$250-500)))=0,"",INDEX('Vendor COIs'!$D$4:$D$503,(_calc!$E$250-500)))&amp;". ")&amp;IF(LEN(IF(LEN(INDEX('Vendor COIs'!$F$4:$F$503,(_calc!$E$250-500)))=0,"",INDEX('Vendor COIs'!$F$4:$F$503,(_calc!$E$250-500))))=0,"","Meets minimum: "&amp;IF(LEN(INDEX('Vendor COIs'!$F$4:$F$503,(_calc!$E$250-500)))=0,"",INDEX('Vendor COIs'!$F$4:$F$503,(_calc!$E$250-500)))&amp;". ")&amp;IF(LEN(IF(LEN(INDEX('Vendor COIs'!$G$4:$G$503,(_calc!$E$250-500)))=0,"",INDEX('Vendor COIs'!$G$4:$G$503,(_calc!$E$250-500))))=0,"","Additional insured: "&amp;IF(LEN(INDEX('Vendor COIs'!$G$4:$G$503,(_calc!$E$250-500)))=0,"",INDEX('Vendor COIs'!$G$4:$G$503,(_calc!$E$250-500)))&amp;". ")&amp;IF(LEN(IF(LEN(INDEX('Vendor COIs'!$M$4:$M$503,(_calc!$E$250-500)))=0,"",INDEX('Vendor COIs'!$M$4:$M$503,(_calc!$E$250-500))))=0,"","Vendor contact: "&amp;IF(LEN(INDEX('Vendor COIs'!$M$4:$M$503,(_calc!$E$250-500)))=0,"",INDEX('Vendor COIs'!$M$4:$M$503,(_calc!$E$250-500)))&amp;". ")&amp;IF(LEN(IF(LEN(INDEX('Vendor COIs'!$P$4:$P$503,(_calc!$E$250-500)))=0,"",INDEX('Vendor COIs'!$P$4:$P$503,(_calc!$E$250-500))))=0,"",IF(LEN(INDEX('Vendor COIs'!$P$4:$P$503,(_calc!$E$250-500)))=0,"",INDEX('Vendor COIs'!$P$4:$P$503,(_calc!$E$250-500)))))))</f>
        <v/>
      </c>
      <c r="G248" s="46">
        <f>IF(_calc!$E$250="","",IF(_calc!$E$250&lt;=500,IF(LEN(INDEX('Our policies'!$R$4:$R$503,_calc!$E$250))=0,"",INDEX('Our policies'!$R$4:$R$503,_calc!$E$250)),IF(LEN(INDEX('Vendor COIs'!$O$4:$O$503,(_calc!$E$250-500)))=0,"",INDEX('Vendor COIs'!$O$4:$O$503,(_calc!$E$250-500)))))</f>
        <v/>
      </c>
      <c r="H248" s="46">
        <f>IF(_calc!$E$250="","",IF(_calc!$E$250&lt;=500,IF(LEN(INDEX('Our policies'!$G$4:$G$503,_calc!$E$250))=0,"",INDEX('Our policies'!$G$4:$G$503,_calc!$E$250)),""))</f>
        <v/>
      </c>
      <c r="I248" s="46">
        <f>IF(_calc!$E$250="","",IF(_calc!$E$250&lt;=500,IF(LEN(INDEX('Our policies'!$H$4:$H$503,_calc!$E$250))=0,"",INDEX('Our policies'!$H$4:$H$503,_calc!$E$250)),""))</f>
        <v/>
      </c>
      <c r="K248" s="46">
        <f>IF(_calc!$E$250="","",IF(_calc!$E$250&lt;=500,IF(LEN(INDEX('Our policies'!$P$4:$P$503,_calc!$E$250))=0,"",INDEX('Our policies'!$P$4:$P$503,_calc!$E$250)),IF(LEN(INDEX('Vendor COIs'!$N$4:$N$503,(_calc!$E$250-500)))=0,"",INDEX('Vendor COIs'!$N$4:$N$503,(_calc!$E$250-500)))))</f>
        <v/>
      </c>
    </row>
    <row r="249">
      <c r="A249" s="46">
        <f>IF(_calc!$E$251="","",IF(_calc!$E$251&lt;=500,IF(LEN(INDEX('Our policies'!$A$4:$A$503,_calc!$E$251))=0,"",INDEX('Our policies'!$A$4:$A$503,_calc!$E$251)),"COI – "&amp;IF(LEN(INDEX('Vendor COIs'!$A$4:$A$503,(_calc!$E$251-500)))=0,"",INDEX('Vendor COIs'!$A$4:$A$503,(_calc!$E$251-500)))&amp;" – "&amp;IF(LEN(INDEX('Vendor COIs'!$B$4:$B$503,(_calc!$E$251-500)))=0,"",INDEX('Vendor COIs'!$B$4:$B$503,(_calc!$E$251-500)))))</f>
        <v/>
      </c>
      <c r="B249" s="46">
        <f>IF(_calc!$E$251="","",IF(_calc!$E$251&lt;=500,IF(ISNUMBER(INDEX('Our policies'!$J$4:$J$503,_calc!$E$251)),TEXT(INDEX('Our policies'!$J$4:$J$503,_calc!$E$251),"yyyy-mm-dd"),""),IF(ISNUMBER(INDEX('Vendor COIs'!$H$4:$H$503,(_calc!$E$251-500))),TEXT(INDEX('Vendor COIs'!$H$4:$H$503,(_calc!$E$251-500)),"yyyy-mm-dd"),"")))</f>
        <v/>
      </c>
      <c r="C249" s="46">
        <f>IF(_calc!$E$251="","",IF(_calc!$E$251&lt;=500,"Insurance","Certificate of insurance"))</f>
        <v/>
      </c>
      <c r="D249" s="46">
        <f>IF(_calc!$E$251="","",IF(_calc!$E$251&lt;=500,IF(ISNUMBER(INDEX('Our policies'!$I$4:$I$503,_calc!$E$251)),TEXT(INDEX('Our policies'!$I$4:$I$503,_calc!$E$251),"yyyy-mm-dd"),""),""))</f>
        <v/>
      </c>
      <c r="E249" s="46">
        <f>IF(_calc!$E$251="","",IF(_calc!$E$251&lt;=500,IF(LEN(INDEX('Our policies'!$Q$4:$Q$503,_calc!$E$251))=0,"",INDEX('Our policies'!$Q$4:$Q$503,_calc!$E$251)),"Medium"))</f>
        <v/>
      </c>
      <c r="F249" s="46">
        <f>IF(_calc!$E$251="","",IF(_calc!$E$251&lt;=500,TRIM(IF(LEN(IF(LEN(INDEX('Our policies'!$B$4:$B$503,_calc!$E$251))=0,"",INDEX('Our policies'!$B$4:$B$503,_calc!$E$251)))=0,"","Cover: "&amp;IF(LEN(INDEX('Our policies'!$B$4:$B$503,_calc!$E$251))=0,"",INDEX('Our policies'!$B$4:$B$503,_calc!$E$251))&amp;". ")&amp;IF(LEN(IF(LEN(INDEX('Our policies'!$C$4:$C$503,_calc!$E$251))=0,"",INDEX('Our policies'!$C$4:$C$503,_calc!$E$251)))=0,"","Insurer: "&amp;IF(LEN(INDEX('Our policies'!$C$4:$C$503,_calc!$E$251))=0,"",INDEX('Our policies'!$C$4:$C$503,_calc!$E$251))&amp;". ")&amp;IF(LEN(IF(LEN(INDEX('Our policies'!$D$4:$D$503,_calc!$E$251))=0,"",INDEX('Our policies'!$D$4:$D$503,_calc!$E$251)))=0,"","Broker: "&amp;IF(LEN(INDEX('Our policies'!$D$4:$D$503,_calc!$E$251))=0,"",INDEX('Our policies'!$D$4:$D$503,_calc!$E$251))&amp;". ")&amp;IF(LEN(IF(LEN(INDEX('Our policies'!$E$4:$E$503,_calc!$E$251))=0,"",INDEX('Our policies'!$E$4:$E$503,_calc!$E$251)))=0,"","Policy no.: "&amp;IF(LEN(INDEX('Our policies'!$E$4:$E$503,_calc!$E$251))=0,"",INDEX('Our policies'!$E$4:$E$503,_calc!$E$251))&amp;". ")&amp;IF(LEN(IF(LEN(INDEX('Our policies'!$S$4:$S$503,_calc!$E$251))=0,"",INDEX('Our policies'!$S$4:$S$503,_calc!$E$251)))=0,"",IF(LEN(INDEX('Our policies'!$S$4:$S$503,_calc!$E$251))=0,"",INDEX('Our policies'!$S$4:$S$503,_calc!$E$251)))),TRIM(IF(LEN(IF(LEN(INDEX('Vendor COIs'!$C$4:$C$503,(_calc!$E$251-500)))=0,"",INDEX('Vendor COIs'!$C$4:$C$503,(_calc!$E$251-500))))=0,"","Insurer: "&amp;IF(LEN(INDEX('Vendor COIs'!$C$4:$C$503,(_calc!$E$251-500)))=0,"",INDEX('Vendor COIs'!$C$4:$C$503,(_calc!$E$251-500)))&amp;". ")&amp;IF(LEN(IF(LEN(INDEX('Vendor COIs'!$D$4:$D$503,(_calc!$E$251-500)))=0,"",INDEX('Vendor COIs'!$D$4:$D$503,(_calc!$E$251-500))))=0,"","Policy no.: "&amp;IF(LEN(INDEX('Vendor COIs'!$D$4:$D$503,(_calc!$E$251-500)))=0,"",INDEX('Vendor COIs'!$D$4:$D$503,(_calc!$E$251-500)))&amp;". ")&amp;IF(LEN(IF(LEN(INDEX('Vendor COIs'!$F$4:$F$503,(_calc!$E$251-500)))=0,"",INDEX('Vendor COIs'!$F$4:$F$503,(_calc!$E$251-500))))=0,"","Meets minimum: "&amp;IF(LEN(INDEX('Vendor COIs'!$F$4:$F$503,(_calc!$E$251-500)))=0,"",INDEX('Vendor COIs'!$F$4:$F$503,(_calc!$E$251-500)))&amp;". ")&amp;IF(LEN(IF(LEN(INDEX('Vendor COIs'!$G$4:$G$503,(_calc!$E$251-500)))=0,"",INDEX('Vendor COIs'!$G$4:$G$503,(_calc!$E$251-500))))=0,"","Additional insured: "&amp;IF(LEN(INDEX('Vendor COIs'!$G$4:$G$503,(_calc!$E$251-500)))=0,"",INDEX('Vendor COIs'!$G$4:$G$503,(_calc!$E$251-500)))&amp;". ")&amp;IF(LEN(IF(LEN(INDEX('Vendor COIs'!$M$4:$M$503,(_calc!$E$251-500)))=0,"",INDEX('Vendor COIs'!$M$4:$M$503,(_calc!$E$251-500))))=0,"","Vendor contact: "&amp;IF(LEN(INDEX('Vendor COIs'!$M$4:$M$503,(_calc!$E$251-500)))=0,"",INDEX('Vendor COIs'!$M$4:$M$503,(_calc!$E$251-500)))&amp;". ")&amp;IF(LEN(IF(LEN(INDEX('Vendor COIs'!$P$4:$P$503,(_calc!$E$251-500)))=0,"",INDEX('Vendor COIs'!$P$4:$P$503,(_calc!$E$251-500))))=0,"",IF(LEN(INDEX('Vendor COIs'!$P$4:$P$503,(_calc!$E$251-500)))=0,"",INDEX('Vendor COIs'!$P$4:$P$503,(_calc!$E$251-500)))))))</f>
        <v/>
      </c>
      <c r="G249" s="46">
        <f>IF(_calc!$E$251="","",IF(_calc!$E$251&lt;=500,IF(LEN(INDEX('Our policies'!$R$4:$R$503,_calc!$E$251))=0,"",INDEX('Our policies'!$R$4:$R$503,_calc!$E$251)),IF(LEN(INDEX('Vendor COIs'!$O$4:$O$503,(_calc!$E$251-500)))=0,"",INDEX('Vendor COIs'!$O$4:$O$503,(_calc!$E$251-500)))))</f>
        <v/>
      </c>
      <c r="H249" s="46">
        <f>IF(_calc!$E$251="","",IF(_calc!$E$251&lt;=500,IF(LEN(INDEX('Our policies'!$G$4:$G$503,_calc!$E$251))=0,"",INDEX('Our policies'!$G$4:$G$503,_calc!$E$251)),""))</f>
        <v/>
      </c>
      <c r="I249" s="46">
        <f>IF(_calc!$E$251="","",IF(_calc!$E$251&lt;=500,IF(LEN(INDEX('Our policies'!$H$4:$H$503,_calc!$E$251))=0,"",INDEX('Our policies'!$H$4:$H$503,_calc!$E$251)),""))</f>
        <v/>
      </c>
      <c r="K249" s="46">
        <f>IF(_calc!$E$251="","",IF(_calc!$E$251&lt;=500,IF(LEN(INDEX('Our policies'!$P$4:$P$503,_calc!$E$251))=0,"",INDEX('Our policies'!$P$4:$P$503,_calc!$E$251)),IF(LEN(INDEX('Vendor COIs'!$N$4:$N$503,(_calc!$E$251-500)))=0,"",INDEX('Vendor COIs'!$N$4:$N$503,(_calc!$E$251-500)))))</f>
        <v/>
      </c>
    </row>
    <row r="250">
      <c r="A250" s="46">
        <f>IF(_calc!$E$252="","",IF(_calc!$E$252&lt;=500,IF(LEN(INDEX('Our policies'!$A$4:$A$503,_calc!$E$252))=0,"",INDEX('Our policies'!$A$4:$A$503,_calc!$E$252)),"COI – "&amp;IF(LEN(INDEX('Vendor COIs'!$A$4:$A$503,(_calc!$E$252-500)))=0,"",INDEX('Vendor COIs'!$A$4:$A$503,(_calc!$E$252-500)))&amp;" – "&amp;IF(LEN(INDEX('Vendor COIs'!$B$4:$B$503,(_calc!$E$252-500)))=0,"",INDEX('Vendor COIs'!$B$4:$B$503,(_calc!$E$252-500)))))</f>
        <v/>
      </c>
      <c r="B250" s="46">
        <f>IF(_calc!$E$252="","",IF(_calc!$E$252&lt;=500,IF(ISNUMBER(INDEX('Our policies'!$J$4:$J$503,_calc!$E$252)),TEXT(INDEX('Our policies'!$J$4:$J$503,_calc!$E$252),"yyyy-mm-dd"),""),IF(ISNUMBER(INDEX('Vendor COIs'!$H$4:$H$503,(_calc!$E$252-500))),TEXT(INDEX('Vendor COIs'!$H$4:$H$503,(_calc!$E$252-500)),"yyyy-mm-dd"),"")))</f>
        <v/>
      </c>
      <c r="C250" s="46">
        <f>IF(_calc!$E$252="","",IF(_calc!$E$252&lt;=500,"Insurance","Certificate of insurance"))</f>
        <v/>
      </c>
      <c r="D250" s="46">
        <f>IF(_calc!$E$252="","",IF(_calc!$E$252&lt;=500,IF(ISNUMBER(INDEX('Our policies'!$I$4:$I$503,_calc!$E$252)),TEXT(INDEX('Our policies'!$I$4:$I$503,_calc!$E$252),"yyyy-mm-dd"),""),""))</f>
        <v/>
      </c>
      <c r="E250" s="46">
        <f>IF(_calc!$E$252="","",IF(_calc!$E$252&lt;=500,IF(LEN(INDEX('Our policies'!$Q$4:$Q$503,_calc!$E$252))=0,"",INDEX('Our policies'!$Q$4:$Q$503,_calc!$E$252)),"Medium"))</f>
        <v/>
      </c>
      <c r="F250" s="46">
        <f>IF(_calc!$E$252="","",IF(_calc!$E$252&lt;=500,TRIM(IF(LEN(IF(LEN(INDEX('Our policies'!$B$4:$B$503,_calc!$E$252))=0,"",INDEX('Our policies'!$B$4:$B$503,_calc!$E$252)))=0,"","Cover: "&amp;IF(LEN(INDEX('Our policies'!$B$4:$B$503,_calc!$E$252))=0,"",INDEX('Our policies'!$B$4:$B$503,_calc!$E$252))&amp;". ")&amp;IF(LEN(IF(LEN(INDEX('Our policies'!$C$4:$C$503,_calc!$E$252))=0,"",INDEX('Our policies'!$C$4:$C$503,_calc!$E$252)))=0,"","Insurer: "&amp;IF(LEN(INDEX('Our policies'!$C$4:$C$503,_calc!$E$252))=0,"",INDEX('Our policies'!$C$4:$C$503,_calc!$E$252))&amp;". ")&amp;IF(LEN(IF(LEN(INDEX('Our policies'!$D$4:$D$503,_calc!$E$252))=0,"",INDEX('Our policies'!$D$4:$D$503,_calc!$E$252)))=0,"","Broker: "&amp;IF(LEN(INDEX('Our policies'!$D$4:$D$503,_calc!$E$252))=0,"",INDEX('Our policies'!$D$4:$D$503,_calc!$E$252))&amp;". ")&amp;IF(LEN(IF(LEN(INDEX('Our policies'!$E$4:$E$503,_calc!$E$252))=0,"",INDEX('Our policies'!$E$4:$E$503,_calc!$E$252)))=0,"","Policy no.: "&amp;IF(LEN(INDEX('Our policies'!$E$4:$E$503,_calc!$E$252))=0,"",INDEX('Our policies'!$E$4:$E$503,_calc!$E$252))&amp;". ")&amp;IF(LEN(IF(LEN(INDEX('Our policies'!$S$4:$S$503,_calc!$E$252))=0,"",INDEX('Our policies'!$S$4:$S$503,_calc!$E$252)))=0,"",IF(LEN(INDEX('Our policies'!$S$4:$S$503,_calc!$E$252))=0,"",INDEX('Our policies'!$S$4:$S$503,_calc!$E$252)))),TRIM(IF(LEN(IF(LEN(INDEX('Vendor COIs'!$C$4:$C$503,(_calc!$E$252-500)))=0,"",INDEX('Vendor COIs'!$C$4:$C$503,(_calc!$E$252-500))))=0,"","Insurer: "&amp;IF(LEN(INDEX('Vendor COIs'!$C$4:$C$503,(_calc!$E$252-500)))=0,"",INDEX('Vendor COIs'!$C$4:$C$503,(_calc!$E$252-500)))&amp;". ")&amp;IF(LEN(IF(LEN(INDEX('Vendor COIs'!$D$4:$D$503,(_calc!$E$252-500)))=0,"",INDEX('Vendor COIs'!$D$4:$D$503,(_calc!$E$252-500))))=0,"","Policy no.: "&amp;IF(LEN(INDEX('Vendor COIs'!$D$4:$D$503,(_calc!$E$252-500)))=0,"",INDEX('Vendor COIs'!$D$4:$D$503,(_calc!$E$252-500)))&amp;". ")&amp;IF(LEN(IF(LEN(INDEX('Vendor COIs'!$F$4:$F$503,(_calc!$E$252-500)))=0,"",INDEX('Vendor COIs'!$F$4:$F$503,(_calc!$E$252-500))))=0,"","Meets minimum: "&amp;IF(LEN(INDEX('Vendor COIs'!$F$4:$F$503,(_calc!$E$252-500)))=0,"",INDEX('Vendor COIs'!$F$4:$F$503,(_calc!$E$252-500)))&amp;". ")&amp;IF(LEN(IF(LEN(INDEX('Vendor COIs'!$G$4:$G$503,(_calc!$E$252-500)))=0,"",INDEX('Vendor COIs'!$G$4:$G$503,(_calc!$E$252-500))))=0,"","Additional insured: "&amp;IF(LEN(INDEX('Vendor COIs'!$G$4:$G$503,(_calc!$E$252-500)))=0,"",INDEX('Vendor COIs'!$G$4:$G$503,(_calc!$E$252-500)))&amp;". ")&amp;IF(LEN(IF(LEN(INDEX('Vendor COIs'!$M$4:$M$503,(_calc!$E$252-500)))=0,"",INDEX('Vendor COIs'!$M$4:$M$503,(_calc!$E$252-500))))=0,"","Vendor contact: "&amp;IF(LEN(INDEX('Vendor COIs'!$M$4:$M$503,(_calc!$E$252-500)))=0,"",INDEX('Vendor COIs'!$M$4:$M$503,(_calc!$E$252-500)))&amp;". ")&amp;IF(LEN(IF(LEN(INDEX('Vendor COIs'!$P$4:$P$503,(_calc!$E$252-500)))=0,"",INDEX('Vendor COIs'!$P$4:$P$503,(_calc!$E$252-500))))=0,"",IF(LEN(INDEX('Vendor COIs'!$P$4:$P$503,(_calc!$E$252-500)))=0,"",INDEX('Vendor COIs'!$P$4:$P$503,(_calc!$E$252-500)))))))</f>
        <v/>
      </c>
      <c r="G250" s="46">
        <f>IF(_calc!$E$252="","",IF(_calc!$E$252&lt;=500,IF(LEN(INDEX('Our policies'!$R$4:$R$503,_calc!$E$252))=0,"",INDEX('Our policies'!$R$4:$R$503,_calc!$E$252)),IF(LEN(INDEX('Vendor COIs'!$O$4:$O$503,(_calc!$E$252-500)))=0,"",INDEX('Vendor COIs'!$O$4:$O$503,(_calc!$E$252-500)))))</f>
        <v/>
      </c>
      <c r="H250" s="46">
        <f>IF(_calc!$E$252="","",IF(_calc!$E$252&lt;=500,IF(LEN(INDEX('Our policies'!$G$4:$G$503,_calc!$E$252))=0,"",INDEX('Our policies'!$G$4:$G$503,_calc!$E$252)),""))</f>
        <v/>
      </c>
      <c r="I250" s="46">
        <f>IF(_calc!$E$252="","",IF(_calc!$E$252&lt;=500,IF(LEN(INDEX('Our policies'!$H$4:$H$503,_calc!$E$252))=0,"",INDEX('Our policies'!$H$4:$H$503,_calc!$E$252)),""))</f>
        <v/>
      </c>
      <c r="K250" s="46">
        <f>IF(_calc!$E$252="","",IF(_calc!$E$252&lt;=500,IF(LEN(INDEX('Our policies'!$P$4:$P$503,_calc!$E$252))=0,"",INDEX('Our policies'!$P$4:$P$503,_calc!$E$252)),IF(LEN(INDEX('Vendor COIs'!$N$4:$N$503,(_calc!$E$252-500)))=0,"",INDEX('Vendor COIs'!$N$4:$N$503,(_calc!$E$252-500)))))</f>
        <v/>
      </c>
    </row>
    <row r="251">
      <c r="A251" s="46">
        <f>IF(_calc!$E$253="","",IF(_calc!$E$253&lt;=500,IF(LEN(INDEX('Our policies'!$A$4:$A$503,_calc!$E$253))=0,"",INDEX('Our policies'!$A$4:$A$503,_calc!$E$253)),"COI – "&amp;IF(LEN(INDEX('Vendor COIs'!$A$4:$A$503,(_calc!$E$253-500)))=0,"",INDEX('Vendor COIs'!$A$4:$A$503,(_calc!$E$253-500)))&amp;" – "&amp;IF(LEN(INDEX('Vendor COIs'!$B$4:$B$503,(_calc!$E$253-500)))=0,"",INDEX('Vendor COIs'!$B$4:$B$503,(_calc!$E$253-500)))))</f>
        <v/>
      </c>
      <c r="B251" s="46">
        <f>IF(_calc!$E$253="","",IF(_calc!$E$253&lt;=500,IF(ISNUMBER(INDEX('Our policies'!$J$4:$J$503,_calc!$E$253)),TEXT(INDEX('Our policies'!$J$4:$J$503,_calc!$E$253),"yyyy-mm-dd"),""),IF(ISNUMBER(INDEX('Vendor COIs'!$H$4:$H$503,(_calc!$E$253-500))),TEXT(INDEX('Vendor COIs'!$H$4:$H$503,(_calc!$E$253-500)),"yyyy-mm-dd"),"")))</f>
        <v/>
      </c>
      <c r="C251" s="46">
        <f>IF(_calc!$E$253="","",IF(_calc!$E$253&lt;=500,"Insurance","Certificate of insurance"))</f>
        <v/>
      </c>
      <c r="D251" s="46">
        <f>IF(_calc!$E$253="","",IF(_calc!$E$253&lt;=500,IF(ISNUMBER(INDEX('Our policies'!$I$4:$I$503,_calc!$E$253)),TEXT(INDEX('Our policies'!$I$4:$I$503,_calc!$E$253),"yyyy-mm-dd"),""),""))</f>
        <v/>
      </c>
      <c r="E251" s="46">
        <f>IF(_calc!$E$253="","",IF(_calc!$E$253&lt;=500,IF(LEN(INDEX('Our policies'!$Q$4:$Q$503,_calc!$E$253))=0,"",INDEX('Our policies'!$Q$4:$Q$503,_calc!$E$253)),"Medium"))</f>
        <v/>
      </c>
      <c r="F251" s="46">
        <f>IF(_calc!$E$253="","",IF(_calc!$E$253&lt;=500,TRIM(IF(LEN(IF(LEN(INDEX('Our policies'!$B$4:$B$503,_calc!$E$253))=0,"",INDEX('Our policies'!$B$4:$B$503,_calc!$E$253)))=0,"","Cover: "&amp;IF(LEN(INDEX('Our policies'!$B$4:$B$503,_calc!$E$253))=0,"",INDEX('Our policies'!$B$4:$B$503,_calc!$E$253))&amp;". ")&amp;IF(LEN(IF(LEN(INDEX('Our policies'!$C$4:$C$503,_calc!$E$253))=0,"",INDEX('Our policies'!$C$4:$C$503,_calc!$E$253)))=0,"","Insurer: "&amp;IF(LEN(INDEX('Our policies'!$C$4:$C$503,_calc!$E$253))=0,"",INDEX('Our policies'!$C$4:$C$503,_calc!$E$253))&amp;". ")&amp;IF(LEN(IF(LEN(INDEX('Our policies'!$D$4:$D$503,_calc!$E$253))=0,"",INDEX('Our policies'!$D$4:$D$503,_calc!$E$253)))=0,"","Broker: "&amp;IF(LEN(INDEX('Our policies'!$D$4:$D$503,_calc!$E$253))=0,"",INDEX('Our policies'!$D$4:$D$503,_calc!$E$253))&amp;". ")&amp;IF(LEN(IF(LEN(INDEX('Our policies'!$E$4:$E$503,_calc!$E$253))=0,"",INDEX('Our policies'!$E$4:$E$503,_calc!$E$253)))=0,"","Policy no.: "&amp;IF(LEN(INDEX('Our policies'!$E$4:$E$503,_calc!$E$253))=0,"",INDEX('Our policies'!$E$4:$E$503,_calc!$E$253))&amp;". ")&amp;IF(LEN(IF(LEN(INDEX('Our policies'!$S$4:$S$503,_calc!$E$253))=0,"",INDEX('Our policies'!$S$4:$S$503,_calc!$E$253)))=0,"",IF(LEN(INDEX('Our policies'!$S$4:$S$503,_calc!$E$253))=0,"",INDEX('Our policies'!$S$4:$S$503,_calc!$E$253)))),TRIM(IF(LEN(IF(LEN(INDEX('Vendor COIs'!$C$4:$C$503,(_calc!$E$253-500)))=0,"",INDEX('Vendor COIs'!$C$4:$C$503,(_calc!$E$253-500))))=0,"","Insurer: "&amp;IF(LEN(INDEX('Vendor COIs'!$C$4:$C$503,(_calc!$E$253-500)))=0,"",INDEX('Vendor COIs'!$C$4:$C$503,(_calc!$E$253-500)))&amp;". ")&amp;IF(LEN(IF(LEN(INDEX('Vendor COIs'!$D$4:$D$503,(_calc!$E$253-500)))=0,"",INDEX('Vendor COIs'!$D$4:$D$503,(_calc!$E$253-500))))=0,"","Policy no.: "&amp;IF(LEN(INDEX('Vendor COIs'!$D$4:$D$503,(_calc!$E$253-500)))=0,"",INDEX('Vendor COIs'!$D$4:$D$503,(_calc!$E$253-500)))&amp;". ")&amp;IF(LEN(IF(LEN(INDEX('Vendor COIs'!$F$4:$F$503,(_calc!$E$253-500)))=0,"",INDEX('Vendor COIs'!$F$4:$F$503,(_calc!$E$253-500))))=0,"","Meets minimum: "&amp;IF(LEN(INDEX('Vendor COIs'!$F$4:$F$503,(_calc!$E$253-500)))=0,"",INDEX('Vendor COIs'!$F$4:$F$503,(_calc!$E$253-500)))&amp;". ")&amp;IF(LEN(IF(LEN(INDEX('Vendor COIs'!$G$4:$G$503,(_calc!$E$253-500)))=0,"",INDEX('Vendor COIs'!$G$4:$G$503,(_calc!$E$253-500))))=0,"","Additional insured: "&amp;IF(LEN(INDEX('Vendor COIs'!$G$4:$G$503,(_calc!$E$253-500)))=0,"",INDEX('Vendor COIs'!$G$4:$G$503,(_calc!$E$253-500)))&amp;". ")&amp;IF(LEN(IF(LEN(INDEX('Vendor COIs'!$M$4:$M$503,(_calc!$E$253-500)))=0,"",INDEX('Vendor COIs'!$M$4:$M$503,(_calc!$E$253-500))))=0,"","Vendor contact: "&amp;IF(LEN(INDEX('Vendor COIs'!$M$4:$M$503,(_calc!$E$253-500)))=0,"",INDEX('Vendor COIs'!$M$4:$M$503,(_calc!$E$253-500)))&amp;". ")&amp;IF(LEN(IF(LEN(INDEX('Vendor COIs'!$P$4:$P$503,(_calc!$E$253-500)))=0,"",INDEX('Vendor COIs'!$P$4:$P$503,(_calc!$E$253-500))))=0,"",IF(LEN(INDEX('Vendor COIs'!$P$4:$P$503,(_calc!$E$253-500)))=0,"",INDEX('Vendor COIs'!$P$4:$P$503,(_calc!$E$253-500)))))))</f>
        <v/>
      </c>
      <c r="G251" s="46">
        <f>IF(_calc!$E$253="","",IF(_calc!$E$253&lt;=500,IF(LEN(INDEX('Our policies'!$R$4:$R$503,_calc!$E$253))=0,"",INDEX('Our policies'!$R$4:$R$503,_calc!$E$253)),IF(LEN(INDEX('Vendor COIs'!$O$4:$O$503,(_calc!$E$253-500)))=0,"",INDEX('Vendor COIs'!$O$4:$O$503,(_calc!$E$253-500)))))</f>
        <v/>
      </c>
      <c r="H251" s="46">
        <f>IF(_calc!$E$253="","",IF(_calc!$E$253&lt;=500,IF(LEN(INDEX('Our policies'!$G$4:$G$503,_calc!$E$253))=0,"",INDEX('Our policies'!$G$4:$G$503,_calc!$E$253)),""))</f>
        <v/>
      </c>
      <c r="I251" s="46">
        <f>IF(_calc!$E$253="","",IF(_calc!$E$253&lt;=500,IF(LEN(INDEX('Our policies'!$H$4:$H$503,_calc!$E$253))=0,"",INDEX('Our policies'!$H$4:$H$503,_calc!$E$253)),""))</f>
        <v/>
      </c>
      <c r="K251" s="46">
        <f>IF(_calc!$E$253="","",IF(_calc!$E$253&lt;=500,IF(LEN(INDEX('Our policies'!$P$4:$P$503,_calc!$E$253))=0,"",INDEX('Our policies'!$P$4:$P$503,_calc!$E$253)),IF(LEN(INDEX('Vendor COIs'!$N$4:$N$503,(_calc!$E$253-500)))=0,"",INDEX('Vendor COIs'!$N$4:$N$503,(_calc!$E$253-500)))))</f>
        <v/>
      </c>
    </row>
    <row r="252">
      <c r="A252" s="46">
        <f>IF(_calc!$E$254="","",IF(_calc!$E$254&lt;=500,IF(LEN(INDEX('Our policies'!$A$4:$A$503,_calc!$E$254))=0,"",INDEX('Our policies'!$A$4:$A$503,_calc!$E$254)),"COI – "&amp;IF(LEN(INDEX('Vendor COIs'!$A$4:$A$503,(_calc!$E$254-500)))=0,"",INDEX('Vendor COIs'!$A$4:$A$503,(_calc!$E$254-500)))&amp;" – "&amp;IF(LEN(INDEX('Vendor COIs'!$B$4:$B$503,(_calc!$E$254-500)))=0,"",INDEX('Vendor COIs'!$B$4:$B$503,(_calc!$E$254-500)))))</f>
        <v/>
      </c>
      <c r="B252" s="46">
        <f>IF(_calc!$E$254="","",IF(_calc!$E$254&lt;=500,IF(ISNUMBER(INDEX('Our policies'!$J$4:$J$503,_calc!$E$254)),TEXT(INDEX('Our policies'!$J$4:$J$503,_calc!$E$254),"yyyy-mm-dd"),""),IF(ISNUMBER(INDEX('Vendor COIs'!$H$4:$H$503,(_calc!$E$254-500))),TEXT(INDEX('Vendor COIs'!$H$4:$H$503,(_calc!$E$254-500)),"yyyy-mm-dd"),"")))</f>
        <v/>
      </c>
      <c r="C252" s="46">
        <f>IF(_calc!$E$254="","",IF(_calc!$E$254&lt;=500,"Insurance","Certificate of insurance"))</f>
        <v/>
      </c>
      <c r="D252" s="46">
        <f>IF(_calc!$E$254="","",IF(_calc!$E$254&lt;=500,IF(ISNUMBER(INDEX('Our policies'!$I$4:$I$503,_calc!$E$254)),TEXT(INDEX('Our policies'!$I$4:$I$503,_calc!$E$254),"yyyy-mm-dd"),""),""))</f>
        <v/>
      </c>
      <c r="E252" s="46">
        <f>IF(_calc!$E$254="","",IF(_calc!$E$254&lt;=500,IF(LEN(INDEX('Our policies'!$Q$4:$Q$503,_calc!$E$254))=0,"",INDEX('Our policies'!$Q$4:$Q$503,_calc!$E$254)),"Medium"))</f>
        <v/>
      </c>
      <c r="F252" s="46">
        <f>IF(_calc!$E$254="","",IF(_calc!$E$254&lt;=500,TRIM(IF(LEN(IF(LEN(INDEX('Our policies'!$B$4:$B$503,_calc!$E$254))=0,"",INDEX('Our policies'!$B$4:$B$503,_calc!$E$254)))=0,"","Cover: "&amp;IF(LEN(INDEX('Our policies'!$B$4:$B$503,_calc!$E$254))=0,"",INDEX('Our policies'!$B$4:$B$503,_calc!$E$254))&amp;". ")&amp;IF(LEN(IF(LEN(INDEX('Our policies'!$C$4:$C$503,_calc!$E$254))=0,"",INDEX('Our policies'!$C$4:$C$503,_calc!$E$254)))=0,"","Insurer: "&amp;IF(LEN(INDEX('Our policies'!$C$4:$C$503,_calc!$E$254))=0,"",INDEX('Our policies'!$C$4:$C$503,_calc!$E$254))&amp;". ")&amp;IF(LEN(IF(LEN(INDEX('Our policies'!$D$4:$D$503,_calc!$E$254))=0,"",INDEX('Our policies'!$D$4:$D$503,_calc!$E$254)))=0,"","Broker: "&amp;IF(LEN(INDEX('Our policies'!$D$4:$D$503,_calc!$E$254))=0,"",INDEX('Our policies'!$D$4:$D$503,_calc!$E$254))&amp;". ")&amp;IF(LEN(IF(LEN(INDEX('Our policies'!$E$4:$E$503,_calc!$E$254))=0,"",INDEX('Our policies'!$E$4:$E$503,_calc!$E$254)))=0,"","Policy no.: "&amp;IF(LEN(INDEX('Our policies'!$E$4:$E$503,_calc!$E$254))=0,"",INDEX('Our policies'!$E$4:$E$503,_calc!$E$254))&amp;". ")&amp;IF(LEN(IF(LEN(INDEX('Our policies'!$S$4:$S$503,_calc!$E$254))=0,"",INDEX('Our policies'!$S$4:$S$503,_calc!$E$254)))=0,"",IF(LEN(INDEX('Our policies'!$S$4:$S$503,_calc!$E$254))=0,"",INDEX('Our policies'!$S$4:$S$503,_calc!$E$254)))),TRIM(IF(LEN(IF(LEN(INDEX('Vendor COIs'!$C$4:$C$503,(_calc!$E$254-500)))=0,"",INDEX('Vendor COIs'!$C$4:$C$503,(_calc!$E$254-500))))=0,"","Insurer: "&amp;IF(LEN(INDEX('Vendor COIs'!$C$4:$C$503,(_calc!$E$254-500)))=0,"",INDEX('Vendor COIs'!$C$4:$C$503,(_calc!$E$254-500)))&amp;". ")&amp;IF(LEN(IF(LEN(INDEX('Vendor COIs'!$D$4:$D$503,(_calc!$E$254-500)))=0,"",INDEX('Vendor COIs'!$D$4:$D$503,(_calc!$E$254-500))))=0,"","Policy no.: "&amp;IF(LEN(INDEX('Vendor COIs'!$D$4:$D$503,(_calc!$E$254-500)))=0,"",INDEX('Vendor COIs'!$D$4:$D$503,(_calc!$E$254-500)))&amp;". ")&amp;IF(LEN(IF(LEN(INDEX('Vendor COIs'!$F$4:$F$503,(_calc!$E$254-500)))=0,"",INDEX('Vendor COIs'!$F$4:$F$503,(_calc!$E$254-500))))=0,"","Meets minimum: "&amp;IF(LEN(INDEX('Vendor COIs'!$F$4:$F$503,(_calc!$E$254-500)))=0,"",INDEX('Vendor COIs'!$F$4:$F$503,(_calc!$E$254-500)))&amp;". ")&amp;IF(LEN(IF(LEN(INDEX('Vendor COIs'!$G$4:$G$503,(_calc!$E$254-500)))=0,"",INDEX('Vendor COIs'!$G$4:$G$503,(_calc!$E$254-500))))=0,"","Additional insured: "&amp;IF(LEN(INDEX('Vendor COIs'!$G$4:$G$503,(_calc!$E$254-500)))=0,"",INDEX('Vendor COIs'!$G$4:$G$503,(_calc!$E$254-500)))&amp;". ")&amp;IF(LEN(IF(LEN(INDEX('Vendor COIs'!$M$4:$M$503,(_calc!$E$254-500)))=0,"",INDEX('Vendor COIs'!$M$4:$M$503,(_calc!$E$254-500))))=0,"","Vendor contact: "&amp;IF(LEN(INDEX('Vendor COIs'!$M$4:$M$503,(_calc!$E$254-500)))=0,"",INDEX('Vendor COIs'!$M$4:$M$503,(_calc!$E$254-500)))&amp;". ")&amp;IF(LEN(IF(LEN(INDEX('Vendor COIs'!$P$4:$P$503,(_calc!$E$254-500)))=0,"",INDEX('Vendor COIs'!$P$4:$P$503,(_calc!$E$254-500))))=0,"",IF(LEN(INDEX('Vendor COIs'!$P$4:$P$503,(_calc!$E$254-500)))=0,"",INDEX('Vendor COIs'!$P$4:$P$503,(_calc!$E$254-500)))))))</f>
        <v/>
      </c>
      <c r="G252" s="46">
        <f>IF(_calc!$E$254="","",IF(_calc!$E$254&lt;=500,IF(LEN(INDEX('Our policies'!$R$4:$R$503,_calc!$E$254))=0,"",INDEX('Our policies'!$R$4:$R$503,_calc!$E$254)),IF(LEN(INDEX('Vendor COIs'!$O$4:$O$503,(_calc!$E$254-500)))=0,"",INDEX('Vendor COIs'!$O$4:$O$503,(_calc!$E$254-500)))))</f>
        <v/>
      </c>
      <c r="H252" s="46">
        <f>IF(_calc!$E$254="","",IF(_calc!$E$254&lt;=500,IF(LEN(INDEX('Our policies'!$G$4:$G$503,_calc!$E$254))=0,"",INDEX('Our policies'!$G$4:$G$503,_calc!$E$254)),""))</f>
        <v/>
      </c>
      <c r="I252" s="46">
        <f>IF(_calc!$E$254="","",IF(_calc!$E$254&lt;=500,IF(LEN(INDEX('Our policies'!$H$4:$H$503,_calc!$E$254))=0,"",INDEX('Our policies'!$H$4:$H$503,_calc!$E$254)),""))</f>
        <v/>
      </c>
      <c r="K252" s="46">
        <f>IF(_calc!$E$254="","",IF(_calc!$E$254&lt;=500,IF(LEN(INDEX('Our policies'!$P$4:$P$503,_calc!$E$254))=0,"",INDEX('Our policies'!$P$4:$P$503,_calc!$E$254)),IF(LEN(INDEX('Vendor COIs'!$N$4:$N$503,(_calc!$E$254-500)))=0,"",INDEX('Vendor COIs'!$N$4:$N$503,(_calc!$E$254-500)))))</f>
        <v/>
      </c>
    </row>
    <row r="253">
      <c r="A253" s="46">
        <f>IF(_calc!$E$255="","",IF(_calc!$E$255&lt;=500,IF(LEN(INDEX('Our policies'!$A$4:$A$503,_calc!$E$255))=0,"",INDEX('Our policies'!$A$4:$A$503,_calc!$E$255)),"COI – "&amp;IF(LEN(INDEX('Vendor COIs'!$A$4:$A$503,(_calc!$E$255-500)))=0,"",INDEX('Vendor COIs'!$A$4:$A$503,(_calc!$E$255-500)))&amp;" – "&amp;IF(LEN(INDEX('Vendor COIs'!$B$4:$B$503,(_calc!$E$255-500)))=0,"",INDEX('Vendor COIs'!$B$4:$B$503,(_calc!$E$255-500)))))</f>
        <v/>
      </c>
      <c r="B253" s="46">
        <f>IF(_calc!$E$255="","",IF(_calc!$E$255&lt;=500,IF(ISNUMBER(INDEX('Our policies'!$J$4:$J$503,_calc!$E$255)),TEXT(INDEX('Our policies'!$J$4:$J$503,_calc!$E$255),"yyyy-mm-dd"),""),IF(ISNUMBER(INDEX('Vendor COIs'!$H$4:$H$503,(_calc!$E$255-500))),TEXT(INDEX('Vendor COIs'!$H$4:$H$503,(_calc!$E$255-500)),"yyyy-mm-dd"),"")))</f>
        <v/>
      </c>
      <c r="C253" s="46">
        <f>IF(_calc!$E$255="","",IF(_calc!$E$255&lt;=500,"Insurance","Certificate of insurance"))</f>
        <v/>
      </c>
      <c r="D253" s="46">
        <f>IF(_calc!$E$255="","",IF(_calc!$E$255&lt;=500,IF(ISNUMBER(INDEX('Our policies'!$I$4:$I$503,_calc!$E$255)),TEXT(INDEX('Our policies'!$I$4:$I$503,_calc!$E$255),"yyyy-mm-dd"),""),""))</f>
        <v/>
      </c>
      <c r="E253" s="46">
        <f>IF(_calc!$E$255="","",IF(_calc!$E$255&lt;=500,IF(LEN(INDEX('Our policies'!$Q$4:$Q$503,_calc!$E$255))=0,"",INDEX('Our policies'!$Q$4:$Q$503,_calc!$E$255)),"Medium"))</f>
        <v/>
      </c>
      <c r="F253" s="46">
        <f>IF(_calc!$E$255="","",IF(_calc!$E$255&lt;=500,TRIM(IF(LEN(IF(LEN(INDEX('Our policies'!$B$4:$B$503,_calc!$E$255))=0,"",INDEX('Our policies'!$B$4:$B$503,_calc!$E$255)))=0,"","Cover: "&amp;IF(LEN(INDEX('Our policies'!$B$4:$B$503,_calc!$E$255))=0,"",INDEX('Our policies'!$B$4:$B$503,_calc!$E$255))&amp;". ")&amp;IF(LEN(IF(LEN(INDEX('Our policies'!$C$4:$C$503,_calc!$E$255))=0,"",INDEX('Our policies'!$C$4:$C$503,_calc!$E$255)))=0,"","Insurer: "&amp;IF(LEN(INDEX('Our policies'!$C$4:$C$503,_calc!$E$255))=0,"",INDEX('Our policies'!$C$4:$C$503,_calc!$E$255))&amp;". ")&amp;IF(LEN(IF(LEN(INDEX('Our policies'!$D$4:$D$503,_calc!$E$255))=0,"",INDEX('Our policies'!$D$4:$D$503,_calc!$E$255)))=0,"","Broker: "&amp;IF(LEN(INDEX('Our policies'!$D$4:$D$503,_calc!$E$255))=0,"",INDEX('Our policies'!$D$4:$D$503,_calc!$E$255))&amp;". ")&amp;IF(LEN(IF(LEN(INDEX('Our policies'!$E$4:$E$503,_calc!$E$255))=0,"",INDEX('Our policies'!$E$4:$E$503,_calc!$E$255)))=0,"","Policy no.: "&amp;IF(LEN(INDEX('Our policies'!$E$4:$E$503,_calc!$E$255))=0,"",INDEX('Our policies'!$E$4:$E$503,_calc!$E$255))&amp;". ")&amp;IF(LEN(IF(LEN(INDEX('Our policies'!$S$4:$S$503,_calc!$E$255))=0,"",INDEX('Our policies'!$S$4:$S$503,_calc!$E$255)))=0,"",IF(LEN(INDEX('Our policies'!$S$4:$S$503,_calc!$E$255))=0,"",INDEX('Our policies'!$S$4:$S$503,_calc!$E$255)))),TRIM(IF(LEN(IF(LEN(INDEX('Vendor COIs'!$C$4:$C$503,(_calc!$E$255-500)))=0,"",INDEX('Vendor COIs'!$C$4:$C$503,(_calc!$E$255-500))))=0,"","Insurer: "&amp;IF(LEN(INDEX('Vendor COIs'!$C$4:$C$503,(_calc!$E$255-500)))=0,"",INDEX('Vendor COIs'!$C$4:$C$503,(_calc!$E$255-500)))&amp;". ")&amp;IF(LEN(IF(LEN(INDEX('Vendor COIs'!$D$4:$D$503,(_calc!$E$255-500)))=0,"",INDEX('Vendor COIs'!$D$4:$D$503,(_calc!$E$255-500))))=0,"","Policy no.: "&amp;IF(LEN(INDEX('Vendor COIs'!$D$4:$D$503,(_calc!$E$255-500)))=0,"",INDEX('Vendor COIs'!$D$4:$D$503,(_calc!$E$255-500)))&amp;". ")&amp;IF(LEN(IF(LEN(INDEX('Vendor COIs'!$F$4:$F$503,(_calc!$E$255-500)))=0,"",INDEX('Vendor COIs'!$F$4:$F$503,(_calc!$E$255-500))))=0,"","Meets minimum: "&amp;IF(LEN(INDEX('Vendor COIs'!$F$4:$F$503,(_calc!$E$255-500)))=0,"",INDEX('Vendor COIs'!$F$4:$F$503,(_calc!$E$255-500)))&amp;". ")&amp;IF(LEN(IF(LEN(INDEX('Vendor COIs'!$G$4:$G$503,(_calc!$E$255-500)))=0,"",INDEX('Vendor COIs'!$G$4:$G$503,(_calc!$E$255-500))))=0,"","Additional insured: "&amp;IF(LEN(INDEX('Vendor COIs'!$G$4:$G$503,(_calc!$E$255-500)))=0,"",INDEX('Vendor COIs'!$G$4:$G$503,(_calc!$E$255-500)))&amp;". ")&amp;IF(LEN(IF(LEN(INDEX('Vendor COIs'!$M$4:$M$503,(_calc!$E$255-500)))=0,"",INDEX('Vendor COIs'!$M$4:$M$503,(_calc!$E$255-500))))=0,"","Vendor contact: "&amp;IF(LEN(INDEX('Vendor COIs'!$M$4:$M$503,(_calc!$E$255-500)))=0,"",INDEX('Vendor COIs'!$M$4:$M$503,(_calc!$E$255-500)))&amp;". ")&amp;IF(LEN(IF(LEN(INDEX('Vendor COIs'!$P$4:$P$503,(_calc!$E$255-500)))=0,"",INDEX('Vendor COIs'!$P$4:$P$503,(_calc!$E$255-500))))=0,"",IF(LEN(INDEX('Vendor COIs'!$P$4:$P$503,(_calc!$E$255-500)))=0,"",INDEX('Vendor COIs'!$P$4:$P$503,(_calc!$E$255-500)))))))</f>
        <v/>
      </c>
      <c r="G253" s="46">
        <f>IF(_calc!$E$255="","",IF(_calc!$E$255&lt;=500,IF(LEN(INDEX('Our policies'!$R$4:$R$503,_calc!$E$255))=0,"",INDEX('Our policies'!$R$4:$R$503,_calc!$E$255)),IF(LEN(INDEX('Vendor COIs'!$O$4:$O$503,(_calc!$E$255-500)))=0,"",INDEX('Vendor COIs'!$O$4:$O$503,(_calc!$E$255-500)))))</f>
        <v/>
      </c>
      <c r="H253" s="46">
        <f>IF(_calc!$E$255="","",IF(_calc!$E$255&lt;=500,IF(LEN(INDEX('Our policies'!$G$4:$G$503,_calc!$E$255))=0,"",INDEX('Our policies'!$G$4:$G$503,_calc!$E$255)),""))</f>
        <v/>
      </c>
      <c r="I253" s="46">
        <f>IF(_calc!$E$255="","",IF(_calc!$E$255&lt;=500,IF(LEN(INDEX('Our policies'!$H$4:$H$503,_calc!$E$255))=0,"",INDEX('Our policies'!$H$4:$H$503,_calc!$E$255)),""))</f>
        <v/>
      </c>
      <c r="K253" s="46">
        <f>IF(_calc!$E$255="","",IF(_calc!$E$255&lt;=500,IF(LEN(INDEX('Our policies'!$P$4:$P$503,_calc!$E$255))=0,"",INDEX('Our policies'!$P$4:$P$503,_calc!$E$255)),IF(LEN(INDEX('Vendor COIs'!$N$4:$N$503,(_calc!$E$255-500)))=0,"",INDEX('Vendor COIs'!$N$4:$N$503,(_calc!$E$255-500)))))</f>
        <v/>
      </c>
    </row>
    <row r="254">
      <c r="A254" s="46">
        <f>IF(_calc!$E$256="","",IF(_calc!$E$256&lt;=500,IF(LEN(INDEX('Our policies'!$A$4:$A$503,_calc!$E$256))=0,"",INDEX('Our policies'!$A$4:$A$503,_calc!$E$256)),"COI – "&amp;IF(LEN(INDEX('Vendor COIs'!$A$4:$A$503,(_calc!$E$256-500)))=0,"",INDEX('Vendor COIs'!$A$4:$A$503,(_calc!$E$256-500)))&amp;" – "&amp;IF(LEN(INDEX('Vendor COIs'!$B$4:$B$503,(_calc!$E$256-500)))=0,"",INDEX('Vendor COIs'!$B$4:$B$503,(_calc!$E$256-500)))))</f>
        <v/>
      </c>
      <c r="B254" s="46">
        <f>IF(_calc!$E$256="","",IF(_calc!$E$256&lt;=500,IF(ISNUMBER(INDEX('Our policies'!$J$4:$J$503,_calc!$E$256)),TEXT(INDEX('Our policies'!$J$4:$J$503,_calc!$E$256),"yyyy-mm-dd"),""),IF(ISNUMBER(INDEX('Vendor COIs'!$H$4:$H$503,(_calc!$E$256-500))),TEXT(INDEX('Vendor COIs'!$H$4:$H$503,(_calc!$E$256-500)),"yyyy-mm-dd"),"")))</f>
        <v/>
      </c>
      <c r="C254" s="46">
        <f>IF(_calc!$E$256="","",IF(_calc!$E$256&lt;=500,"Insurance","Certificate of insurance"))</f>
        <v/>
      </c>
      <c r="D254" s="46">
        <f>IF(_calc!$E$256="","",IF(_calc!$E$256&lt;=500,IF(ISNUMBER(INDEX('Our policies'!$I$4:$I$503,_calc!$E$256)),TEXT(INDEX('Our policies'!$I$4:$I$503,_calc!$E$256),"yyyy-mm-dd"),""),""))</f>
        <v/>
      </c>
      <c r="E254" s="46">
        <f>IF(_calc!$E$256="","",IF(_calc!$E$256&lt;=500,IF(LEN(INDEX('Our policies'!$Q$4:$Q$503,_calc!$E$256))=0,"",INDEX('Our policies'!$Q$4:$Q$503,_calc!$E$256)),"Medium"))</f>
        <v/>
      </c>
      <c r="F254" s="46">
        <f>IF(_calc!$E$256="","",IF(_calc!$E$256&lt;=500,TRIM(IF(LEN(IF(LEN(INDEX('Our policies'!$B$4:$B$503,_calc!$E$256))=0,"",INDEX('Our policies'!$B$4:$B$503,_calc!$E$256)))=0,"","Cover: "&amp;IF(LEN(INDEX('Our policies'!$B$4:$B$503,_calc!$E$256))=0,"",INDEX('Our policies'!$B$4:$B$503,_calc!$E$256))&amp;". ")&amp;IF(LEN(IF(LEN(INDEX('Our policies'!$C$4:$C$503,_calc!$E$256))=0,"",INDEX('Our policies'!$C$4:$C$503,_calc!$E$256)))=0,"","Insurer: "&amp;IF(LEN(INDEX('Our policies'!$C$4:$C$503,_calc!$E$256))=0,"",INDEX('Our policies'!$C$4:$C$503,_calc!$E$256))&amp;". ")&amp;IF(LEN(IF(LEN(INDEX('Our policies'!$D$4:$D$503,_calc!$E$256))=0,"",INDEX('Our policies'!$D$4:$D$503,_calc!$E$256)))=0,"","Broker: "&amp;IF(LEN(INDEX('Our policies'!$D$4:$D$503,_calc!$E$256))=0,"",INDEX('Our policies'!$D$4:$D$503,_calc!$E$256))&amp;". ")&amp;IF(LEN(IF(LEN(INDEX('Our policies'!$E$4:$E$503,_calc!$E$256))=0,"",INDEX('Our policies'!$E$4:$E$503,_calc!$E$256)))=0,"","Policy no.: "&amp;IF(LEN(INDEX('Our policies'!$E$4:$E$503,_calc!$E$256))=0,"",INDEX('Our policies'!$E$4:$E$503,_calc!$E$256))&amp;". ")&amp;IF(LEN(IF(LEN(INDEX('Our policies'!$S$4:$S$503,_calc!$E$256))=0,"",INDEX('Our policies'!$S$4:$S$503,_calc!$E$256)))=0,"",IF(LEN(INDEX('Our policies'!$S$4:$S$503,_calc!$E$256))=0,"",INDEX('Our policies'!$S$4:$S$503,_calc!$E$256)))),TRIM(IF(LEN(IF(LEN(INDEX('Vendor COIs'!$C$4:$C$503,(_calc!$E$256-500)))=0,"",INDEX('Vendor COIs'!$C$4:$C$503,(_calc!$E$256-500))))=0,"","Insurer: "&amp;IF(LEN(INDEX('Vendor COIs'!$C$4:$C$503,(_calc!$E$256-500)))=0,"",INDEX('Vendor COIs'!$C$4:$C$503,(_calc!$E$256-500)))&amp;". ")&amp;IF(LEN(IF(LEN(INDEX('Vendor COIs'!$D$4:$D$503,(_calc!$E$256-500)))=0,"",INDEX('Vendor COIs'!$D$4:$D$503,(_calc!$E$256-500))))=0,"","Policy no.: "&amp;IF(LEN(INDEX('Vendor COIs'!$D$4:$D$503,(_calc!$E$256-500)))=0,"",INDEX('Vendor COIs'!$D$4:$D$503,(_calc!$E$256-500)))&amp;". ")&amp;IF(LEN(IF(LEN(INDEX('Vendor COIs'!$F$4:$F$503,(_calc!$E$256-500)))=0,"",INDEX('Vendor COIs'!$F$4:$F$503,(_calc!$E$256-500))))=0,"","Meets minimum: "&amp;IF(LEN(INDEX('Vendor COIs'!$F$4:$F$503,(_calc!$E$256-500)))=0,"",INDEX('Vendor COIs'!$F$4:$F$503,(_calc!$E$256-500)))&amp;". ")&amp;IF(LEN(IF(LEN(INDEX('Vendor COIs'!$G$4:$G$503,(_calc!$E$256-500)))=0,"",INDEX('Vendor COIs'!$G$4:$G$503,(_calc!$E$256-500))))=0,"","Additional insured: "&amp;IF(LEN(INDEX('Vendor COIs'!$G$4:$G$503,(_calc!$E$256-500)))=0,"",INDEX('Vendor COIs'!$G$4:$G$503,(_calc!$E$256-500)))&amp;". ")&amp;IF(LEN(IF(LEN(INDEX('Vendor COIs'!$M$4:$M$503,(_calc!$E$256-500)))=0,"",INDEX('Vendor COIs'!$M$4:$M$503,(_calc!$E$256-500))))=0,"","Vendor contact: "&amp;IF(LEN(INDEX('Vendor COIs'!$M$4:$M$503,(_calc!$E$256-500)))=0,"",INDEX('Vendor COIs'!$M$4:$M$503,(_calc!$E$256-500)))&amp;". ")&amp;IF(LEN(IF(LEN(INDEX('Vendor COIs'!$P$4:$P$503,(_calc!$E$256-500)))=0,"",INDEX('Vendor COIs'!$P$4:$P$503,(_calc!$E$256-500))))=0,"",IF(LEN(INDEX('Vendor COIs'!$P$4:$P$503,(_calc!$E$256-500)))=0,"",INDEX('Vendor COIs'!$P$4:$P$503,(_calc!$E$256-500)))))))</f>
        <v/>
      </c>
      <c r="G254" s="46">
        <f>IF(_calc!$E$256="","",IF(_calc!$E$256&lt;=500,IF(LEN(INDEX('Our policies'!$R$4:$R$503,_calc!$E$256))=0,"",INDEX('Our policies'!$R$4:$R$503,_calc!$E$256)),IF(LEN(INDEX('Vendor COIs'!$O$4:$O$503,(_calc!$E$256-500)))=0,"",INDEX('Vendor COIs'!$O$4:$O$503,(_calc!$E$256-500)))))</f>
        <v/>
      </c>
      <c r="H254" s="46">
        <f>IF(_calc!$E$256="","",IF(_calc!$E$256&lt;=500,IF(LEN(INDEX('Our policies'!$G$4:$G$503,_calc!$E$256))=0,"",INDEX('Our policies'!$G$4:$G$503,_calc!$E$256)),""))</f>
        <v/>
      </c>
      <c r="I254" s="46">
        <f>IF(_calc!$E$256="","",IF(_calc!$E$256&lt;=500,IF(LEN(INDEX('Our policies'!$H$4:$H$503,_calc!$E$256))=0,"",INDEX('Our policies'!$H$4:$H$503,_calc!$E$256)),""))</f>
        <v/>
      </c>
      <c r="K254" s="46">
        <f>IF(_calc!$E$256="","",IF(_calc!$E$256&lt;=500,IF(LEN(INDEX('Our policies'!$P$4:$P$503,_calc!$E$256))=0,"",INDEX('Our policies'!$P$4:$P$503,_calc!$E$256)),IF(LEN(INDEX('Vendor COIs'!$N$4:$N$503,(_calc!$E$256-500)))=0,"",INDEX('Vendor COIs'!$N$4:$N$503,(_calc!$E$256-500)))))</f>
        <v/>
      </c>
    </row>
    <row r="255">
      <c r="A255" s="46">
        <f>IF(_calc!$E$257="","",IF(_calc!$E$257&lt;=500,IF(LEN(INDEX('Our policies'!$A$4:$A$503,_calc!$E$257))=0,"",INDEX('Our policies'!$A$4:$A$503,_calc!$E$257)),"COI – "&amp;IF(LEN(INDEX('Vendor COIs'!$A$4:$A$503,(_calc!$E$257-500)))=0,"",INDEX('Vendor COIs'!$A$4:$A$503,(_calc!$E$257-500)))&amp;" – "&amp;IF(LEN(INDEX('Vendor COIs'!$B$4:$B$503,(_calc!$E$257-500)))=0,"",INDEX('Vendor COIs'!$B$4:$B$503,(_calc!$E$257-500)))))</f>
        <v/>
      </c>
      <c r="B255" s="46">
        <f>IF(_calc!$E$257="","",IF(_calc!$E$257&lt;=500,IF(ISNUMBER(INDEX('Our policies'!$J$4:$J$503,_calc!$E$257)),TEXT(INDEX('Our policies'!$J$4:$J$503,_calc!$E$257),"yyyy-mm-dd"),""),IF(ISNUMBER(INDEX('Vendor COIs'!$H$4:$H$503,(_calc!$E$257-500))),TEXT(INDEX('Vendor COIs'!$H$4:$H$503,(_calc!$E$257-500)),"yyyy-mm-dd"),"")))</f>
        <v/>
      </c>
      <c r="C255" s="46">
        <f>IF(_calc!$E$257="","",IF(_calc!$E$257&lt;=500,"Insurance","Certificate of insurance"))</f>
        <v/>
      </c>
      <c r="D255" s="46">
        <f>IF(_calc!$E$257="","",IF(_calc!$E$257&lt;=500,IF(ISNUMBER(INDEX('Our policies'!$I$4:$I$503,_calc!$E$257)),TEXT(INDEX('Our policies'!$I$4:$I$503,_calc!$E$257),"yyyy-mm-dd"),""),""))</f>
        <v/>
      </c>
      <c r="E255" s="46">
        <f>IF(_calc!$E$257="","",IF(_calc!$E$257&lt;=500,IF(LEN(INDEX('Our policies'!$Q$4:$Q$503,_calc!$E$257))=0,"",INDEX('Our policies'!$Q$4:$Q$503,_calc!$E$257)),"Medium"))</f>
        <v/>
      </c>
      <c r="F255" s="46">
        <f>IF(_calc!$E$257="","",IF(_calc!$E$257&lt;=500,TRIM(IF(LEN(IF(LEN(INDEX('Our policies'!$B$4:$B$503,_calc!$E$257))=0,"",INDEX('Our policies'!$B$4:$B$503,_calc!$E$257)))=0,"","Cover: "&amp;IF(LEN(INDEX('Our policies'!$B$4:$B$503,_calc!$E$257))=0,"",INDEX('Our policies'!$B$4:$B$503,_calc!$E$257))&amp;". ")&amp;IF(LEN(IF(LEN(INDEX('Our policies'!$C$4:$C$503,_calc!$E$257))=0,"",INDEX('Our policies'!$C$4:$C$503,_calc!$E$257)))=0,"","Insurer: "&amp;IF(LEN(INDEX('Our policies'!$C$4:$C$503,_calc!$E$257))=0,"",INDEX('Our policies'!$C$4:$C$503,_calc!$E$257))&amp;". ")&amp;IF(LEN(IF(LEN(INDEX('Our policies'!$D$4:$D$503,_calc!$E$257))=0,"",INDEX('Our policies'!$D$4:$D$503,_calc!$E$257)))=0,"","Broker: "&amp;IF(LEN(INDEX('Our policies'!$D$4:$D$503,_calc!$E$257))=0,"",INDEX('Our policies'!$D$4:$D$503,_calc!$E$257))&amp;". ")&amp;IF(LEN(IF(LEN(INDEX('Our policies'!$E$4:$E$503,_calc!$E$257))=0,"",INDEX('Our policies'!$E$4:$E$503,_calc!$E$257)))=0,"","Policy no.: "&amp;IF(LEN(INDEX('Our policies'!$E$4:$E$503,_calc!$E$257))=0,"",INDEX('Our policies'!$E$4:$E$503,_calc!$E$257))&amp;". ")&amp;IF(LEN(IF(LEN(INDEX('Our policies'!$S$4:$S$503,_calc!$E$257))=0,"",INDEX('Our policies'!$S$4:$S$503,_calc!$E$257)))=0,"",IF(LEN(INDEX('Our policies'!$S$4:$S$503,_calc!$E$257))=0,"",INDEX('Our policies'!$S$4:$S$503,_calc!$E$257)))),TRIM(IF(LEN(IF(LEN(INDEX('Vendor COIs'!$C$4:$C$503,(_calc!$E$257-500)))=0,"",INDEX('Vendor COIs'!$C$4:$C$503,(_calc!$E$257-500))))=0,"","Insurer: "&amp;IF(LEN(INDEX('Vendor COIs'!$C$4:$C$503,(_calc!$E$257-500)))=0,"",INDEX('Vendor COIs'!$C$4:$C$503,(_calc!$E$257-500)))&amp;". ")&amp;IF(LEN(IF(LEN(INDEX('Vendor COIs'!$D$4:$D$503,(_calc!$E$257-500)))=0,"",INDEX('Vendor COIs'!$D$4:$D$503,(_calc!$E$257-500))))=0,"","Policy no.: "&amp;IF(LEN(INDEX('Vendor COIs'!$D$4:$D$503,(_calc!$E$257-500)))=0,"",INDEX('Vendor COIs'!$D$4:$D$503,(_calc!$E$257-500)))&amp;". ")&amp;IF(LEN(IF(LEN(INDEX('Vendor COIs'!$F$4:$F$503,(_calc!$E$257-500)))=0,"",INDEX('Vendor COIs'!$F$4:$F$503,(_calc!$E$257-500))))=0,"","Meets minimum: "&amp;IF(LEN(INDEX('Vendor COIs'!$F$4:$F$503,(_calc!$E$257-500)))=0,"",INDEX('Vendor COIs'!$F$4:$F$503,(_calc!$E$257-500)))&amp;". ")&amp;IF(LEN(IF(LEN(INDEX('Vendor COIs'!$G$4:$G$503,(_calc!$E$257-500)))=0,"",INDEX('Vendor COIs'!$G$4:$G$503,(_calc!$E$257-500))))=0,"","Additional insured: "&amp;IF(LEN(INDEX('Vendor COIs'!$G$4:$G$503,(_calc!$E$257-500)))=0,"",INDEX('Vendor COIs'!$G$4:$G$503,(_calc!$E$257-500)))&amp;". ")&amp;IF(LEN(IF(LEN(INDEX('Vendor COIs'!$M$4:$M$503,(_calc!$E$257-500)))=0,"",INDEX('Vendor COIs'!$M$4:$M$503,(_calc!$E$257-500))))=0,"","Vendor contact: "&amp;IF(LEN(INDEX('Vendor COIs'!$M$4:$M$503,(_calc!$E$257-500)))=0,"",INDEX('Vendor COIs'!$M$4:$M$503,(_calc!$E$257-500)))&amp;". ")&amp;IF(LEN(IF(LEN(INDEX('Vendor COIs'!$P$4:$P$503,(_calc!$E$257-500)))=0,"",INDEX('Vendor COIs'!$P$4:$P$503,(_calc!$E$257-500))))=0,"",IF(LEN(INDEX('Vendor COIs'!$P$4:$P$503,(_calc!$E$257-500)))=0,"",INDEX('Vendor COIs'!$P$4:$P$503,(_calc!$E$257-500)))))))</f>
        <v/>
      </c>
      <c r="G255" s="46">
        <f>IF(_calc!$E$257="","",IF(_calc!$E$257&lt;=500,IF(LEN(INDEX('Our policies'!$R$4:$R$503,_calc!$E$257))=0,"",INDEX('Our policies'!$R$4:$R$503,_calc!$E$257)),IF(LEN(INDEX('Vendor COIs'!$O$4:$O$503,(_calc!$E$257-500)))=0,"",INDEX('Vendor COIs'!$O$4:$O$503,(_calc!$E$257-500)))))</f>
        <v/>
      </c>
      <c r="H255" s="46">
        <f>IF(_calc!$E$257="","",IF(_calc!$E$257&lt;=500,IF(LEN(INDEX('Our policies'!$G$4:$G$503,_calc!$E$257))=0,"",INDEX('Our policies'!$G$4:$G$503,_calc!$E$257)),""))</f>
        <v/>
      </c>
      <c r="I255" s="46">
        <f>IF(_calc!$E$257="","",IF(_calc!$E$257&lt;=500,IF(LEN(INDEX('Our policies'!$H$4:$H$503,_calc!$E$257))=0,"",INDEX('Our policies'!$H$4:$H$503,_calc!$E$257)),""))</f>
        <v/>
      </c>
      <c r="K255" s="46">
        <f>IF(_calc!$E$257="","",IF(_calc!$E$257&lt;=500,IF(LEN(INDEX('Our policies'!$P$4:$P$503,_calc!$E$257))=0,"",INDEX('Our policies'!$P$4:$P$503,_calc!$E$257)),IF(LEN(INDEX('Vendor COIs'!$N$4:$N$503,(_calc!$E$257-500)))=0,"",INDEX('Vendor COIs'!$N$4:$N$503,(_calc!$E$257-500)))))</f>
        <v/>
      </c>
    </row>
    <row r="256">
      <c r="A256" s="46">
        <f>IF(_calc!$E$258="","",IF(_calc!$E$258&lt;=500,IF(LEN(INDEX('Our policies'!$A$4:$A$503,_calc!$E$258))=0,"",INDEX('Our policies'!$A$4:$A$503,_calc!$E$258)),"COI – "&amp;IF(LEN(INDEX('Vendor COIs'!$A$4:$A$503,(_calc!$E$258-500)))=0,"",INDEX('Vendor COIs'!$A$4:$A$503,(_calc!$E$258-500)))&amp;" – "&amp;IF(LEN(INDEX('Vendor COIs'!$B$4:$B$503,(_calc!$E$258-500)))=0,"",INDEX('Vendor COIs'!$B$4:$B$503,(_calc!$E$258-500)))))</f>
        <v/>
      </c>
      <c r="B256" s="46">
        <f>IF(_calc!$E$258="","",IF(_calc!$E$258&lt;=500,IF(ISNUMBER(INDEX('Our policies'!$J$4:$J$503,_calc!$E$258)),TEXT(INDEX('Our policies'!$J$4:$J$503,_calc!$E$258),"yyyy-mm-dd"),""),IF(ISNUMBER(INDEX('Vendor COIs'!$H$4:$H$503,(_calc!$E$258-500))),TEXT(INDEX('Vendor COIs'!$H$4:$H$503,(_calc!$E$258-500)),"yyyy-mm-dd"),"")))</f>
        <v/>
      </c>
      <c r="C256" s="46">
        <f>IF(_calc!$E$258="","",IF(_calc!$E$258&lt;=500,"Insurance","Certificate of insurance"))</f>
        <v/>
      </c>
      <c r="D256" s="46">
        <f>IF(_calc!$E$258="","",IF(_calc!$E$258&lt;=500,IF(ISNUMBER(INDEX('Our policies'!$I$4:$I$503,_calc!$E$258)),TEXT(INDEX('Our policies'!$I$4:$I$503,_calc!$E$258),"yyyy-mm-dd"),""),""))</f>
        <v/>
      </c>
      <c r="E256" s="46">
        <f>IF(_calc!$E$258="","",IF(_calc!$E$258&lt;=500,IF(LEN(INDEX('Our policies'!$Q$4:$Q$503,_calc!$E$258))=0,"",INDEX('Our policies'!$Q$4:$Q$503,_calc!$E$258)),"Medium"))</f>
        <v/>
      </c>
      <c r="F256" s="46">
        <f>IF(_calc!$E$258="","",IF(_calc!$E$258&lt;=500,TRIM(IF(LEN(IF(LEN(INDEX('Our policies'!$B$4:$B$503,_calc!$E$258))=0,"",INDEX('Our policies'!$B$4:$B$503,_calc!$E$258)))=0,"","Cover: "&amp;IF(LEN(INDEX('Our policies'!$B$4:$B$503,_calc!$E$258))=0,"",INDEX('Our policies'!$B$4:$B$503,_calc!$E$258))&amp;". ")&amp;IF(LEN(IF(LEN(INDEX('Our policies'!$C$4:$C$503,_calc!$E$258))=0,"",INDEX('Our policies'!$C$4:$C$503,_calc!$E$258)))=0,"","Insurer: "&amp;IF(LEN(INDEX('Our policies'!$C$4:$C$503,_calc!$E$258))=0,"",INDEX('Our policies'!$C$4:$C$503,_calc!$E$258))&amp;". ")&amp;IF(LEN(IF(LEN(INDEX('Our policies'!$D$4:$D$503,_calc!$E$258))=0,"",INDEX('Our policies'!$D$4:$D$503,_calc!$E$258)))=0,"","Broker: "&amp;IF(LEN(INDEX('Our policies'!$D$4:$D$503,_calc!$E$258))=0,"",INDEX('Our policies'!$D$4:$D$503,_calc!$E$258))&amp;". ")&amp;IF(LEN(IF(LEN(INDEX('Our policies'!$E$4:$E$503,_calc!$E$258))=0,"",INDEX('Our policies'!$E$4:$E$503,_calc!$E$258)))=0,"","Policy no.: "&amp;IF(LEN(INDEX('Our policies'!$E$4:$E$503,_calc!$E$258))=0,"",INDEX('Our policies'!$E$4:$E$503,_calc!$E$258))&amp;". ")&amp;IF(LEN(IF(LEN(INDEX('Our policies'!$S$4:$S$503,_calc!$E$258))=0,"",INDEX('Our policies'!$S$4:$S$503,_calc!$E$258)))=0,"",IF(LEN(INDEX('Our policies'!$S$4:$S$503,_calc!$E$258))=0,"",INDEX('Our policies'!$S$4:$S$503,_calc!$E$258)))),TRIM(IF(LEN(IF(LEN(INDEX('Vendor COIs'!$C$4:$C$503,(_calc!$E$258-500)))=0,"",INDEX('Vendor COIs'!$C$4:$C$503,(_calc!$E$258-500))))=0,"","Insurer: "&amp;IF(LEN(INDEX('Vendor COIs'!$C$4:$C$503,(_calc!$E$258-500)))=0,"",INDEX('Vendor COIs'!$C$4:$C$503,(_calc!$E$258-500)))&amp;". ")&amp;IF(LEN(IF(LEN(INDEX('Vendor COIs'!$D$4:$D$503,(_calc!$E$258-500)))=0,"",INDEX('Vendor COIs'!$D$4:$D$503,(_calc!$E$258-500))))=0,"","Policy no.: "&amp;IF(LEN(INDEX('Vendor COIs'!$D$4:$D$503,(_calc!$E$258-500)))=0,"",INDEX('Vendor COIs'!$D$4:$D$503,(_calc!$E$258-500)))&amp;". ")&amp;IF(LEN(IF(LEN(INDEX('Vendor COIs'!$F$4:$F$503,(_calc!$E$258-500)))=0,"",INDEX('Vendor COIs'!$F$4:$F$503,(_calc!$E$258-500))))=0,"","Meets minimum: "&amp;IF(LEN(INDEX('Vendor COIs'!$F$4:$F$503,(_calc!$E$258-500)))=0,"",INDEX('Vendor COIs'!$F$4:$F$503,(_calc!$E$258-500)))&amp;". ")&amp;IF(LEN(IF(LEN(INDEX('Vendor COIs'!$G$4:$G$503,(_calc!$E$258-500)))=0,"",INDEX('Vendor COIs'!$G$4:$G$503,(_calc!$E$258-500))))=0,"","Additional insured: "&amp;IF(LEN(INDEX('Vendor COIs'!$G$4:$G$503,(_calc!$E$258-500)))=0,"",INDEX('Vendor COIs'!$G$4:$G$503,(_calc!$E$258-500)))&amp;". ")&amp;IF(LEN(IF(LEN(INDEX('Vendor COIs'!$M$4:$M$503,(_calc!$E$258-500)))=0,"",INDEX('Vendor COIs'!$M$4:$M$503,(_calc!$E$258-500))))=0,"","Vendor contact: "&amp;IF(LEN(INDEX('Vendor COIs'!$M$4:$M$503,(_calc!$E$258-500)))=0,"",INDEX('Vendor COIs'!$M$4:$M$503,(_calc!$E$258-500)))&amp;". ")&amp;IF(LEN(IF(LEN(INDEX('Vendor COIs'!$P$4:$P$503,(_calc!$E$258-500)))=0,"",INDEX('Vendor COIs'!$P$4:$P$503,(_calc!$E$258-500))))=0,"",IF(LEN(INDEX('Vendor COIs'!$P$4:$P$503,(_calc!$E$258-500)))=0,"",INDEX('Vendor COIs'!$P$4:$P$503,(_calc!$E$258-500)))))))</f>
        <v/>
      </c>
      <c r="G256" s="46">
        <f>IF(_calc!$E$258="","",IF(_calc!$E$258&lt;=500,IF(LEN(INDEX('Our policies'!$R$4:$R$503,_calc!$E$258))=0,"",INDEX('Our policies'!$R$4:$R$503,_calc!$E$258)),IF(LEN(INDEX('Vendor COIs'!$O$4:$O$503,(_calc!$E$258-500)))=0,"",INDEX('Vendor COIs'!$O$4:$O$503,(_calc!$E$258-500)))))</f>
        <v/>
      </c>
      <c r="H256" s="46">
        <f>IF(_calc!$E$258="","",IF(_calc!$E$258&lt;=500,IF(LEN(INDEX('Our policies'!$G$4:$G$503,_calc!$E$258))=0,"",INDEX('Our policies'!$G$4:$G$503,_calc!$E$258)),""))</f>
        <v/>
      </c>
      <c r="I256" s="46">
        <f>IF(_calc!$E$258="","",IF(_calc!$E$258&lt;=500,IF(LEN(INDEX('Our policies'!$H$4:$H$503,_calc!$E$258))=0,"",INDEX('Our policies'!$H$4:$H$503,_calc!$E$258)),""))</f>
        <v/>
      </c>
      <c r="K256" s="46">
        <f>IF(_calc!$E$258="","",IF(_calc!$E$258&lt;=500,IF(LEN(INDEX('Our policies'!$P$4:$P$503,_calc!$E$258))=0,"",INDEX('Our policies'!$P$4:$P$503,_calc!$E$258)),IF(LEN(INDEX('Vendor COIs'!$N$4:$N$503,(_calc!$E$258-500)))=0,"",INDEX('Vendor COIs'!$N$4:$N$503,(_calc!$E$258-500)))))</f>
        <v/>
      </c>
    </row>
    <row r="257">
      <c r="A257" s="46">
        <f>IF(_calc!$E$259="","",IF(_calc!$E$259&lt;=500,IF(LEN(INDEX('Our policies'!$A$4:$A$503,_calc!$E$259))=0,"",INDEX('Our policies'!$A$4:$A$503,_calc!$E$259)),"COI – "&amp;IF(LEN(INDEX('Vendor COIs'!$A$4:$A$503,(_calc!$E$259-500)))=0,"",INDEX('Vendor COIs'!$A$4:$A$503,(_calc!$E$259-500)))&amp;" – "&amp;IF(LEN(INDEX('Vendor COIs'!$B$4:$B$503,(_calc!$E$259-500)))=0,"",INDEX('Vendor COIs'!$B$4:$B$503,(_calc!$E$259-500)))))</f>
        <v/>
      </c>
      <c r="B257" s="46">
        <f>IF(_calc!$E$259="","",IF(_calc!$E$259&lt;=500,IF(ISNUMBER(INDEX('Our policies'!$J$4:$J$503,_calc!$E$259)),TEXT(INDEX('Our policies'!$J$4:$J$503,_calc!$E$259),"yyyy-mm-dd"),""),IF(ISNUMBER(INDEX('Vendor COIs'!$H$4:$H$503,(_calc!$E$259-500))),TEXT(INDEX('Vendor COIs'!$H$4:$H$503,(_calc!$E$259-500)),"yyyy-mm-dd"),"")))</f>
        <v/>
      </c>
      <c r="C257" s="46">
        <f>IF(_calc!$E$259="","",IF(_calc!$E$259&lt;=500,"Insurance","Certificate of insurance"))</f>
        <v/>
      </c>
      <c r="D257" s="46">
        <f>IF(_calc!$E$259="","",IF(_calc!$E$259&lt;=500,IF(ISNUMBER(INDEX('Our policies'!$I$4:$I$503,_calc!$E$259)),TEXT(INDEX('Our policies'!$I$4:$I$503,_calc!$E$259),"yyyy-mm-dd"),""),""))</f>
        <v/>
      </c>
      <c r="E257" s="46">
        <f>IF(_calc!$E$259="","",IF(_calc!$E$259&lt;=500,IF(LEN(INDEX('Our policies'!$Q$4:$Q$503,_calc!$E$259))=0,"",INDEX('Our policies'!$Q$4:$Q$503,_calc!$E$259)),"Medium"))</f>
        <v/>
      </c>
      <c r="F257" s="46">
        <f>IF(_calc!$E$259="","",IF(_calc!$E$259&lt;=500,TRIM(IF(LEN(IF(LEN(INDEX('Our policies'!$B$4:$B$503,_calc!$E$259))=0,"",INDEX('Our policies'!$B$4:$B$503,_calc!$E$259)))=0,"","Cover: "&amp;IF(LEN(INDEX('Our policies'!$B$4:$B$503,_calc!$E$259))=0,"",INDEX('Our policies'!$B$4:$B$503,_calc!$E$259))&amp;". ")&amp;IF(LEN(IF(LEN(INDEX('Our policies'!$C$4:$C$503,_calc!$E$259))=0,"",INDEX('Our policies'!$C$4:$C$503,_calc!$E$259)))=0,"","Insurer: "&amp;IF(LEN(INDEX('Our policies'!$C$4:$C$503,_calc!$E$259))=0,"",INDEX('Our policies'!$C$4:$C$503,_calc!$E$259))&amp;". ")&amp;IF(LEN(IF(LEN(INDEX('Our policies'!$D$4:$D$503,_calc!$E$259))=0,"",INDEX('Our policies'!$D$4:$D$503,_calc!$E$259)))=0,"","Broker: "&amp;IF(LEN(INDEX('Our policies'!$D$4:$D$503,_calc!$E$259))=0,"",INDEX('Our policies'!$D$4:$D$503,_calc!$E$259))&amp;". ")&amp;IF(LEN(IF(LEN(INDEX('Our policies'!$E$4:$E$503,_calc!$E$259))=0,"",INDEX('Our policies'!$E$4:$E$503,_calc!$E$259)))=0,"","Policy no.: "&amp;IF(LEN(INDEX('Our policies'!$E$4:$E$503,_calc!$E$259))=0,"",INDEX('Our policies'!$E$4:$E$503,_calc!$E$259))&amp;". ")&amp;IF(LEN(IF(LEN(INDEX('Our policies'!$S$4:$S$503,_calc!$E$259))=0,"",INDEX('Our policies'!$S$4:$S$503,_calc!$E$259)))=0,"",IF(LEN(INDEX('Our policies'!$S$4:$S$503,_calc!$E$259))=0,"",INDEX('Our policies'!$S$4:$S$503,_calc!$E$259)))),TRIM(IF(LEN(IF(LEN(INDEX('Vendor COIs'!$C$4:$C$503,(_calc!$E$259-500)))=0,"",INDEX('Vendor COIs'!$C$4:$C$503,(_calc!$E$259-500))))=0,"","Insurer: "&amp;IF(LEN(INDEX('Vendor COIs'!$C$4:$C$503,(_calc!$E$259-500)))=0,"",INDEX('Vendor COIs'!$C$4:$C$503,(_calc!$E$259-500)))&amp;". ")&amp;IF(LEN(IF(LEN(INDEX('Vendor COIs'!$D$4:$D$503,(_calc!$E$259-500)))=0,"",INDEX('Vendor COIs'!$D$4:$D$503,(_calc!$E$259-500))))=0,"","Policy no.: "&amp;IF(LEN(INDEX('Vendor COIs'!$D$4:$D$503,(_calc!$E$259-500)))=0,"",INDEX('Vendor COIs'!$D$4:$D$503,(_calc!$E$259-500)))&amp;". ")&amp;IF(LEN(IF(LEN(INDEX('Vendor COIs'!$F$4:$F$503,(_calc!$E$259-500)))=0,"",INDEX('Vendor COIs'!$F$4:$F$503,(_calc!$E$259-500))))=0,"","Meets minimum: "&amp;IF(LEN(INDEX('Vendor COIs'!$F$4:$F$503,(_calc!$E$259-500)))=0,"",INDEX('Vendor COIs'!$F$4:$F$503,(_calc!$E$259-500)))&amp;". ")&amp;IF(LEN(IF(LEN(INDEX('Vendor COIs'!$G$4:$G$503,(_calc!$E$259-500)))=0,"",INDEX('Vendor COIs'!$G$4:$G$503,(_calc!$E$259-500))))=0,"","Additional insured: "&amp;IF(LEN(INDEX('Vendor COIs'!$G$4:$G$503,(_calc!$E$259-500)))=0,"",INDEX('Vendor COIs'!$G$4:$G$503,(_calc!$E$259-500)))&amp;". ")&amp;IF(LEN(IF(LEN(INDEX('Vendor COIs'!$M$4:$M$503,(_calc!$E$259-500)))=0,"",INDEX('Vendor COIs'!$M$4:$M$503,(_calc!$E$259-500))))=0,"","Vendor contact: "&amp;IF(LEN(INDEX('Vendor COIs'!$M$4:$M$503,(_calc!$E$259-500)))=0,"",INDEX('Vendor COIs'!$M$4:$M$503,(_calc!$E$259-500)))&amp;". ")&amp;IF(LEN(IF(LEN(INDEX('Vendor COIs'!$P$4:$P$503,(_calc!$E$259-500)))=0,"",INDEX('Vendor COIs'!$P$4:$P$503,(_calc!$E$259-500))))=0,"",IF(LEN(INDEX('Vendor COIs'!$P$4:$P$503,(_calc!$E$259-500)))=0,"",INDEX('Vendor COIs'!$P$4:$P$503,(_calc!$E$259-500)))))))</f>
        <v/>
      </c>
      <c r="G257" s="46">
        <f>IF(_calc!$E$259="","",IF(_calc!$E$259&lt;=500,IF(LEN(INDEX('Our policies'!$R$4:$R$503,_calc!$E$259))=0,"",INDEX('Our policies'!$R$4:$R$503,_calc!$E$259)),IF(LEN(INDEX('Vendor COIs'!$O$4:$O$503,(_calc!$E$259-500)))=0,"",INDEX('Vendor COIs'!$O$4:$O$503,(_calc!$E$259-500)))))</f>
        <v/>
      </c>
      <c r="H257" s="46">
        <f>IF(_calc!$E$259="","",IF(_calc!$E$259&lt;=500,IF(LEN(INDEX('Our policies'!$G$4:$G$503,_calc!$E$259))=0,"",INDEX('Our policies'!$G$4:$G$503,_calc!$E$259)),""))</f>
        <v/>
      </c>
      <c r="I257" s="46">
        <f>IF(_calc!$E$259="","",IF(_calc!$E$259&lt;=500,IF(LEN(INDEX('Our policies'!$H$4:$H$503,_calc!$E$259))=0,"",INDEX('Our policies'!$H$4:$H$503,_calc!$E$259)),""))</f>
        <v/>
      </c>
      <c r="K257" s="46">
        <f>IF(_calc!$E$259="","",IF(_calc!$E$259&lt;=500,IF(LEN(INDEX('Our policies'!$P$4:$P$503,_calc!$E$259))=0,"",INDEX('Our policies'!$P$4:$P$503,_calc!$E$259)),IF(LEN(INDEX('Vendor COIs'!$N$4:$N$503,(_calc!$E$259-500)))=0,"",INDEX('Vendor COIs'!$N$4:$N$503,(_calc!$E$259-500)))))</f>
        <v/>
      </c>
    </row>
    <row r="258">
      <c r="A258" s="46">
        <f>IF(_calc!$E$260="","",IF(_calc!$E$260&lt;=500,IF(LEN(INDEX('Our policies'!$A$4:$A$503,_calc!$E$260))=0,"",INDEX('Our policies'!$A$4:$A$503,_calc!$E$260)),"COI – "&amp;IF(LEN(INDEX('Vendor COIs'!$A$4:$A$503,(_calc!$E$260-500)))=0,"",INDEX('Vendor COIs'!$A$4:$A$503,(_calc!$E$260-500)))&amp;" – "&amp;IF(LEN(INDEX('Vendor COIs'!$B$4:$B$503,(_calc!$E$260-500)))=0,"",INDEX('Vendor COIs'!$B$4:$B$503,(_calc!$E$260-500)))))</f>
        <v/>
      </c>
      <c r="B258" s="46">
        <f>IF(_calc!$E$260="","",IF(_calc!$E$260&lt;=500,IF(ISNUMBER(INDEX('Our policies'!$J$4:$J$503,_calc!$E$260)),TEXT(INDEX('Our policies'!$J$4:$J$503,_calc!$E$260),"yyyy-mm-dd"),""),IF(ISNUMBER(INDEX('Vendor COIs'!$H$4:$H$503,(_calc!$E$260-500))),TEXT(INDEX('Vendor COIs'!$H$4:$H$503,(_calc!$E$260-500)),"yyyy-mm-dd"),"")))</f>
        <v/>
      </c>
      <c r="C258" s="46">
        <f>IF(_calc!$E$260="","",IF(_calc!$E$260&lt;=500,"Insurance","Certificate of insurance"))</f>
        <v/>
      </c>
      <c r="D258" s="46">
        <f>IF(_calc!$E$260="","",IF(_calc!$E$260&lt;=500,IF(ISNUMBER(INDEX('Our policies'!$I$4:$I$503,_calc!$E$260)),TEXT(INDEX('Our policies'!$I$4:$I$503,_calc!$E$260),"yyyy-mm-dd"),""),""))</f>
        <v/>
      </c>
      <c r="E258" s="46">
        <f>IF(_calc!$E$260="","",IF(_calc!$E$260&lt;=500,IF(LEN(INDEX('Our policies'!$Q$4:$Q$503,_calc!$E$260))=0,"",INDEX('Our policies'!$Q$4:$Q$503,_calc!$E$260)),"Medium"))</f>
        <v/>
      </c>
      <c r="F258" s="46">
        <f>IF(_calc!$E$260="","",IF(_calc!$E$260&lt;=500,TRIM(IF(LEN(IF(LEN(INDEX('Our policies'!$B$4:$B$503,_calc!$E$260))=0,"",INDEX('Our policies'!$B$4:$B$503,_calc!$E$260)))=0,"","Cover: "&amp;IF(LEN(INDEX('Our policies'!$B$4:$B$503,_calc!$E$260))=0,"",INDEX('Our policies'!$B$4:$B$503,_calc!$E$260))&amp;". ")&amp;IF(LEN(IF(LEN(INDEX('Our policies'!$C$4:$C$503,_calc!$E$260))=0,"",INDEX('Our policies'!$C$4:$C$503,_calc!$E$260)))=0,"","Insurer: "&amp;IF(LEN(INDEX('Our policies'!$C$4:$C$503,_calc!$E$260))=0,"",INDEX('Our policies'!$C$4:$C$503,_calc!$E$260))&amp;". ")&amp;IF(LEN(IF(LEN(INDEX('Our policies'!$D$4:$D$503,_calc!$E$260))=0,"",INDEX('Our policies'!$D$4:$D$503,_calc!$E$260)))=0,"","Broker: "&amp;IF(LEN(INDEX('Our policies'!$D$4:$D$503,_calc!$E$260))=0,"",INDEX('Our policies'!$D$4:$D$503,_calc!$E$260))&amp;". ")&amp;IF(LEN(IF(LEN(INDEX('Our policies'!$E$4:$E$503,_calc!$E$260))=0,"",INDEX('Our policies'!$E$4:$E$503,_calc!$E$260)))=0,"","Policy no.: "&amp;IF(LEN(INDEX('Our policies'!$E$4:$E$503,_calc!$E$260))=0,"",INDEX('Our policies'!$E$4:$E$503,_calc!$E$260))&amp;". ")&amp;IF(LEN(IF(LEN(INDEX('Our policies'!$S$4:$S$503,_calc!$E$260))=0,"",INDEX('Our policies'!$S$4:$S$503,_calc!$E$260)))=0,"",IF(LEN(INDEX('Our policies'!$S$4:$S$503,_calc!$E$260))=0,"",INDEX('Our policies'!$S$4:$S$503,_calc!$E$260)))),TRIM(IF(LEN(IF(LEN(INDEX('Vendor COIs'!$C$4:$C$503,(_calc!$E$260-500)))=0,"",INDEX('Vendor COIs'!$C$4:$C$503,(_calc!$E$260-500))))=0,"","Insurer: "&amp;IF(LEN(INDEX('Vendor COIs'!$C$4:$C$503,(_calc!$E$260-500)))=0,"",INDEX('Vendor COIs'!$C$4:$C$503,(_calc!$E$260-500)))&amp;". ")&amp;IF(LEN(IF(LEN(INDEX('Vendor COIs'!$D$4:$D$503,(_calc!$E$260-500)))=0,"",INDEX('Vendor COIs'!$D$4:$D$503,(_calc!$E$260-500))))=0,"","Policy no.: "&amp;IF(LEN(INDEX('Vendor COIs'!$D$4:$D$503,(_calc!$E$260-500)))=0,"",INDEX('Vendor COIs'!$D$4:$D$503,(_calc!$E$260-500)))&amp;". ")&amp;IF(LEN(IF(LEN(INDEX('Vendor COIs'!$F$4:$F$503,(_calc!$E$260-500)))=0,"",INDEX('Vendor COIs'!$F$4:$F$503,(_calc!$E$260-500))))=0,"","Meets minimum: "&amp;IF(LEN(INDEX('Vendor COIs'!$F$4:$F$503,(_calc!$E$260-500)))=0,"",INDEX('Vendor COIs'!$F$4:$F$503,(_calc!$E$260-500)))&amp;". ")&amp;IF(LEN(IF(LEN(INDEX('Vendor COIs'!$G$4:$G$503,(_calc!$E$260-500)))=0,"",INDEX('Vendor COIs'!$G$4:$G$503,(_calc!$E$260-500))))=0,"","Additional insured: "&amp;IF(LEN(INDEX('Vendor COIs'!$G$4:$G$503,(_calc!$E$260-500)))=0,"",INDEX('Vendor COIs'!$G$4:$G$503,(_calc!$E$260-500)))&amp;". ")&amp;IF(LEN(IF(LEN(INDEX('Vendor COIs'!$M$4:$M$503,(_calc!$E$260-500)))=0,"",INDEX('Vendor COIs'!$M$4:$M$503,(_calc!$E$260-500))))=0,"","Vendor contact: "&amp;IF(LEN(INDEX('Vendor COIs'!$M$4:$M$503,(_calc!$E$260-500)))=0,"",INDEX('Vendor COIs'!$M$4:$M$503,(_calc!$E$260-500)))&amp;". ")&amp;IF(LEN(IF(LEN(INDEX('Vendor COIs'!$P$4:$P$503,(_calc!$E$260-500)))=0,"",INDEX('Vendor COIs'!$P$4:$P$503,(_calc!$E$260-500))))=0,"",IF(LEN(INDEX('Vendor COIs'!$P$4:$P$503,(_calc!$E$260-500)))=0,"",INDEX('Vendor COIs'!$P$4:$P$503,(_calc!$E$260-500)))))))</f>
        <v/>
      </c>
      <c r="G258" s="46">
        <f>IF(_calc!$E$260="","",IF(_calc!$E$260&lt;=500,IF(LEN(INDEX('Our policies'!$R$4:$R$503,_calc!$E$260))=0,"",INDEX('Our policies'!$R$4:$R$503,_calc!$E$260)),IF(LEN(INDEX('Vendor COIs'!$O$4:$O$503,(_calc!$E$260-500)))=0,"",INDEX('Vendor COIs'!$O$4:$O$503,(_calc!$E$260-500)))))</f>
        <v/>
      </c>
      <c r="H258" s="46">
        <f>IF(_calc!$E$260="","",IF(_calc!$E$260&lt;=500,IF(LEN(INDEX('Our policies'!$G$4:$G$503,_calc!$E$260))=0,"",INDEX('Our policies'!$G$4:$G$503,_calc!$E$260)),""))</f>
        <v/>
      </c>
      <c r="I258" s="46">
        <f>IF(_calc!$E$260="","",IF(_calc!$E$260&lt;=500,IF(LEN(INDEX('Our policies'!$H$4:$H$503,_calc!$E$260))=0,"",INDEX('Our policies'!$H$4:$H$503,_calc!$E$260)),""))</f>
        <v/>
      </c>
      <c r="K258" s="46">
        <f>IF(_calc!$E$260="","",IF(_calc!$E$260&lt;=500,IF(LEN(INDEX('Our policies'!$P$4:$P$503,_calc!$E$260))=0,"",INDEX('Our policies'!$P$4:$P$503,_calc!$E$260)),IF(LEN(INDEX('Vendor COIs'!$N$4:$N$503,(_calc!$E$260-500)))=0,"",INDEX('Vendor COIs'!$N$4:$N$503,(_calc!$E$260-500)))))</f>
        <v/>
      </c>
    </row>
    <row r="259">
      <c r="A259" s="46">
        <f>IF(_calc!$E$261="","",IF(_calc!$E$261&lt;=500,IF(LEN(INDEX('Our policies'!$A$4:$A$503,_calc!$E$261))=0,"",INDEX('Our policies'!$A$4:$A$503,_calc!$E$261)),"COI – "&amp;IF(LEN(INDEX('Vendor COIs'!$A$4:$A$503,(_calc!$E$261-500)))=0,"",INDEX('Vendor COIs'!$A$4:$A$503,(_calc!$E$261-500)))&amp;" – "&amp;IF(LEN(INDEX('Vendor COIs'!$B$4:$B$503,(_calc!$E$261-500)))=0,"",INDEX('Vendor COIs'!$B$4:$B$503,(_calc!$E$261-500)))))</f>
        <v/>
      </c>
      <c r="B259" s="46">
        <f>IF(_calc!$E$261="","",IF(_calc!$E$261&lt;=500,IF(ISNUMBER(INDEX('Our policies'!$J$4:$J$503,_calc!$E$261)),TEXT(INDEX('Our policies'!$J$4:$J$503,_calc!$E$261),"yyyy-mm-dd"),""),IF(ISNUMBER(INDEX('Vendor COIs'!$H$4:$H$503,(_calc!$E$261-500))),TEXT(INDEX('Vendor COIs'!$H$4:$H$503,(_calc!$E$261-500)),"yyyy-mm-dd"),"")))</f>
        <v/>
      </c>
      <c r="C259" s="46">
        <f>IF(_calc!$E$261="","",IF(_calc!$E$261&lt;=500,"Insurance","Certificate of insurance"))</f>
        <v/>
      </c>
      <c r="D259" s="46">
        <f>IF(_calc!$E$261="","",IF(_calc!$E$261&lt;=500,IF(ISNUMBER(INDEX('Our policies'!$I$4:$I$503,_calc!$E$261)),TEXT(INDEX('Our policies'!$I$4:$I$503,_calc!$E$261),"yyyy-mm-dd"),""),""))</f>
        <v/>
      </c>
      <c r="E259" s="46">
        <f>IF(_calc!$E$261="","",IF(_calc!$E$261&lt;=500,IF(LEN(INDEX('Our policies'!$Q$4:$Q$503,_calc!$E$261))=0,"",INDEX('Our policies'!$Q$4:$Q$503,_calc!$E$261)),"Medium"))</f>
        <v/>
      </c>
      <c r="F259" s="46">
        <f>IF(_calc!$E$261="","",IF(_calc!$E$261&lt;=500,TRIM(IF(LEN(IF(LEN(INDEX('Our policies'!$B$4:$B$503,_calc!$E$261))=0,"",INDEX('Our policies'!$B$4:$B$503,_calc!$E$261)))=0,"","Cover: "&amp;IF(LEN(INDEX('Our policies'!$B$4:$B$503,_calc!$E$261))=0,"",INDEX('Our policies'!$B$4:$B$503,_calc!$E$261))&amp;". ")&amp;IF(LEN(IF(LEN(INDEX('Our policies'!$C$4:$C$503,_calc!$E$261))=0,"",INDEX('Our policies'!$C$4:$C$503,_calc!$E$261)))=0,"","Insurer: "&amp;IF(LEN(INDEX('Our policies'!$C$4:$C$503,_calc!$E$261))=0,"",INDEX('Our policies'!$C$4:$C$503,_calc!$E$261))&amp;". ")&amp;IF(LEN(IF(LEN(INDEX('Our policies'!$D$4:$D$503,_calc!$E$261))=0,"",INDEX('Our policies'!$D$4:$D$503,_calc!$E$261)))=0,"","Broker: "&amp;IF(LEN(INDEX('Our policies'!$D$4:$D$503,_calc!$E$261))=0,"",INDEX('Our policies'!$D$4:$D$503,_calc!$E$261))&amp;". ")&amp;IF(LEN(IF(LEN(INDEX('Our policies'!$E$4:$E$503,_calc!$E$261))=0,"",INDEX('Our policies'!$E$4:$E$503,_calc!$E$261)))=0,"","Policy no.: "&amp;IF(LEN(INDEX('Our policies'!$E$4:$E$503,_calc!$E$261))=0,"",INDEX('Our policies'!$E$4:$E$503,_calc!$E$261))&amp;". ")&amp;IF(LEN(IF(LEN(INDEX('Our policies'!$S$4:$S$503,_calc!$E$261))=0,"",INDEX('Our policies'!$S$4:$S$503,_calc!$E$261)))=0,"",IF(LEN(INDEX('Our policies'!$S$4:$S$503,_calc!$E$261))=0,"",INDEX('Our policies'!$S$4:$S$503,_calc!$E$261)))),TRIM(IF(LEN(IF(LEN(INDEX('Vendor COIs'!$C$4:$C$503,(_calc!$E$261-500)))=0,"",INDEX('Vendor COIs'!$C$4:$C$503,(_calc!$E$261-500))))=0,"","Insurer: "&amp;IF(LEN(INDEX('Vendor COIs'!$C$4:$C$503,(_calc!$E$261-500)))=0,"",INDEX('Vendor COIs'!$C$4:$C$503,(_calc!$E$261-500)))&amp;". ")&amp;IF(LEN(IF(LEN(INDEX('Vendor COIs'!$D$4:$D$503,(_calc!$E$261-500)))=0,"",INDEX('Vendor COIs'!$D$4:$D$503,(_calc!$E$261-500))))=0,"","Policy no.: "&amp;IF(LEN(INDEX('Vendor COIs'!$D$4:$D$503,(_calc!$E$261-500)))=0,"",INDEX('Vendor COIs'!$D$4:$D$503,(_calc!$E$261-500)))&amp;". ")&amp;IF(LEN(IF(LEN(INDEX('Vendor COIs'!$F$4:$F$503,(_calc!$E$261-500)))=0,"",INDEX('Vendor COIs'!$F$4:$F$503,(_calc!$E$261-500))))=0,"","Meets minimum: "&amp;IF(LEN(INDEX('Vendor COIs'!$F$4:$F$503,(_calc!$E$261-500)))=0,"",INDEX('Vendor COIs'!$F$4:$F$503,(_calc!$E$261-500)))&amp;". ")&amp;IF(LEN(IF(LEN(INDEX('Vendor COIs'!$G$4:$G$503,(_calc!$E$261-500)))=0,"",INDEX('Vendor COIs'!$G$4:$G$503,(_calc!$E$261-500))))=0,"","Additional insured: "&amp;IF(LEN(INDEX('Vendor COIs'!$G$4:$G$503,(_calc!$E$261-500)))=0,"",INDEX('Vendor COIs'!$G$4:$G$503,(_calc!$E$261-500)))&amp;". ")&amp;IF(LEN(IF(LEN(INDEX('Vendor COIs'!$M$4:$M$503,(_calc!$E$261-500)))=0,"",INDEX('Vendor COIs'!$M$4:$M$503,(_calc!$E$261-500))))=0,"","Vendor contact: "&amp;IF(LEN(INDEX('Vendor COIs'!$M$4:$M$503,(_calc!$E$261-500)))=0,"",INDEX('Vendor COIs'!$M$4:$M$503,(_calc!$E$261-500)))&amp;". ")&amp;IF(LEN(IF(LEN(INDEX('Vendor COIs'!$P$4:$P$503,(_calc!$E$261-500)))=0,"",INDEX('Vendor COIs'!$P$4:$P$503,(_calc!$E$261-500))))=0,"",IF(LEN(INDEX('Vendor COIs'!$P$4:$P$503,(_calc!$E$261-500)))=0,"",INDEX('Vendor COIs'!$P$4:$P$503,(_calc!$E$261-500)))))))</f>
        <v/>
      </c>
      <c r="G259" s="46">
        <f>IF(_calc!$E$261="","",IF(_calc!$E$261&lt;=500,IF(LEN(INDEX('Our policies'!$R$4:$R$503,_calc!$E$261))=0,"",INDEX('Our policies'!$R$4:$R$503,_calc!$E$261)),IF(LEN(INDEX('Vendor COIs'!$O$4:$O$503,(_calc!$E$261-500)))=0,"",INDEX('Vendor COIs'!$O$4:$O$503,(_calc!$E$261-500)))))</f>
        <v/>
      </c>
      <c r="H259" s="46">
        <f>IF(_calc!$E$261="","",IF(_calc!$E$261&lt;=500,IF(LEN(INDEX('Our policies'!$G$4:$G$503,_calc!$E$261))=0,"",INDEX('Our policies'!$G$4:$G$503,_calc!$E$261)),""))</f>
        <v/>
      </c>
      <c r="I259" s="46">
        <f>IF(_calc!$E$261="","",IF(_calc!$E$261&lt;=500,IF(LEN(INDEX('Our policies'!$H$4:$H$503,_calc!$E$261))=0,"",INDEX('Our policies'!$H$4:$H$503,_calc!$E$261)),""))</f>
        <v/>
      </c>
      <c r="K259" s="46">
        <f>IF(_calc!$E$261="","",IF(_calc!$E$261&lt;=500,IF(LEN(INDEX('Our policies'!$P$4:$P$503,_calc!$E$261))=0,"",INDEX('Our policies'!$P$4:$P$503,_calc!$E$261)),IF(LEN(INDEX('Vendor COIs'!$N$4:$N$503,(_calc!$E$261-500)))=0,"",INDEX('Vendor COIs'!$N$4:$N$503,(_calc!$E$261-500)))))</f>
        <v/>
      </c>
    </row>
    <row r="260">
      <c r="A260" s="46">
        <f>IF(_calc!$E$262="","",IF(_calc!$E$262&lt;=500,IF(LEN(INDEX('Our policies'!$A$4:$A$503,_calc!$E$262))=0,"",INDEX('Our policies'!$A$4:$A$503,_calc!$E$262)),"COI – "&amp;IF(LEN(INDEX('Vendor COIs'!$A$4:$A$503,(_calc!$E$262-500)))=0,"",INDEX('Vendor COIs'!$A$4:$A$503,(_calc!$E$262-500)))&amp;" – "&amp;IF(LEN(INDEX('Vendor COIs'!$B$4:$B$503,(_calc!$E$262-500)))=0,"",INDEX('Vendor COIs'!$B$4:$B$503,(_calc!$E$262-500)))))</f>
        <v/>
      </c>
      <c r="B260" s="46">
        <f>IF(_calc!$E$262="","",IF(_calc!$E$262&lt;=500,IF(ISNUMBER(INDEX('Our policies'!$J$4:$J$503,_calc!$E$262)),TEXT(INDEX('Our policies'!$J$4:$J$503,_calc!$E$262),"yyyy-mm-dd"),""),IF(ISNUMBER(INDEX('Vendor COIs'!$H$4:$H$503,(_calc!$E$262-500))),TEXT(INDEX('Vendor COIs'!$H$4:$H$503,(_calc!$E$262-500)),"yyyy-mm-dd"),"")))</f>
        <v/>
      </c>
      <c r="C260" s="46">
        <f>IF(_calc!$E$262="","",IF(_calc!$E$262&lt;=500,"Insurance","Certificate of insurance"))</f>
        <v/>
      </c>
      <c r="D260" s="46">
        <f>IF(_calc!$E$262="","",IF(_calc!$E$262&lt;=500,IF(ISNUMBER(INDEX('Our policies'!$I$4:$I$503,_calc!$E$262)),TEXT(INDEX('Our policies'!$I$4:$I$503,_calc!$E$262),"yyyy-mm-dd"),""),""))</f>
        <v/>
      </c>
      <c r="E260" s="46">
        <f>IF(_calc!$E$262="","",IF(_calc!$E$262&lt;=500,IF(LEN(INDEX('Our policies'!$Q$4:$Q$503,_calc!$E$262))=0,"",INDEX('Our policies'!$Q$4:$Q$503,_calc!$E$262)),"Medium"))</f>
        <v/>
      </c>
      <c r="F260" s="46">
        <f>IF(_calc!$E$262="","",IF(_calc!$E$262&lt;=500,TRIM(IF(LEN(IF(LEN(INDEX('Our policies'!$B$4:$B$503,_calc!$E$262))=0,"",INDEX('Our policies'!$B$4:$B$503,_calc!$E$262)))=0,"","Cover: "&amp;IF(LEN(INDEX('Our policies'!$B$4:$B$503,_calc!$E$262))=0,"",INDEX('Our policies'!$B$4:$B$503,_calc!$E$262))&amp;". ")&amp;IF(LEN(IF(LEN(INDEX('Our policies'!$C$4:$C$503,_calc!$E$262))=0,"",INDEX('Our policies'!$C$4:$C$503,_calc!$E$262)))=0,"","Insurer: "&amp;IF(LEN(INDEX('Our policies'!$C$4:$C$503,_calc!$E$262))=0,"",INDEX('Our policies'!$C$4:$C$503,_calc!$E$262))&amp;". ")&amp;IF(LEN(IF(LEN(INDEX('Our policies'!$D$4:$D$503,_calc!$E$262))=0,"",INDEX('Our policies'!$D$4:$D$503,_calc!$E$262)))=0,"","Broker: "&amp;IF(LEN(INDEX('Our policies'!$D$4:$D$503,_calc!$E$262))=0,"",INDEX('Our policies'!$D$4:$D$503,_calc!$E$262))&amp;". ")&amp;IF(LEN(IF(LEN(INDEX('Our policies'!$E$4:$E$503,_calc!$E$262))=0,"",INDEX('Our policies'!$E$4:$E$503,_calc!$E$262)))=0,"","Policy no.: "&amp;IF(LEN(INDEX('Our policies'!$E$4:$E$503,_calc!$E$262))=0,"",INDEX('Our policies'!$E$4:$E$503,_calc!$E$262))&amp;". ")&amp;IF(LEN(IF(LEN(INDEX('Our policies'!$S$4:$S$503,_calc!$E$262))=0,"",INDEX('Our policies'!$S$4:$S$503,_calc!$E$262)))=0,"",IF(LEN(INDEX('Our policies'!$S$4:$S$503,_calc!$E$262))=0,"",INDEX('Our policies'!$S$4:$S$503,_calc!$E$262)))),TRIM(IF(LEN(IF(LEN(INDEX('Vendor COIs'!$C$4:$C$503,(_calc!$E$262-500)))=0,"",INDEX('Vendor COIs'!$C$4:$C$503,(_calc!$E$262-500))))=0,"","Insurer: "&amp;IF(LEN(INDEX('Vendor COIs'!$C$4:$C$503,(_calc!$E$262-500)))=0,"",INDEX('Vendor COIs'!$C$4:$C$503,(_calc!$E$262-500)))&amp;". ")&amp;IF(LEN(IF(LEN(INDEX('Vendor COIs'!$D$4:$D$503,(_calc!$E$262-500)))=0,"",INDEX('Vendor COIs'!$D$4:$D$503,(_calc!$E$262-500))))=0,"","Policy no.: "&amp;IF(LEN(INDEX('Vendor COIs'!$D$4:$D$503,(_calc!$E$262-500)))=0,"",INDEX('Vendor COIs'!$D$4:$D$503,(_calc!$E$262-500)))&amp;". ")&amp;IF(LEN(IF(LEN(INDEX('Vendor COIs'!$F$4:$F$503,(_calc!$E$262-500)))=0,"",INDEX('Vendor COIs'!$F$4:$F$503,(_calc!$E$262-500))))=0,"","Meets minimum: "&amp;IF(LEN(INDEX('Vendor COIs'!$F$4:$F$503,(_calc!$E$262-500)))=0,"",INDEX('Vendor COIs'!$F$4:$F$503,(_calc!$E$262-500)))&amp;". ")&amp;IF(LEN(IF(LEN(INDEX('Vendor COIs'!$G$4:$G$503,(_calc!$E$262-500)))=0,"",INDEX('Vendor COIs'!$G$4:$G$503,(_calc!$E$262-500))))=0,"","Additional insured: "&amp;IF(LEN(INDEX('Vendor COIs'!$G$4:$G$503,(_calc!$E$262-500)))=0,"",INDEX('Vendor COIs'!$G$4:$G$503,(_calc!$E$262-500)))&amp;". ")&amp;IF(LEN(IF(LEN(INDEX('Vendor COIs'!$M$4:$M$503,(_calc!$E$262-500)))=0,"",INDEX('Vendor COIs'!$M$4:$M$503,(_calc!$E$262-500))))=0,"","Vendor contact: "&amp;IF(LEN(INDEX('Vendor COIs'!$M$4:$M$503,(_calc!$E$262-500)))=0,"",INDEX('Vendor COIs'!$M$4:$M$503,(_calc!$E$262-500)))&amp;". ")&amp;IF(LEN(IF(LEN(INDEX('Vendor COIs'!$P$4:$P$503,(_calc!$E$262-500)))=0,"",INDEX('Vendor COIs'!$P$4:$P$503,(_calc!$E$262-500))))=0,"",IF(LEN(INDEX('Vendor COIs'!$P$4:$P$503,(_calc!$E$262-500)))=0,"",INDEX('Vendor COIs'!$P$4:$P$503,(_calc!$E$262-500)))))))</f>
        <v/>
      </c>
      <c r="G260" s="46">
        <f>IF(_calc!$E$262="","",IF(_calc!$E$262&lt;=500,IF(LEN(INDEX('Our policies'!$R$4:$R$503,_calc!$E$262))=0,"",INDEX('Our policies'!$R$4:$R$503,_calc!$E$262)),IF(LEN(INDEX('Vendor COIs'!$O$4:$O$503,(_calc!$E$262-500)))=0,"",INDEX('Vendor COIs'!$O$4:$O$503,(_calc!$E$262-500)))))</f>
        <v/>
      </c>
      <c r="H260" s="46">
        <f>IF(_calc!$E$262="","",IF(_calc!$E$262&lt;=500,IF(LEN(INDEX('Our policies'!$G$4:$G$503,_calc!$E$262))=0,"",INDEX('Our policies'!$G$4:$G$503,_calc!$E$262)),""))</f>
        <v/>
      </c>
      <c r="I260" s="46">
        <f>IF(_calc!$E$262="","",IF(_calc!$E$262&lt;=500,IF(LEN(INDEX('Our policies'!$H$4:$H$503,_calc!$E$262))=0,"",INDEX('Our policies'!$H$4:$H$503,_calc!$E$262)),""))</f>
        <v/>
      </c>
      <c r="K260" s="46">
        <f>IF(_calc!$E$262="","",IF(_calc!$E$262&lt;=500,IF(LEN(INDEX('Our policies'!$P$4:$P$503,_calc!$E$262))=0,"",INDEX('Our policies'!$P$4:$P$503,_calc!$E$262)),IF(LEN(INDEX('Vendor COIs'!$N$4:$N$503,(_calc!$E$262-500)))=0,"",INDEX('Vendor COIs'!$N$4:$N$503,(_calc!$E$262-500)))))</f>
        <v/>
      </c>
    </row>
    <row r="261">
      <c r="A261" s="46">
        <f>IF(_calc!$E$263="","",IF(_calc!$E$263&lt;=500,IF(LEN(INDEX('Our policies'!$A$4:$A$503,_calc!$E$263))=0,"",INDEX('Our policies'!$A$4:$A$503,_calc!$E$263)),"COI – "&amp;IF(LEN(INDEX('Vendor COIs'!$A$4:$A$503,(_calc!$E$263-500)))=0,"",INDEX('Vendor COIs'!$A$4:$A$503,(_calc!$E$263-500)))&amp;" – "&amp;IF(LEN(INDEX('Vendor COIs'!$B$4:$B$503,(_calc!$E$263-500)))=0,"",INDEX('Vendor COIs'!$B$4:$B$503,(_calc!$E$263-500)))))</f>
        <v/>
      </c>
      <c r="B261" s="46">
        <f>IF(_calc!$E$263="","",IF(_calc!$E$263&lt;=500,IF(ISNUMBER(INDEX('Our policies'!$J$4:$J$503,_calc!$E$263)),TEXT(INDEX('Our policies'!$J$4:$J$503,_calc!$E$263),"yyyy-mm-dd"),""),IF(ISNUMBER(INDEX('Vendor COIs'!$H$4:$H$503,(_calc!$E$263-500))),TEXT(INDEX('Vendor COIs'!$H$4:$H$503,(_calc!$E$263-500)),"yyyy-mm-dd"),"")))</f>
        <v/>
      </c>
      <c r="C261" s="46">
        <f>IF(_calc!$E$263="","",IF(_calc!$E$263&lt;=500,"Insurance","Certificate of insurance"))</f>
        <v/>
      </c>
      <c r="D261" s="46">
        <f>IF(_calc!$E$263="","",IF(_calc!$E$263&lt;=500,IF(ISNUMBER(INDEX('Our policies'!$I$4:$I$503,_calc!$E$263)),TEXT(INDEX('Our policies'!$I$4:$I$503,_calc!$E$263),"yyyy-mm-dd"),""),""))</f>
        <v/>
      </c>
      <c r="E261" s="46">
        <f>IF(_calc!$E$263="","",IF(_calc!$E$263&lt;=500,IF(LEN(INDEX('Our policies'!$Q$4:$Q$503,_calc!$E$263))=0,"",INDEX('Our policies'!$Q$4:$Q$503,_calc!$E$263)),"Medium"))</f>
        <v/>
      </c>
      <c r="F261" s="46">
        <f>IF(_calc!$E$263="","",IF(_calc!$E$263&lt;=500,TRIM(IF(LEN(IF(LEN(INDEX('Our policies'!$B$4:$B$503,_calc!$E$263))=0,"",INDEX('Our policies'!$B$4:$B$503,_calc!$E$263)))=0,"","Cover: "&amp;IF(LEN(INDEX('Our policies'!$B$4:$B$503,_calc!$E$263))=0,"",INDEX('Our policies'!$B$4:$B$503,_calc!$E$263))&amp;". ")&amp;IF(LEN(IF(LEN(INDEX('Our policies'!$C$4:$C$503,_calc!$E$263))=0,"",INDEX('Our policies'!$C$4:$C$503,_calc!$E$263)))=0,"","Insurer: "&amp;IF(LEN(INDEX('Our policies'!$C$4:$C$503,_calc!$E$263))=0,"",INDEX('Our policies'!$C$4:$C$503,_calc!$E$263))&amp;". ")&amp;IF(LEN(IF(LEN(INDEX('Our policies'!$D$4:$D$503,_calc!$E$263))=0,"",INDEX('Our policies'!$D$4:$D$503,_calc!$E$263)))=0,"","Broker: "&amp;IF(LEN(INDEX('Our policies'!$D$4:$D$503,_calc!$E$263))=0,"",INDEX('Our policies'!$D$4:$D$503,_calc!$E$263))&amp;". ")&amp;IF(LEN(IF(LEN(INDEX('Our policies'!$E$4:$E$503,_calc!$E$263))=0,"",INDEX('Our policies'!$E$4:$E$503,_calc!$E$263)))=0,"","Policy no.: "&amp;IF(LEN(INDEX('Our policies'!$E$4:$E$503,_calc!$E$263))=0,"",INDEX('Our policies'!$E$4:$E$503,_calc!$E$263))&amp;". ")&amp;IF(LEN(IF(LEN(INDEX('Our policies'!$S$4:$S$503,_calc!$E$263))=0,"",INDEX('Our policies'!$S$4:$S$503,_calc!$E$263)))=0,"",IF(LEN(INDEX('Our policies'!$S$4:$S$503,_calc!$E$263))=0,"",INDEX('Our policies'!$S$4:$S$503,_calc!$E$263)))),TRIM(IF(LEN(IF(LEN(INDEX('Vendor COIs'!$C$4:$C$503,(_calc!$E$263-500)))=0,"",INDEX('Vendor COIs'!$C$4:$C$503,(_calc!$E$263-500))))=0,"","Insurer: "&amp;IF(LEN(INDEX('Vendor COIs'!$C$4:$C$503,(_calc!$E$263-500)))=0,"",INDEX('Vendor COIs'!$C$4:$C$503,(_calc!$E$263-500)))&amp;". ")&amp;IF(LEN(IF(LEN(INDEX('Vendor COIs'!$D$4:$D$503,(_calc!$E$263-500)))=0,"",INDEX('Vendor COIs'!$D$4:$D$503,(_calc!$E$263-500))))=0,"","Policy no.: "&amp;IF(LEN(INDEX('Vendor COIs'!$D$4:$D$503,(_calc!$E$263-500)))=0,"",INDEX('Vendor COIs'!$D$4:$D$503,(_calc!$E$263-500)))&amp;". ")&amp;IF(LEN(IF(LEN(INDEX('Vendor COIs'!$F$4:$F$503,(_calc!$E$263-500)))=0,"",INDEX('Vendor COIs'!$F$4:$F$503,(_calc!$E$263-500))))=0,"","Meets minimum: "&amp;IF(LEN(INDEX('Vendor COIs'!$F$4:$F$503,(_calc!$E$263-500)))=0,"",INDEX('Vendor COIs'!$F$4:$F$503,(_calc!$E$263-500)))&amp;". ")&amp;IF(LEN(IF(LEN(INDEX('Vendor COIs'!$G$4:$G$503,(_calc!$E$263-500)))=0,"",INDEX('Vendor COIs'!$G$4:$G$503,(_calc!$E$263-500))))=0,"","Additional insured: "&amp;IF(LEN(INDEX('Vendor COIs'!$G$4:$G$503,(_calc!$E$263-500)))=0,"",INDEX('Vendor COIs'!$G$4:$G$503,(_calc!$E$263-500)))&amp;". ")&amp;IF(LEN(IF(LEN(INDEX('Vendor COIs'!$M$4:$M$503,(_calc!$E$263-500)))=0,"",INDEX('Vendor COIs'!$M$4:$M$503,(_calc!$E$263-500))))=0,"","Vendor contact: "&amp;IF(LEN(INDEX('Vendor COIs'!$M$4:$M$503,(_calc!$E$263-500)))=0,"",INDEX('Vendor COIs'!$M$4:$M$503,(_calc!$E$263-500)))&amp;". ")&amp;IF(LEN(IF(LEN(INDEX('Vendor COIs'!$P$4:$P$503,(_calc!$E$263-500)))=0,"",INDEX('Vendor COIs'!$P$4:$P$503,(_calc!$E$263-500))))=0,"",IF(LEN(INDEX('Vendor COIs'!$P$4:$P$503,(_calc!$E$263-500)))=0,"",INDEX('Vendor COIs'!$P$4:$P$503,(_calc!$E$263-500)))))))</f>
        <v/>
      </c>
      <c r="G261" s="46">
        <f>IF(_calc!$E$263="","",IF(_calc!$E$263&lt;=500,IF(LEN(INDEX('Our policies'!$R$4:$R$503,_calc!$E$263))=0,"",INDEX('Our policies'!$R$4:$R$503,_calc!$E$263)),IF(LEN(INDEX('Vendor COIs'!$O$4:$O$503,(_calc!$E$263-500)))=0,"",INDEX('Vendor COIs'!$O$4:$O$503,(_calc!$E$263-500)))))</f>
        <v/>
      </c>
      <c r="H261" s="46">
        <f>IF(_calc!$E$263="","",IF(_calc!$E$263&lt;=500,IF(LEN(INDEX('Our policies'!$G$4:$G$503,_calc!$E$263))=0,"",INDEX('Our policies'!$G$4:$G$503,_calc!$E$263)),""))</f>
        <v/>
      </c>
      <c r="I261" s="46">
        <f>IF(_calc!$E$263="","",IF(_calc!$E$263&lt;=500,IF(LEN(INDEX('Our policies'!$H$4:$H$503,_calc!$E$263))=0,"",INDEX('Our policies'!$H$4:$H$503,_calc!$E$263)),""))</f>
        <v/>
      </c>
      <c r="K261" s="46">
        <f>IF(_calc!$E$263="","",IF(_calc!$E$263&lt;=500,IF(LEN(INDEX('Our policies'!$P$4:$P$503,_calc!$E$263))=0,"",INDEX('Our policies'!$P$4:$P$503,_calc!$E$263)),IF(LEN(INDEX('Vendor COIs'!$N$4:$N$503,(_calc!$E$263-500)))=0,"",INDEX('Vendor COIs'!$N$4:$N$503,(_calc!$E$263-500)))))</f>
        <v/>
      </c>
    </row>
    <row r="262">
      <c r="A262" s="46">
        <f>IF(_calc!$E$264="","",IF(_calc!$E$264&lt;=500,IF(LEN(INDEX('Our policies'!$A$4:$A$503,_calc!$E$264))=0,"",INDEX('Our policies'!$A$4:$A$503,_calc!$E$264)),"COI – "&amp;IF(LEN(INDEX('Vendor COIs'!$A$4:$A$503,(_calc!$E$264-500)))=0,"",INDEX('Vendor COIs'!$A$4:$A$503,(_calc!$E$264-500)))&amp;" – "&amp;IF(LEN(INDEX('Vendor COIs'!$B$4:$B$503,(_calc!$E$264-500)))=0,"",INDEX('Vendor COIs'!$B$4:$B$503,(_calc!$E$264-500)))))</f>
        <v/>
      </c>
      <c r="B262" s="46">
        <f>IF(_calc!$E$264="","",IF(_calc!$E$264&lt;=500,IF(ISNUMBER(INDEX('Our policies'!$J$4:$J$503,_calc!$E$264)),TEXT(INDEX('Our policies'!$J$4:$J$503,_calc!$E$264),"yyyy-mm-dd"),""),IF(ISNUMBER(INDEX('Vendor COIs'!$H$4:$H$503,(_calc!$E$264-500))),TEXT(INDEX('Vendor COIs'!$H$4:$H$503,(_calc!$E$264-500)),"yyyy-mm-dd"),"")))</f>
        <v/>
      </c>
      <c r="C262" s="46">
        <f>IF(_calc!$E$264="","",IF(_calc!$E$264&lt;=500,"Insurance","Certificate of insurance"))</f>
        <v/>
      </c>
      <c r="D262" s="46">
        <f>IF(_calc!$E$264="","",IF(_calc!$E$264&lt;=500,IF(ISNUMBER(INDEX('Our policies'!$I$4:$I$503,_calc!$E$264)),TEXT(INDEX('Our policies'!$I$4:$I$503,_calc!$E$264),"yyyy-mm-dd"),""),""))</f>
        <v/>
      </c>
      <c r="E262" s="46">
        <f>IF(_calc!$E$264="","",IF(_calc!$E$264&lt;=500,IF(LEN(INDEX('Our policies'!$Q$4:$Q$503,_calc!$E$264))=0,"",INDEX('Our policies'!$Q$4:$Q$503,_calc!$E$264)),"Medium"))</f>
        <v/>
      </c>
      <c r="F262" s="46">
        <f>IF(_calc!$E$264="","",IF(_calc!$E$264&lt;=500,TRIM(IF(LEN(IF(LEN(INDEX('Our policies'!$B$4:$B$503,_calc!$E$264))=0,"",INDEX('Our policies'!$B$4:$B$503,_calc!$E$264)))=0,"","Cover: "&amp;IF(LEN(INDEX('Our policies'!$B$4:$B$503,_calc!$E$264))=0,"",INDEX('Our policies'!$B$4:$B$503,_calc!$E$264))&amp;". ")&amp;IF(LEN(IF(LEN(INDEX('Our policies'!$C$4:$C$503,_calc!$E$264))=0,"",INDEX('Our policies'!$C$4:$C$503,_calc!$E$264)))=0,"","Insurer: "&amp;IF(LEN(INDEX('Our policies'!$C$4:$C$503,_calc!$E$264))=0,"",INDEX('Our policies'!$C$4:$C$503,_calc!$E$264))&amp;". ")&amp;IF(LEN(IF(LEN(INDEX('Our policies'!$D$4:$D$503,_calc!$E$264))=0,"",INDEX('Our policies'!$D$4:$D$503,_calc!$E$264)))=0,"","Broker: "&amp;IF(LEN(INDEX('Our policies'!$D$4:$D$503,_calc!$E$264))=0,"",INDEX('Our policies'!$D$4:$D$503,_calc!$E$264))&amp;". ")&amp;IF(LEN(IF(LEN(INDEX('Our policies'!$E$4:$E$503,_calc!$E$264))=0,"",INDEX('Our policies'!$E$4:$E$503,_calc!$E$264)))=0,"","Policy no.: "&amp;IF(LEN(INDEX('Our policies'!$E$4:$E$503,_calc!$E$264))=0,"",INDEX('Our policies'!$E$4:$E$503,_calc!$E$264))&amp;". ")&amp;IF(LEN(IF(LEN(INDEX('Our policies'!$S$4:$S$503,_calc!$E$264))=0,"",INDEX('Our policies'!$S$4:$S$503,_calc!$E$264)))=0,"",IF(LEN(INDEX('Our policies'!$S$4:$S$503,_calc!$E$264))=0,"",INDEX('Our policies'!$S$4:$S$503,_calc!$E$264)))),TRIM(IF(LEN(IF(LEN(INDEX('Vendor COIs'!$C$4:$C$503,(_calc!$E$264-500)))=0,"",INDEX('Vendor COIs'!$C$4:$C$503,(_calc!$E$264-500))))=0,"","Insurer: "&amp;IF(LEN(INDEX('Vendor COIs'!$C$4:$C$503,(_calc!$E$264-500)))=0,"",INDEX('Vendor COIs'!$C$4:$C$503,(_calc!$E$264-500)))&amp;". ")&amp;IF(LEN(IF(LEN(INDEX('Vendor COIs'!$D$4:$D$503,(_calc!$E$264-500)))=0,"",INDEX('Vendor COIs'!$D$4:$D$503,(_calc!$E$264-500))))=0,"","Policy no.: "&amp;IF(LEN(INDEX('Vendor COIs'!$D$4:$D$503,(_calc!$E$264-500)))=0,"",INDEX('Vendor COIs'!$D$4:$D$503,(_calc!$E$264-500)))&amp;". ")&amp;IF(LEN(IF(LEN(INDEX('Vendor COIs'!$F$4:$F$503,(_calc!$E$264-500)))=0,"",INDEX('Vendor COIs'!$F$4:$F$503,(_calc!$E$264-500))))=0,"","Meets minimum: "&amp;IF(LEN(INDEX('Vendor COIs'!$F$4:$F$503,(_calc!$E$264-500)))=0,"",INDEX('Vendor COIs'!$F$4:$F$503,(_calc!$E$264-500)))&amp;". ")&amp;IF(LEN(IF(LEN(INDEX('Vendor COIs'!$G$4:$G$503,(_calc!$E$264-500)))=0,"",INDEX('Vendor COIs'!$G$4:$G$503,(_calc!$E$264-500))))=0,"","Additional insured: "&amp;IF(LEN(INDEX('Vendor COIs'!$G$4:$G$503,(_calc!$E$264-500)))=0,"",INDEX('Vendor COIs'!$G$4:$G$503,(_calc!$E$264-500)))&amp;". ")&amp;IF(LEN(IF(LEN(INDEX('Vendor COIs'!$M$4:$M$503,(_calc!$E$264-500)))=0,"",INDEX('Vendor COIs'!$M$4:$M$503,(_calc!$E$264-500))))=0,"","Vendor contact: "&amp;IF(LEN(INDEX('Vendor COIs'!$M$4:$M$503,(_calc!$E$264-500)))=0,"",INDEX('Vendor COIs'!$M$4:$M$503,(_calc!$E$264-500)))&amp;". ")&amp;IF(LEN(IF(LEN(INDEX('Vendor COIs'!$P$4:$P$503,(_calc!$E$264-500)))=0,"",INDEX('Vendor COIs'!$P$4:$P$503,(_calc!$E$264-500))))=0,"",IF(LEN(INDEX('Vendor COIs'!$P$4:$P$503,(_calc!$E$264-500)))=0,"",INDEX('Vendor COIs'!$P$4:$P$503,(_calc!$E$264-500)))))))</f>
        <v/>
      </c>
      <c r="G262" s="46">
        <f>IF(_calc!$E$264="","",IF(_calc!$E$264&lt;=500,IF(LEN(INDEX('Our policies'!$R$4:$R$503,_calc!$E$264))=0,"",INDEX('Our policies'!$R$4:$R$503,_calc!$E$264)),IF(LEN(INDEX('Vendor COIs'!$O$4:$O$503,(_calc!$E$264-500)))=0,"",INDEX('Vendor COIs'!$O$4:$O$503,(_calc!$E$264-500)))))</f>
        <v/>
      </c>
      <c r="H262" s="46">
        <f>IF(_calc!$E$264="","",IF(_calc!$E$264&lt;=500,IF(LEN(INDEX('Our policies'!$G$4:$G$503,_calc!$E$264))=0,"",INDEX('Our policies'!$G$4:$G$503,_calc!$E$264)),""))</f>
        <v/>
      </c>
      <c r="I262" s="46">
        <f>IF(_calc!$E$264="","",IF(_calc!$E$264&lt;=500,IF(LEN(INDEX('Our policies'!$H$4:$H$503,_calc!$E$264))=0,"",INDEX('Our policies'!$H$4:$H$503,_calc!$E$264)),""))</f>
        <v/>
      </c>
      <c r="K262" s="46">
        <f>IF(_calc!$E$264="","",IF(_calc!$E$264&lt;=500,IF(LEN(INDEX('Our policies'!$P$4:$P$503,_calc!$E$264))=0,"",INDEX('Our policies'!$P$4:$P$503,_calc!$E$264)),IF(LEN(INDEX('Vendor COIs'!$N$4:$N$503,(_calc!$E$264-500)))=0,"",INDEX('Vendor COIs'!$N$4:$N$503,(_calc!$E$264-500)))))</f>
        <v/>
      </c>
    </row>
    <row r="263">
      <c r="A263" s="46">
        <f>IF(_calc!$E$265="","",IF(_calc!$E$265&lt;=500,IF(LEN(INDEX('Our policies'!$A$4:$A$503,_calc!$E$265))=0,"",INDEX('Our policies'!$A$4:$A$503,_calc!$E$265)),"COI – "&amp;IF(LEN(INDEX('Vendor COIs'!$A$4:$A$503,(_calc!$E$265-500)))=0,"",INDEX('Vendor COIs'!$A$4:$A$503,(_calc!$E$265-500)))&amp;" – "&amp;IF(LEN(INDEX('Vendor COIs'!$B$4:$B$503,(_calc!$E$265-500)))=0,"",INDEX('Vendor COIs'!$B$4:$B$503,(_calc!$E$265-500)))))</f>
        <v/>
      </c>
      <c r="B263" s="46">
        <f>IF(_calc!$E$265="","",IF(_calc!$E$265&lt;=500,IF(ISNUMBER(INDEX('Our policies'!$J$4:$J$503,_calc!$E$265)),TEXT(INDEX('Our policies'!$J$4:$J$503,_calc!$E$265),"yyyy-mm-dd"),""),IF(ISNUMBER(INDEX('Vendor COIs'!$H$4:$H$503,(_calc!$E$265-500))),TEXT(INDEX('Vendor COIs'!$H$4:$H$503,(_calc!$E$265-500)),"yyyy-mm-dd"),"")))</f>
        <v/>
      </c>
      <c r="C263" s="46">
        <f>IF(_calc!$E$265="","",IF(_calc!$E$265&lt;=500,"Insurance","Certificate of insurance"))</f>
        <v/>
      </c>
      <c r="D263" s="46">
        <f>IF(_calc!$E$265="","",IF(_calc!$E$265&lt;=500,IF(ISNUMBER(INDEX('Our policies'!$I$4:$I$503,_calc!$E$265)),TEXT(INDEX('Our policies'!$I$4:$I$503,_calc!$E$265),"yyyy-mm-dd"),""),""))</f>
        <v/>
      </c>
      <c r="E263" s="46">
        <f>IF(_calc!$E$265="","",IF(_calc!$E$265&lt;=500,IF(LEN(INDEX('Our policies'!$Q$4:$Q$503,_calc!$E$265))=0,"",INDEX('Our policies'!$Q$4:$Q$503,_calc!$E$265)),"Medium"))</f>
        <v/>
      </c>
      <c r="F263" s="46">
        <f>IF(_calc!$E$265="","",IF(_calc!$E$265&lt;=500,TRIM(IF(LEN(IF(LEN(INDEX('Our policies'!$B$4:$B$503,_calc!$E$265))=0,"",INDEX('Our policies'!$B$4:$B$503,_calc!$E$265)))=0,"","Cover: "&amp;IF(LEN(INDEX('Our policies'!$B$4:$B$503,_calc!$E$265))=0,"",INDEX('Our policies'!$B$4:$B$503,_calc!$E$265))&amp;". ")&amp;IF(LEN(IF(LEN(INDEX('Our policies'!$C$4:$C$503,_calc!$E$265))=0,"",INDEX('Our policies'!$C$4:$C$503,_calc!$E$265)))=0,"","Insurer: "&amp;IF(LEN(INDEX('Our policies'!$C$4:$C$503,_calc!$E$265))=0,"",INDEX('Our policies'!$C$4:$C$503,_calc!$E$265))&amp;". ")&amp;IF(LEN(IF(LEN(INDEX('Our policies'!$D$4:$D$503,_calc!$E$265))=0,"",INDEX('Our policies'!$D$4:$D$503,_calc!$E$265)))=0,"","Broker: "&amp;IF(LEN(INDEX('Our policies'!$D$4:$D$503,_calc!$E$265))=0,"",INDEX('Our policies'!$D$4:$D$503,_calc!$E$265))&amp;". ")&amp;IF(LEN(IF(LEN(INDEX('Our policies'!$E$4:$E$503,_calc!$E$265))=0,"",INDEX('Our policies'!$E$4:$E$503,_calc!$E$265)))=0,"","Policy no.: "&amp;IF(LEN(INDEX('Our policies'!$E$4:$E$503,_calc!$E$265))=0,"",INDEX('Our policies'!$E$4:$E$503,_calc!$E$265))&amp;". ")&amp;IF(LEN(IF(LEN(INDEX('Our policies'!$S$4:$S$503,_calc!$E$265))=0,"",INDEX('Our policies'!$S$4:$S$503,_calc!$E$265)))=0,"",IF(LEN(INDEX('Our policies'!$S$4:$S$503,_calc!$E$265))=0,"",INDEX('Our policies'!$S$4:$S$503,_calc!$E$265)))),TRIM(IF(LEN(IF(LEN(INDEX('Vendor COIs'!$C$4:$C$503,(_calc!$E$265-500)))=0,"",INDEX('Vendor COIs'!$C$4:$C$503,(_calc!$E$265-500))))=0,"","Insurer: "&amp;IF(LEN(INDEX('Vendor COIs'!$C$4:$C$503,(_calc!$E$265-500)))=0,"",INDEX('Vendor COIs'!$C$4:$C$503,(_calc!$E$265-500)))&amp;". ")&amp;IF(LEN(IF(LEN(INDEX('Vendor COIs'!$D$4:$D$503,(_calc!$E$265-500)))=0,"",INDEX('Vendor COIs'!$D$4:$D$503,(_calc!$E$265-500))))=0,"","Policy no.: "&amp;IF(LEN(INDEX('Vendor COIs'!$D$4:$D$503,(_calc!$E$265-500)))=0,"",INDEX('Vendor COIs'!$D$4:$D$503,(_calc!$E$265-500)))&amp;". ")&amp;IF(LEN(IF(LEN(INDEX('Vendor COIs'!$F$4:$F$503,(_calc!$E$265-500)))=0,"",INDEX('Vendor COIs'!$F$4:$F$503,(_calc!$E$265-500))))=0,"","Meets minimum: "&amp;IF(LEN(INDEX('Vendor COIs'!$F$4:$F$503,(_calc!$E$265-500)))=0,"",INDEX('Vendor COIs'!$F$4:$F$503,(_calc!$E$265-500)))&amp;". ")&amp;IF(LEN(IF(LEN(INDEX('Vendor COIs'!$G$4:$G$503,(_calc!$E$265-500)))=0,"",INDEX('Vendor COIs'!$G$4:$G$503,(_calc!$E$265-500))))=0,"","Additional insured: "&amp;IF(LEN(INDEX('Vendor COIs'!$G$4:$G$503,(_calc!$E$265-500)))=0,"",INDEX('Vendor COIs'!$G$4:$G$503,(_calc!$E$265-500)))&amp;". ")&amp;IF(LEN(IF(LEN(INDEX('Vendor COIs'!$M$4:$M$503,(_calc!$E$265-500)))=0,"",INDEX('Vendor COIs'!$M$4:$M$503,(_calc!$E$265-500))))=0,"","Vendor contact: "&amp;IF(LEN(INDEX('Vendor COIs'!$M$4:$M$503,(_calc!$E$265-500)))=0,"",INDEX('Vendor COIs'!$M$4:$M$503,(_calc!$E$265-500)))&amp;". ")&amp;IF(LEN(IF(LEN(INDEX('Vendor COIs'!$P$4:$P$503,(_calc!$E$265-500)))=0,"",INDEX('Vendor COIs'!$P$4:$P$503,(_calc!$E$265-500))))=0,"",IF(LEN(INDEX('Vendor COIs'!$P$4:$P$503,(_calc!$E$265-500)))=0,"",INDEX('Vendor COIs'!$P$4:$P$503,(_calc!$E$265-500)))))))</f>
        <v/>
      </c>
      <c r="G263" s="46">
        <f>IF(_calc!$E$265="","",IF(_calc!$E$265&lt;=500,IF(LEN(INDEX('Our policies'!$R$4:$R$503,_calc!$E$265))=0,"",INDEX('Our policies'!$R$4:$R$503,_calc!$E$265)),IF(LEN(INDEX('Vendor COIs'!$O$4:$O$503,(_calc!$E$265-500)))=0,"",INDEX('Vendor COIs'!$O$4:$O$503,(_calc!$E$265-500)))))</f>
        <v/>
      </c>
      <c r="H263" s="46">
        <f>IF(_calc!$E$265="","",IF(_calc!$E$265&lt;=500,IF(LEN(INDEX('Our policies'!$G$4:$G$503,_calc!$E$265))=0,"",INDEX('Our policies'!$G$4:$G$503,_calc!$E$265)),""))</f>
        <v/>
      </c>
      <c r="I263" s="46">
        <f>IF(_calc!$E$265="","",IF(_calc!$E$265&lt;=500,IF(LEN(INDEX('Our policies'!$H$4:$H$503,_calc!$E$265))=0,"",INDEX('Our policies'!$H$4:$H$503,_calc!$E$265)),""))</f>
        <v/>
      </c>
      <c r="K263" s="46">
        <f>IF(_calc!$E$265="","",IF(_calc!$E$265&lt;=500,IF(LEN(INDEX('Our policies'!$P$4:$P$503,_calc!$E$265))=0,"",INDEX('Our policies'!$P$4:$P$503,_calc!$E$265)),IF(LEN(INDEX('Vendor COIs'!$N$4:$N$503,(_calc!$E$265-500)))=0,"",INDEX('Vendor COIs'!$N$4:$N$503,(_calc!$E$265-500)))))</f>
        <v/>
      </c>
    </row>
    <row r="264">
      <c r="A264" s="46">
        <f>IF(_calc!$E$266="","",IF(_calc!$E$266&lt;=500,IF(LEN(INDEX('Our policies'!$A$4:$A$503,_calc!$E$266))=0,"",INDEX('Our policies'!$A$4:$A$503,_calc!$E$266)),"COI – "&amp;IF(LEN(INDEX('Vendor COIs'!$A$4:$A$503,(_calc!$E$266-500)))=0,"",INDEX('Vendor COIs'!$A$4:$A$503,(_calc!$E$266-500)))&amp;" – "&amp;IF(LEN(INDEX('Vendor COIs'!$B$4:$B$503,(_calc!$E$266-500)))=0,"",INDEX('Vendor COIs'!$B$4:$B$503,(_calc!$E$266-500)))))</f>
        <v/>
      </c>
      <c r="B264" s="46">
        <f>IF(_calc!$E$266="","",IF(_calc!$E$266&lt;=500,IF(ISNUMBER(INDEX('Our policies'!$J$4:$J$503,_calc!$E$266)),TEXT(INDEX('Our policies'!$J$4:$J$503,_calc!$E$266),"yyyy-mm-dd"),""),IF(ISNUMBER(INDEX('Vendor COIs'!$H$4:$H$503,(_calc!$E$266-500))),TEXT(INDEX('Vendor COIs'!$H$4:$H$503,(_calc!$E$266-500)),"yyyy-mm-dd"),"")))</f>
        <v/>
      </c>
      <c r="C264" s="46">
        <f>IF(_calc!$E$266="","",IF(_calc!$E$266&lt;=500,"Insurance","Certificate of insurance"))</f>
        <v/>
      </c>
      <c r="D264" s="46">
        <f>IF(_calc!$E$266="","",IF(_calc!$E$266&lt;=500,IF(ISNUMBER(INDEX('Our policies'!$I$4:$I$503,_calc!$E$266)),TEXT(INDEX('Our policies'!$I$4:$I$503,_calc!$E$266),"yyyy-mm-dd"),""),""))</f>
        <v/>
      </c>
      <c r="E264" s="46">
        <f>IF(_calc!$E$266="","",IF(_calc!$E$266&lt;=500,IF(LEN(INDEX('Our policies'!$Q$4:$Q$503,_calc!$E$266))=0,"",INDEX('Our policies'!$Q$4:$Q$503,_calc!$E$266)),"Medium"))</f>
        <v/>
      </c>
      <c r="F264" s="46">
        <f>IF(_calc!$E$266="","",IF(_calc!$E$266&lt;=500,TRIM(IF(LEN(IF(LEN(INDEX('Our policies'!$B$4:$B$503,_calc!$E$266))=0,"",INDEX('Our policies'!$B$4:$B$503,_calc!$E$266)))=0,"","Cover: "&amp;IF(LEN(INDEX('Our policies'!$B$4:$B$503,_calc!$E$266))=0,"",INDEX('Our policies'!$B$4:$B$503,_calc!$E$266))&amp;". ")&amp;IF(LEN(IF(LEN(INDEX('Our policies'!$C$4:$C$503,_calc!$E$266))=0,"",INDEX('Our policies'!$C$4:$C$503,_calc!$E$266)))=0,"","Insurer: "&amp;IF(LEN(INDEX('Our policies'!$C$4:$C$503,_calc!$E$266))=0,"",INDEX('Our policies'!$C$4:$C$503,_calc!$E$266))&amp;". ")&amp;IF(LEN(IF(LEN(INDEX('Our policies'!$D$4:$D$503,_calc!$E$266))=0,"",INDEX('Our policies'!$D$4:$D$503,_calc!$E$266)))=0,"","Broker: "&amp;IF(LEN(INDEX('Our policies'!$D$4:$D$503,_calc!$E$266))=0,"",INDEX('Our policies'!$D$4:$D$503,_calc!$E$266))&amp;". ")&amp;IF(LEN(IF(LEN(INDEX('Our policies'!$E$4:$E$503,_calc!$E$266))=0,"",INDEX('Our policies'!$E$4:$E$503,_calc!$E$266)))=0,"","Policy no.: "&amp;IF(LEN(INDEX('Our policies'!$E$4:$E$503,_calc!$E$266))=0,"",INDEX('Our policies'!$E$4:$E$503,_calc!$E$266))&amp;". ")&amp;IF(LEN(IF(LEN(INDEX('Our policies'!$S$4:$S$503,_calc!$E$266))=0,"",INDEX('Our policies'!$S$4:$S$503,_calc!$E$266)))=0,"",IF(LEN(INDEX('Our policies'!$S$4:$S$503,_calc!$E$266))=0,"",INDEX('Our policies'!$S$4:$S$503,_calc!$E$266)))),TRIM(IF(LEN(IF(LEN(INDEX('Vendor COIs'!$C$4:$C$503,(_calc!$E$266-500)))=0,"",INDEX('Vendor COIs'!$C$4:$C$503,(_calc!$E$266-500))))=0,"","Insurer: "&amp;IF(LEN(INDEX('Vendor COIs'!$C$4:$C$503,(_calc!$E$266-500)))=0,"",INDEX('Vendor COIs'!$C$4:$C$503,(_calc!$E$266-500)))&amp;". ")&amp;IF(LEN(IF(LEN(INDEX('Vendor COIs'!$D$4:$D$503,(_calc!$E$266-500)))=0,"",INDEX('Vendor COIs'!$D$4:$D$503,(_calc!$E$266-500))))=0,"","Policy no.: "&amp;IF(LEN(INDEX('Vendor COIs'!$D$4:$D$503,(_calc!$E$266-500)))=0,"",INDEX('Vendor COIs'!$D$4:$D$503,(_calc!$E$266-500)))&amp;". ")&amp;IF(LEN(IF(LEN(INDEX('Vendor COIs'!$F$4:$F$503,(_calc!$E$266-500)))=0,"",INDEX('Vendor COIs'!$F$4:$F$503,(_calc!$E$266-500))))=0,"","Meets minimum: "&amp;IF(LEN(INDEX('Vendor COIs'!$F$4:$F$503,(_calc!$E$266-500)))=0,"",INDEX('Vendor COIs'!$F$4:$F$503,(_calc!$E$266-500)))&amp;". ")&amp;IF(LEN(IF(LEN(INDEX('Vendor COIs'!$G$4:$G$503,(_calc!$E$266-500)))=0,"",INDEX('Vendor COIs'!$G$4:$G$503,(_calc!$E$266-500))))=0,"","Additional insured: "&amp;IF(LEN(INDEX('Vendor COIs'!$G$4:$G$503,(_calc!$E$266-500)))=0,"",INDEX('Vendor COIs'!$G$4:$G$503,(_calc!$E$266-500)))&amp;". ")&amp;IF(LEN(IF(LEN(INDEX('Vendor COIs'!$M$4:$M$503,(_calc!$E$266-500)))=0,"",INDEX('Vendor COIs'!$M$4:$M$503,(_calc!$E$266-500))))=0,"","Vendor contact: "&amp;IF(LEN(INDEX('Vendor COIs'!$M$4:$M$503,(_calc!$E$266-500)))=0,"",INDEX('Vendor COIs'!$M$4:$M$503,(_calc!$E$266-500)))&amp;". ")&amp;IF(LEN(IF(LEN(INDEX('Vendor COIs'!$P$4:$P$503,(_calc!$E$266-500)))=0,"",INDEX('Vendor COIs'!$P$4:$P$503,(_calc!$E$266-500))))=0,"",IF(LEN(INDEX('Vendor COIs'!$P$4:$P$503,(_calc!$E$266-500)))=0,"",INDEX('Vendor COIs'!$P$4:$P$503,(_calc!$E$266-500)))))))</f>
        <v/>
      </c>
      <c r="G264" s="46">
        <f>IF(_calc!$E$266="","",IF(_calc!$E$266&lt;=500,IF(LEN(INDEX('Our policies'!$R$4:$R$503,_calc!$E$266))=0,"",INDEX('Our policies'!$R$4:$R$503,_calc!$E$266)),IF(LEN(INDEX('Vendor COIs'!$O$4:$O$503,(_calc!$E$266-500)))=0,"",INDEX('Vendor COIs'!$O$4:$O$503,(_calc!$E$266-500)))))</f>
        <v/>
      </c>
      <c r="H264" s="46">
        <f>IF(_calc!$E$266="","",IF(_calc!$E$266&lt;=500,IF(LEN(INDEX('Our policies'!$G$4:$G$503,_calc!$E$266))=0,"",INDEX('Our policies'!$G$4:$G$503,_calc!$E$266)),""))</f>
        <v/>
      </c>
      <c r="I264" s="46">
        <f>IF(_calc!$E$266="","",IF(_calc!$E$266&lt;=500,IF(LEN(INDEX('Our policies'!$H$4:$H$503,_calc!$E$266))=0,"",INDEX('Our policies'!$H$4:$H$503,_calc!$E$266)),""))</f>
        <v/>
      </c>
      <c r="K264" s="46">
        <f>IF(_calc!$E$266="","",IF(_calc!$E$266&lt;=500,IF(LEN(INDEX('Our policies'!$P$4:$P$503,_calc!$E$266))=0,"",INDEX('Our policies'!$P$4:$P$503,_calc!$E$266)),IF(LEN(INDEX('Vendor COIs'!$N$4:$N$503,(_calc!$E$266-500)))=0,"",INDEX('Vendor COIs'!$N$4:$N$503,(_calc!$E$266-500)))))</f>
        <v/>
      </c>
    </row>
    <row r="265">
      <c r="A265" s="46">
        <f>IF(_calc!$E$267="","",IF(_calc!$E$267&lt;=500,IF(LEN(INDEX('Our policies'!$A$4:$A$503,_calc!$E$267))=0,"",INDEX('Our policies'!$A$4:$A$503,_calc!$E$267)),"COI – "&amp;IF(LEN(INDEX('Vendor COIs'!$A$4:$A$503,(_calc!$E$267-500)))=0,"",INDEX('Vendor COIs'!$A$4:$A$503,(_calc!$E$267-500)))&amp;" – "&amp;IF(LEN(INDEX('Vendor COIs'!$B$4:$B$503,(_calc!$E$267-500)))=0,"",INDEX('Vendor COIs'!$B$4:$B$503,(_calc!$E$267-500)))))</f>
        <v/>
      </c>
      <c r="B265" s="46">
        <f>IF(_calc!$E$267="","",IF(_calc!$E$267&lt;=500,IF(ISNUMBER(INDEX('Our policies'!$J$4:$J$503,_calc!$E$267)),TEXT(INDEX('Our policies'!$J$4:$J$503,_calc!$E$267),"yyyy-mm-dd"),""),IF(ISNUMBER(INDEX('Vendor COIs'!$H$4:$H$503,(_calc!$E$267-500))),TEXT(INDEX('Vendor COIs'!$H$4:$H$503,(_calc!$E$267-500)),"yyyy-mm-dd"),"")))</f>
        <v/>
      </c>
      <c r="C265" s="46">
        <f>IF(_calc!$E$267="","",IF(_calc!$E$267&lt;=500,"Insurance","Certificate of insurance"))</f>
        <v/>
      </c>
      <c r="D265" s="46">
        <f>IF(_calc!$E$267="","",IF(_calc!$E$267&lt;=500,IF(ISNUMBER(INDEX('Our policies'!$I$4:$I$503,_calc!$E$267)),TEXT(INDEX('Our policies'!$I$4:$I$503,_calc!$E$267),"yyyy-mm-dd"),""),""))</f>
        <v/>
      </c>
      <c r="E265" s="46">
        <f>IF(_calc!$E$267="","",IF(_calc!$E$267&lt;=500,IF(LEN(INDEX('Our policies'!$Q$4:$Q$503,_calc!$E$267))=0,"",INDEX('Our policies'!$Q$4:$Q$503,_calc!$E$267)),"Medium"))</f>
        <v/>
      </c>
      <c r="F265" s="46">
        <f>IF(_calc!$E$267="","",IF(_calc!$E$267&lt;=500,TRIM(IF(LEN(IF(LEN(INDEX('Our policies'!$B$4:$B$503,_calc!$E$267))=0,"",INDEX('Our policies'!$B$4:$B$503,_calc!$E$267)))=0,"","Cover: "&amp;IF(LEN(INDEX('Our policies'!$B$4:$B$503,_calc!$E$267))=0,"",INDEX('Our policies'!$B$4:$B$503,_calc!$E$267))&amp;". ")&amp;IF(LEN(IF(LEN(INDEX('Our policies'!$C$4:$C$503,_calc!$E$267))=0,"",INDEX('Our policies'!$C$4:$C$503,_calc!$E$267)))=0,"","Insurer: "&amp;IF(LEN(INDEX('Our policies'!$C$4:$C$503,_calc!$E$267))=0,"",INDEX('Our policies'!$C$4:$C$503,_calc!$E$267))&amp;". ")&amp;IF(LEN(IF(LEN(INDEX('Our policies'!$D$4:$D$503,_calc!$E$267))=0,"",INDEX('Our policies'!$D$4:$D$503,_calc!$E$267)))=0,"","Broker: "&amp;IF(LEN(INDEX('Our policies'!$D$4:$D$503,_calc!$E$267))=0,"",INDEX('Our policies'!$D$4:$D$503,_calc!$E$267))&amp;". ")&amp;IF(LEN(IF(LEN(INDEX('Our policies'!$E$4:$E$503,_calc!$E$267))=0,"",INDEX('Our policies'!$E$4:$E$503,_calc!$E$267)))=0,"","Policy no.: "&amp;IF(LEN(INDEX('Our policies'!$E$4:$E$503,_calc!$E$267))=0,"",INDEX('Our policies'!$E$4:$E$503,_calc!$E$267))&amp;". ")&amp;IF(LEN(IF(LEN(INDEX('Our policies'!$S$4:$S$503,_calc!$E$267))=0,"",INDEX('Our policies'!$S$4:$S$503,_calc!$E$267)))=0,"",IF(LEN(INDEX('Our policies'!$S$4:$S$503,_calc!$E$267))=0,"",INDEX('Our policies'!$S$4:$S$503,_calc!$E$267)))),TRIM(IF(LEN(IF(LEN(INDEX('Vendor COIs'!$C$4:$C$503,(_calc!$E$267-500)))=0,"",INDEX('Vendor COIs'!$C$4:$C$503,(_calc!$E$267-500))))=0,"","Insurer: "&amp;IF(LEN(INDEX('Vendor COIs'!$C$4:$C$503,(_calc!$E$267-500)))=0,"",INDEX('Vendor COIs'!$C$4:$C$503,(_calc!$E$267-500)))&amp;". ")&amp;IF(LEN(IF(LEN(INDEX('Vendor COIs'!$D$4:$D$503,(_calc!$E$267-500)))=0,"",INDEX('Vendor COIs'!$D$4:$D$503,(_calc!$E$267-500))))=0,"","Policy no.: "&amp;IF(LEN(INDEX('Vendor COIs'!$D$4:$D$503,(_calc!$E$267-500)))=0,"",INDEX('Vendor COIs'!$D$4:$D$503,(_calc!$E$267-500)))&amp;". ")&amp;IF(LEN(IF(LEN(INDEX('Vendor COIs'!$F$4:$F$503,(_calc!$E$267-500)))=0,"",INDEX('Vendor COIs'!$F$4:$F$503,(_calc!$E$267-500))))=0,"","Meets minimum: "&amp;IF(LEN(INDEX('Vendor COIs'!$F$4:$F$503,(_calc!$E$267-500)))=0,"",INDEX('Vendor COIs'!$F$4:$F$503,(_calc!$E$267-500)))&amp;". ")&amp;IF(LEN(IF(LEN(INDEX('Vendor COIs'!$G$4:$G$503,(_calc!$E$267-500)))=0,"",INDEX('Vendor COIs'!$G$4:$G$503,(_calc!$E$267-500))))=0,"","Additional insured: "&amp;IF(LEN(INDEX('Vendor COIs'!$G$4:$G$503,(_calc!$E$267-500)))=0,"",INDEX('Vendor COIs'!$G$4:$G$503,(_calc!$E$267-500)))&amp;". ")&amp;IF(LEN(IF(LEN(INDEX('Vendor COIs'!$M$4:$M$503,(_calc!$E$267-500)))=0,"",INDEX('Vendor COIs'!$M$4:$M$503,(_calc!$E$267-500))))=0,"","Vendor contact: "&amp;IF(LEN(INDEX('Vendor COIs'!$M$4:$M$503,(_calc!$E$267-500)))=0,"",INDEX('Vendor COIs'!$M$4:$M$503,(_calc!$E$267-500)))&amp;". ")&amp;IF(LEN(IF(LEN(INDEX('Vendor COIs'!$P$4:$P$503,(_calc!$E$267-500)))=0,"",INDEX('Vendor COIs'!$P$4:$P$503,(_calc!$E$267-500))))=0,"",IF(LEN(INDEX('Vendor COIs'!$P$4:$P$503,(_calc!$E$267-500)))=0,"",INDEX('Vendor COIs'!$P$4:$P$503,(_calc!$E$267-500)))))))</f>
        <v/>
      </c>
      <c r="G265" s="46">
        <f>IF(_calc!$E$267="","",IF(_calc!$E$267&lt;=500,IF(LEN(INDEX('Our policies'!$R$4:$R$503,_calc!$E$267))=0,"",INDEX('Our policies'!$R$4:$R$503,_calc!$E$267)),IF(LEN(INDEX('Vendor COIs'!$O$4:$O$503,(_calc!$E$267-500)))=0,"",INDEX('Vendor COIs'!$O$4:$O$503,(_calc!$E$267-500)))))</f>
        <v/>
      </c>
      <c r="H265" s="46">
        <f>IF(_calc!$E$267="","",IF(_calc!$E$267&lt;=500,IF(LEN(INDEX('Our policies'!$G$4:$G$503,_calc!$E$267))=0,"",INDEX('Our policies'!$G$4:$G$503,_calc!$E$267)),""))</f>
        <v/>
      </c>
      <c r="I265" s="46">
        <f>IF(_calc!$E$267="","",IF(_calc!$E$267&lt;=500,IF(LEN(INDEX('Our policies'!$H$4:$H$503,_calc!$E$267))=0,"",INDEX('Our policies'!$H$4:$H$503,_calc!$E$267)),""))</f>
        <v/>
      </c>
      <c r="K265" s="46">
        <f>IF(_calc!$E$267="","",IF(_calc!$E$267&lt;=500,IF(LEN(INDEX('Our policies'!$P$4:$P$503,_calc!$E$267))=0,"",INDEX('Our policies'!$P$4:$P$503,_calc!$E$267)),IF(LEN(INDEX('Vendor COIs'!$N$4:$N$503,(_calc!$E$267-500)))=0,"",INDEX('Vendor COIs'!$N$4:$N$503,(_calc!$E$267-500)))))</f>
        <v/>
      </c>
    </row>
    <row r="266">
      <c r="A266" s="46">
        <f>IF(_calc!$E$268="","",IF(_calc!$E$268&lt;=500,IF(LEN(INDEX('Our policies'!$A$4:$A$503,_calc!$E$268))=0,"",INDEX('Our policies'!$A$4:$A$503,_calc!$E$268)),"COI – "&amp;IF(LEN(INDEX('Vendor COIs'!$A$4:$A$503,(_calc!$E$268-500)))=0,"",INDEX('Vendor COIs'!$A$4:$A$503,(_calc!$E$268-500)))&amp;" – "&amp;IF(LEN(INDEX('Vendor COIs'!$B$4:$B$503,(_calc!$E$268-500)))=0,"",INDEX('Vendor COIs'!$B$4:$B$503,(_calc!$E$268-500)))))</f>
        <v/>
      </c>
      <c r="B266" s="46">
        <f>IF(_calc!$E$268="","",IF(_calc!$E$268&lt;=500,IF(ISNUMBER(INDEX('Our policies'!$J$4:$J$503,_calc!$E$268)),TEXT(INDEX('Our policies'!$J$4:$J$503,_calc!$E$268),"yyyy-mm-dd"),""),IF(ISNUMBER(INDEX('Vendor COIs'!$H$4:$H$503,(_calc!$E$268-500))),TEXT(INDEX('Vendor COIs'!$H$4:$H$503,(_calc!$E$268-500)),"yyyy-mm-dd"),"")))</f>
        <v/>
      </c>
      <c r="C266" s="46">
        <f>IF(_calc!$E$268="","",IF(_calc!$E$268&lt;=500,"Insurance","Certificate of insurance"))</f>
        <v/>
      </c>
      <c r="D266" s="46">
        <f>IF(_calc!$E$268="","",IF(_calc!$E$268&lt;=500,IF(ISNUMBER(INDEX('Our policies'!$I$4:$I$503,_calc!$E$268)),TEXT(INDEX('Our policies'!$I$4:$I$503,_calc!$E$268),"yyyy-mm-dd"),""),""))</f>
        <v/>
      </c>
      <c r="E266" s="46">
        <f>IF(_calc!$E$268="","",IF(_calc!$E$268&lt;=500,IF(LEN(INDEX('Our policies'!$Q$4:$Q$503,_calc!$E$268))=0,"",INDEX('Our policies'!$Q$4:$Q$503,_calc!$E$268)),"Medium"))</f>
        <v/>
      </c>
      <c r="F266" s="46">
        <f>IF(_calc!$E$268="","",IF(_calc!$E$268&lt;=500,TRIM(IF(LEN(IF(LEN(INDEX('Our policies'!$B$4:$B$503,_calc!$E$268))=0,"",INDEX('Our policies'!$B$4:$B$503,_calc!$E$268)))=0,"","Cover: "&amp;IF(LEN(INDEX('Our policies'!$B$4:$B$503,_calc!$E$268))=0,"",INDEX('Our policies'!$B$4:$B$503,_calc!$E$268))&amp;". ")&amp;IF(LEN(IF(LEN(INDEX('Our policies'!$C$4:$C$503,_calc!$E$268))=0,"",INDEX('Our policies'!$C$4:$C$503,_calc!$E$268)))=0,"","Insurer: "&amp;IF(LEN(INDEX('Our policies'!$C$4:$C$503,_calc!$E$268))=0,"",INDEX('Our policies'!$C$4:$C$503,_calc!$E$268))&amp;". ")&amp;IF(LEN(IF(LEN(INDEX('Our policies'!$D$4:$D$503,_calc!$E$268))=0,"",INDEX('Our policies'!$D$4:$D$503,_calc!$E$268)))=0,"","Broker: "&amp;IF(LEN(INDEX('Our policies'!$D$4:$D$503,_calc!$E$268))=0,"",INDEX('Our policies'!$D$4:$D$503,_calc!$E$268))&amp;". ")&amp;IF(LEN(IF(LEN(INDEX('Our policies'!$E$4:$E$503,_calc!$E$268))=0,"",INDEX('Our policies'!$E$4:$E$503,_calc!$E$268)))=0,"","Policy no.: "&amp;IF(LEN(INDEX('Our policies'!$E$4:$E$503,_calc!$E$268))=0,"",INDEX('Our policies'!$E$4:$E$503,_calc!$E$268))&amp;". ")&amp;IF(LEN(IF(LEN(INDEX('Our policies'!$S$4:$S$503,_calc!$E$268))=0,"",INDEX('Our policies'!$S$4:$S$503,_calc!$E$268)))=0,"",IF(LEN(INDEX('Our policies'!$S$4:$S$503,_calc!$E$268))=0,"",INDEX('Our policies'!$S$4:$S$503,_calc!$E$268)))),TRIM(IF(LEN(IF(LEN(INDEX('Vendor COIs'!$C$4:$C$503,(_calc!$E$268-500)))=0,"",INDEX('Vendor COIs'!$C$4:$C$503,(_calc!$E$268-500))))=0,"","Insurer: "&amp;IF(LEN(INDEX('Vendor COIs'!$C$4:$C$503,(_calc!$E$268-500)))=0,"",INDEX('Vendor COIs'!$C$4:$C$503,(_calc!$E$268-500)))&amp;". ")&amp;IF(LEN(IF(LEN(INDEX('Vendor COIs'!$D$4:$D$503,(_calc!$E$268-500)))=0,"",INDEX('Vendor COIs'!$D$4:$D$503,(_calc!$E$268-500))))=0,"","Policy no.: "&amp;IF(LEN(INDEX('Vendor COIs'!$D$4:$D$503,(_calc!$E$268-500)))=0,"",INDEX('Vendor COIs'!$D$4:$D$503,(_calc!$E$268-500)))&amp;". ")&amp;IF(LEN(IF(LEN(INDEX('Vendor COIs'!$F$4:$F$503,(_calc!$E$268-500)))=0,"",INDEX('Vendor COIs'!$F$4:$F$503,(_calc!$E$268-500))))=0,"","Meets minimum: "&amp;IF(LEN(INDEX('Vendor COIs'!$F$4:$F$503,(_calc!$E$268-500)))=0,"",INDEX('Vendor COIs'!$F$4:$F$503,(_calc!$E$268-500)))&amp;". ")&amp;IF(LEN(IF(LEN(INDEX('Vendor COIs'!$G$4:$G$503,(_calc!$E$268-500)))=0,"",INDEX('Vendor COIs'!$G$4:$G$503,(_calc!$E$268-500))))=0,"","Additional insured: "&amp;IF(LEN(INDEX('Vendor COIs'!$G$4:$G$503,(_calc!$E$268-500)))=0,"",INDEX('Vendor COIs'!$G$4:$G$503,(_calc!$E$268-500)))&amp;". ")&amp;IF(LEN(IF(LEN(INDEX('Vendor COIs'!$M$4:$M$503,(_calc!$E$268-500)))=0,"",INDEX('Vendor COIs'!$M$4:$M$503,(_calc!$E$268-500))))=0,"","Vendor contact: "&amp;IF(LEN(INDEX('Vendor COIs'!$M$4:$M$503,(_calc!$E$268-500)))=0,"",INDEX('Vendor COIs'!$M$4:$M$503,(_calc!$E$268-500)))&amp;". ")&amp;IF(LEN(IF(LEN(INDEX('Vendor COIs'!$P$4:$P$503,(_calc!$E$268-500)))=0,"",INDEX('Vendor COIs'!$P$4:$P$503,(_calc!$E$268-500))))=0,"",IF(LEN(INDEX('Vendor COIs'!$P$4:$P$503,(_calc!$E$268-500)))=0,"",INDEX('Vendor COIs'!$P$4:$P$503,(_calc!$E$268-500)))))))</f>
        <v/>
      </c>
      <c r="G266" s="46">
        <f>IF(_calc!$E$268="","",IF(_calc!$E$268&lt;=500,IF(LEN(INDEX('Our policies'!$R$4:$R$503,_calc!$E$268))=0,"",INDEX('Our policies'!$R$4:$R$503,_calc!$E$268)),IF(LEN(INDEX('Vendor COIs'!$O$4:$O$503,(_calc!$E$268-500)))=0,"",INDEX('Vendor COIs'!$O$4:$O$503,(_calc!$E$268-500)))))</f>
        <v/>
      </c>
      <c r="H266" s="46">
        <f>IF(_calc!$E$268="","",IF(_calc!$E$268&lt;=500,IF(LEN(INDEX('Our policies'!$G$4:$G$503,_calc!$E$268))=0,"",INDEX('Our policies'!$G$4:$G$503,_calc!$E$268)),""))</f>
        <v/>
      </c>
      <c r="I266" s="46">
        <f>IF(_calc!$E$268="","",IF(_calc!$E$268&lt;=500,IF(LEN(INDEX('Our policies'!$H$4:$H$503,_calc!$E$268))=0,"",INDEX('Our policies'!$H$4:$H$503,_calc!$E$268)),""))</f>
        <v/>
      </c>
      <c r="K266" s="46">
        <f>IF(_calc!$E$268="","",IF(_calc!$E$268&lt;=500,IF(LEN(INDEX('Our policies'!$P$4:$P$503,_calc!$E$268))=0,"",INDEX('Our policies'!$P$4:$P$503,_calc!$E$268)),IF(LEN(INDEX('Vendor COIs'!$N$4:$N$503,(_calc!$E$268-500)))=0,"",INDEX('Vendor COIs'!$N$4:$N$503,(_calc!$E$268-500)))))</f>
        <v/>
      </c>
    </row>
    <row r="267">
      <c r="A267" s="46">
        <f>IF(_calc!$E$269="","",IF(_calc!$E$269&lt;=500,IF(LEN(INDEX('Our policies'!$A$4:$A$503,_calc!$E$269))=0,"",INDEX('Our policies'!$A$4:$A$503,_calc!$E$269)),"COI – "&amp;IF(LEN(INDEX('Vendor COIs'!$A$4:$A$503,(_calc!$E$269-500)))=0,"",INDEX('Vendor COIs'!$A$4:$A$503,(_calc!$E$269-500)))&amp;" – "&amp;IF(LEN(INDEX('Vendor COIs'!$B$4:$B$503,(_calc!$E$269-500)))=0,"",INDEX('Vendor COIs'!$B$4:$B$503,(_calc!$E$269-500)))))</f>
        <v/>
      </c>
      <c r="B267" s="46">
        <f>IF(_calc!$E$269="","",IF(_calc!$E$269&lt;=500,IF(ISNUMBER(INDEX('Our policies'!$J$4:$J$503,_calc!$E$269)),TEXT(INDEX('Our policies'!$J$4:$J$503,_calc!$E$269),"yyyy-mm-dd"),""),IF(ISNUMBER(INDEX('Vendor COIs'!$H$4:$H$503,(_calc!$E$269-500))),TEXT(INDEX('Vendor COIs'!$H$4:$H$503,(_calc!$E$269-500)),"yyyy-mm-dd"),"")))</f>
        <v/>
      </c>
      <c r="C267" s="46">
        <f>IF(_calc!$E$269="","",IF(_calc!$E$269&lt;=500,"Insurance","Certificate of insurance"))</f>
        <v/>
      </c>
      <c r="D267" s="46">
        <f>IF(_calc!$E$269="","",IF(_calc!$E$269&lt;=500,IF(ISNUMBER(INDEX('Our policies'!$I$4:$I$503,_calc!$E$269)),TEXT(INDEX('Our policies'!$I$4:$I$503,_calc!$E$269),"yyyy-mm-dd"),""),""))</f>
        <v/>
      </c>
      <c r="E267" s="46">
        <f>IF(_calc!$E$269="","",IF(_calc!$E$269&lt;=500,IF(LEN(INDEX('Our policies'!$Q$4:$Q$503,_calc!$E$269))=0,"",INDEX('Our policies'!$Q$4:$Q$503,_calc!$E$269)),"Medium"))</f>
        <v/>
      </c>
      <c r="F267" s="46">
        <f>IF(_calc!$E$269="","",IF(_calc!$E$269&lt;=500,TRIM(IF(LEN(IF(LEN(INDEX('Our policies'!$B$4:$B$503,_calc!$E$269))=0,"",INDEX('Our policies'!$B$4:$B$503,_calc!$E$269)))=0,"","Cover: "&amp;IF(LEN(INDEX('Our policies'!$B$4:$B$503,_calc!$E$269))=0,"",INDEX('Our policies'!$B$4:$B$503,_calc!$E$269))&amp;". ")&amp;IF(LEN(IF(LEN(INDEX('Our policies'!$C$4:$C$503,_calc!$E$269))=0,"",INDEX('Our policies'!$C$4:$C$503,_calc!$E$269)))=0,"","Insurer: "&amp;IF(LEN(INDEX('Our policies'!$C$4:$C$503,_calc!$E$269))=0,"",INDEX('Our policies'!$C$4:$C$503,_calc!$E$269))&amp;". ")&amp;IF(LEN(IF(LEN(INDEX('Our policies'!$D$4:$D$503,_calc!$E$269))=0,"",INDEX('Our policies'!$D$4:$D$503,_calc!$E$269)))=0,"","Broker: "&amp;IF(LEN(INDEX('Our policies'!$D$4:$D$503,_calc!$E$269))=0,"",INDEX('Our policies'!$D$4:$D$503,_calc!$E$269))&amp;". ")&amp;IF(LEN(IF(LEN(INDEX('Our policies'!$E$4:$E$503,_calc!$E$269))=0,"",INDEX('Our policies'!$E$4:$E$503,_calc!$E$269)))=0,"","Policy no.: "&amp;IF(LEN(INDEX('Our policies'!$E$4:$E$503,_calc!$E$269))=0,"",INDEX('Our policies'!$E$4:$E$503,_calc!$E$269))&amp;". ")&amp;IF(LEN(IF(LEN(INDEX('Our policies'!$S$4:$S$503,_calc!$E$269))=0,"",INDEX('Our policies'!$S$4:$S$503,_calc!$E$269)))=0,"",IF(LEN(INDEX('Our policies'!$S$4:$S$503,_calc!$E$269))=0,"",INDEX('Our policies'!$S$4:$S$503,_calc!$E$269)))),TRIM(IF(LEN(IF(LEN(INDEX('Vendor COIs'!$C$4:$C$503,(_calc!$E$269-500)))=0,"",INDEX('Vendor COIs'!$C$4:$C$503,(_calc!$E$269-500))))=0,"","Insurer: "&amp;IF(LEN(INDEX('Vendor COIs'!$C$4:$C$503,(_calc!$E$269-500)))=0,"",INDEX('Vendor COIs'!$C$4:$C$503,(_calc!$E$269-500)))&amp;". ")&amp;IF(LEN(IF(LEN(INDEX('Vendor COIs'!$D$4:$D$503,(_calc!$E$269-500)))=0,"",INDEX('Vendor COIs'!$D$4:$D$503,(_calc!$E$269-500))))=0,"","Policy no.: "&amp;IF(LEN(INDEX('Vendor COIs'!$D$4:$D$503,(_calc!$E$269-500)))=0,"",INDEX('Vendor COIs'!$D$4:$D$503,(_calc!$E$269-500)))&amp;". ")&amp;IF(LEN(IF(LEN(INDEX('Vendor COIs'!$F$4:$F$503,(_calc!$E$269-500)))=0,"",INDEX('Vendor COIs'!$F$4:$F$503,(_calc!$E$269-500))))=0,"","Meets minimum: "&amp;IF(LEN(INDEX('Vendor COIs'!$F$4:$F$503,(_calc!$E$269-500)))=0,"",INDEX('Vendor COIs'!$F$4:$F$503,(_calc!$E$269-500)))&amp;". ")&amp;IF(LEN(IF(LEN(INDEX('Vendor COIs'!$G$4:$G$503,(_calc!$E$269-500)))=0,"",INDEX('Vendor COIs'!$G$4:$G$503,(_calc!$E$269-500))))=0,"","Additional insured: "&amp;IF(LEN(INDEX('Vendor COIs'!$G$4:$G$503,(_calc!$E$269-500)))=0,"",INDEX('Vendor COIs'!$G$4:$G$503,(_calc!$E$269-500)))&amp;". ")&amp;IF(LEN(IF(LEN(INDEX('Vendor COIs'!$M$4:$M$503,(_calc!$E$269-500)))=0,"",INDEX('Vendor COIs'!$M$4:$M$503,(_calc!$E$269-500))))=0,"","Vendor contact: "&amp;IF(LEN(INDEX('Vendor COIs'!$M$4:$M$503,(_calc!$E$269-500)))=0,"",INDEX('Vendor COIs'!$M$4:$M$503,(_calc!$E$269-500)))&amp;". ")&amp;IF(LEN(IF(LEN(INDEX('Vendor COIs'!$P$4:$P$503,(_calc!$E$269-500)))=0,"",INDEX('Vendor COIs'!$P$4:$P$503,(_calc!$E$269-500))))=0,"",IF(LEN(INDEX('Vendor COIs'!$P$4:$P$503,(_calc!$E$269-500)))=0,"",INDEX('Vendor COIs'!$P$4:$P$503,(_calc!$E$269-500)))))))</f>
        <v/>
      </c>
      <c r="G267" s="46">
        <f>IF(_calc!$E$269="","",IF(_calc!$E$269&lt;=500,IF(LEN(INDEX('Our policies'!$R$4:$R$503,_calc!$E$269))=0,"",INDEX('Our policies'!$R$4:$R$503,_calc!$E$269)),IF(LEN(INDEX('Vendor COIs'!$O$4:$O$503,(_calc!$E$269-500)))=0,"",INDEX('Vendor COIs'!$O$4:$O$503,(_calc!$E$269-500)))))</f>
        <v/>
      </c>
      <c r="H267" s="46">
        <f>IF(_calc!$E$269="","",IF(_calc!$E$269&lt;=500,IF(LEN(INDEX('Our policies'!$G$4:$G$503,_calc!$E$269))=0,"",INDEX('Our policies'!$G$4:$G$503,_calc!$E$269)),""))</f>
        <v/>
      </c>
      <c r="I267" s="46">
        <f>IF(_calc!$E$269="","",IF(_calc!$E$269&lt;=500,IF(LEN(INDEX('Our policies'!$H$4:$H$503,_calc!$E$269))=0,"",INDEX('Our policies'!$H$4:$H$503,_calc!$E$269)),""))</f>
        <v/>
      </c>
      <c r="K267" s="46">
        <f>IF(_calc!$E$269="","",IF(_calc!$E$269&lt;=500,IF(LEN(INDEX('Our policies'!$P$4:$P$503,_calc!$E$269))=0,"",INDEX('Our policies'!$P$4:$P$503,_calc!$E$269)),IF(LEN(INDEX('Vendor COIs'!$N$4:$N$503,(_calc!$E$269-500)))=0,"",INDEX('Vendor COIs'!$N$4:$N$503,(_calc!$E$269-500)))))</f>
        <v/>
      </c>
    </row>
    <row r="268">
      <c r="A268" s="46">
        <f>IF(_calc!$E$270="","",IF(_calc!$E$270&lt;=500,IF(LEN(INDEX('Our policies'!$A$4:$A$503,_calc!$E$270))=0,"",INDEX('Our policies'!$A$4:$A$503,_calc!$E$270)),"COI – "&amp;IF(LEN(INDEX('Vendor COIs'!$A$4:$A$503,(_calc!$E$270-500)))=0,"",INDEX('Vendor COIs'!$A$4:$A$503,(_calc!$E$270-500)))&amp;" – "&amp;IF(LEN(INDEX('Vendor COIs'!$B$4:$B$503,(_calc!$E$270-500)))=0,"",INDEX('Vendor COIs'!$B$4:$B$503,(_calc!$E$270-500)))))</f>
        <v/>
      </c>
      <c r="B268" s="46">
        <f>IF(_calc!$E$270="","",IF(_calc!$E$270&lt;=500,IF(ISNUMBER(INDEX('Our policies'!$J$4:$J$503,_calc!$E$270)),TEXT(INDEX('Our policies'!$J$4:$J$503,_calc!$E$270),"yyyy-mm-dd"),""),IF(ISNUMBER(INDEX('Vendor COIs'!$H$4:$H$503,(_calc!$E$270-500))),TEXT(INDEX('Vendor COIs'!$H$4:$H$503,(_calc!$E$270-500)),"yyyy-mm-dd"),"")))</f>
        <v/>
      </c>
      <c r="C268" s="46">
        <f>IF(_calc!$E$270="","",IF(_calc!$E$270&lt;=500,"Insurance","Certificate of insurance"))</f>
        <v/>
      </c>
      <c r="D268" s="46">
        <f>IF(_calc!$E$270="","",IF(_calc!$E$270&lt;=500,IF(ISNUMBER(INDEX('Our policies'!$I$4:$I$503,_calc!$E$270)),TEXT(INDEX('Our policies'!$I$4:$I$503,_calc!$E$270),"yyyy-mm-dd"),""),""))</f>
        <v/>
      </c>
      <c r="E268" s="46">
        <f>IF(_calc!$E$270="","",IF(_calc!$E$270&lt;=500,IF(LEN(INDEX('Our policies'!$Q$4:$Q$503,_calc!$E$270))=0,"",INDEX('Our policies'!$Q$4:$Q$503,_calc!$E$270)),"Medium"))</f>
        <v/>
      </c>
      <c r="F268" s="46">
        <f>IF(_calc!$E$270="","",IF(_calc!$E$270&lt;=500,TRIM(IF(LEN(IF(LEN(INDEX('Our policies'!$B$4:$B$503,_calc!$E$270))=0,"",INDEX('Our policies'!$B$4:$B$503,_calc!$E$270)))=0,"","Cover: "&amp;IF(LEN(INDEX('Our policies'!$B$4:$B$503,_calc!$E$270))=0,"",INDEX('Our policies'!$B$4:$B$503,_calc!$E$270))&amp;". ")&amp;IF(LEN(IF(LEN(INDEX('Our policies'!$C$4:$C$503,_calc!$E$270))=0,"",INDEX('Our policies'!$C$4:$C$503,_calc!$E$270)))=0,"","Insurer: "&amp;IF(LEN(INDEX('Our policies'!$C$4:$C$503,_calc!$E$270))=0,"",INDEX('Our policies'!$C$4:$C$503,_calc!$E$270))&amp;". ")&amp;IF(LEN(IF(LEN(INDEX('Our policies'!$D$4:$D$503,_calc!$E$270))=0,"",INDEX('Our policies'!$D$4:$D$503,_calc!$E$270)))=0,"","Broker: "&amp;IF(LEN(INDEX('Our policies'!$D$4:$D$503,_calc!$E$270))=0,"",INDEX('Our policies'!$D$4:$D$503,_calc!$E$270))&amp;". ")&amp;IF(LEN(IF(LEN(INDEX('Our policies'!$E$4:$E$503,_calc!$E$270))=0,"",INDEX('Our policies'!$E$4:$E$503,_calc!$E$270)))=0,"","Policy no.: "&amp;IF(LEN(INDEX('Our policies'!$E$4:$E$503,_calc!$E$270))=0,"",INDEX('Our policies'!$E$4:$E$503,_calc!$E$270))&amp;". ")&amp;IF(LEN(IF(LEN(INDEX('Our policies'!$S$4:$S$503,_calc!$E$270))=0,"",INDEX('Our policies'!$S$4:$S$503,_calc!$E$270)))=0,"",IF(LEN(INDEX('Our policies'!$S$4:$S$503,_calc!$E$270))=0,"",INDEX('Our policies'!$S$4:$S$503,_calc!$E$270)))),TRIM(IF(LEN(IF(LEN(INDEX('Vendor COIs'!$C$4:$C$503,(_calc!$E$270-500)))=0,"",INDEX('Vendor COIs'!$C$4:$C$503,(_calc!$E$270-500))))=0,"","Insurer: "&amp;IF(LEN(INDEX('Vendor COIs'!$C$4:$C$503,(_calc!$E$270-500)))=0,"",INDEX('Vendor COIs'!$C$4:$C$503,(_calc!$E$270-500)))&amp;". ")&amp;IF(LEN(IF(LEN(INDEX('Vendor COIs'!$D$4:$D$503,(_calc!$E$270-500)))=0,"",INDEX('Vendor COIs'!$D$4:$D$503,(_calc!$E$270-500))))=0,"","Policy no.: "&amp;IF(LEN(INDEX('Vendor COIs'!$D$4:$D$503,(_calc!$E$270-500)))=0,"",INDEX('Vendor COIs'!$D$4:$D$503,(_calc!$E$270-500)))&amp;". ")&amp;IF(LEN(IF(LEN(INDEX('Vendor COIs'!$F$4:$F$503,(_calc!$E$270-500)))=0,"",INDEX('Vendor COIs'!$F$4:$F$503,(_calc!$E$270-500))))=0,"","Meets minimum: "&amp;IF(LEN(INDEX('Vendor COIs'!$F$4:$F$503,(_calc!$E$270-500)))=0,"",INDEX('Vendor COIs'!$F$4:$F$503,(_calc!$E$270-500)))&amp;". ")&amp;IF(LEN(IF(LEN(INDEX('Vendor COIs'!$G$4:$G$503,(_calc!$E$270-500)))=0,"",INDEX('Vendor COIs'!$G$4:$G$503,(_calc!$E$270-500))))=0,"","Additional insured: "&amp;IF(LEN(INDEX('Vendor COIs'!$G$4:$G$503,(_calc!$E$270-500)))=0,"",INDEX('Vendor COIs'!$G$4:$G$503,(_calc!$E$270-500)))&amp;". ")&amp;IF(LEN(IF(LEN(INDEX('Vendor COIs'!$M$4:$M$503,(_calc!$E$270-500)))=0,"",INDEX('Vendor COIs'!$M$4:$M$503,(_calc!$E$270-500))))=0,"","Vendor contact: "&amp;IF(LEN(INDEX('Vendor COIs'!$M$4:$M$503,(_calc!$E$270-500)))=0,"",INDEX('Vendor COIs'!$M$4:$M$503,(_calc!$E$270-500)))&amp;". ")&amp;IF(LEN(IF(LEN(INDEX('Vendor COIs'!$P$4:$P$503,(_calc!$E$270-500)))=0,"",INDEX('Vendor COIs'!$P$4:$P$503,(_calc!$E$270-500))))=0,"",IF(LEN(INDEX('Vendor COIs'!$P$4:$P$503,(_calc!$E$270-500)))=0,"",INDEX('Vendor COIs'!$P$4:$P$503,(_calc!$E$270-500)))))))</f>
        <v/>
      </c>
      <c r="G268" s="46">
        <f>IF(_calc!$E$270="","",IF(_calc!$E$270&lt;=500,IF(LEN(INDEX('Our policies'!$R$4:$R$503,_calc!$E$270))=0,"",INDEX('Our policies'!$R$4:$R$503,_calc!$E$270)),IF(LEN(INDEX('Vendor COIs'!$O$4:$O$503,(_calc!$E$270-500)))=0,"",INDEX('Vendor COIs'!$O$4:$O$503,(_calc!$E$270-500)))))</f>
        <v/>
      </c>
      <c r="H268" s="46">
        <f>IF(_calc!$E$270="","",IF(_calc!$E$270&lt;=500,IF(LEN(INDEX('Our policies'!$G$4:$G$503,_calc!$E$270))=0,"",INDEX('Our policies'!$G$4:$G$503,_calc!$E$270)),""))</f>
        <v/>
      </c>
      <c r="I268" s="46">
        <f>IF(_calc!$E$270="","",IF(_calc!$E$270&lt;=500,IF(LEN(INDEX('Our policies'!$H$4:$H$503,_calc!$E$270))=0,"",INDEX('Our policies'!$H$4:$H$503,_calc!$E$270)),""))</f>
        <v/>
      </c>
      <c r="K268" s="46">
        <f>IF(_calc!$E$270="","",IF(_calc!$E$270&lt;=500,IF(LEN(INDEX('Our policies'!$P$4:$P$503,_calc!$E$270))=0,"",INDEX('Our policies'!$P$4:$P$503,_calc!$E$270)),IF(LEN(INDEX('Vendor COIs'!$N$4:$N$503,(_calc!$E$270-500)))=0,"",INDEX('Vendor COIs'!$N$4:$N$503,(_calc!$E$270-500)))))</f>
        <v/>
      </c>
    </row>
    <row r="269">
      <c r="A269" s="46">
        <f>IF(_calc!$E$271="","",IF(_calc!$E$271&lt;=500,IF(LEN(INDEX('Our policies'!$A$4:$A$503,_calc!$E$271))=0,"",INDEX('Our policies'!$A$4:$A$503,_calc!$E$271)),"COI – "&amp;IF(LEN(INDEX('Vendor COIs'!$A$4:$A$503,(_calc!$E$271-500)))=0,"",INDEX('Vendor COIs'!$A$4:$A$503,(_calc!$E$271-500)))&amp;" – "&amp;IF(LEN(INDEX('Vendor COIs'!$B$4:$B$503,(_calc!$E$271-500)))=0,"",INDEX('Vendor COIs'!$B$4:$B$503,(_calc!$E$271-500)))))</f>
        <v/>
      </c>
      <c r="B269" s="46">
        <f>IF(_calc!$E$271="","",IF(_calc!$E$271&lt;=500,IF(ISNUMBER(INDEX('Our policies'!$J$4:$J$503,_calc!$E$271)),TEXT(INDEX('Our policies'!$J$4:$J$503,_calc!$E$271),"yyyy-mm-dd"),""),IF(ISNUMBER(INDEX('Vendor COIs'!$H$4:$H$503,(_calc!$E$271-500))),TEXT(INDEX('Vendor COIs'!$H$4:$H$503,(_calc!$E$271-500)),"yyyy-mm-dd"),"")))</f>
        <v/>
      </c>
      <c r="C269" s="46">
        <f>IF(_calc!$E$271="","",IF(_calc!$E$271&lt;=500,"Insurance","Certificate of insurance"))</f>
        <v/>
      </c>
      <c r="D269" s="46">
        <f>IF(_calc!$E$271="","",IF(_calc!$E$271&lt;=500,IF(ISNUMBER(INDEX('Our policies'!$I$4:$I$503,_calc!$E$271)),TEXT(INDEX('Our policies'!$I$4:$I$503,_calc!$E$271),"yyyy-mm-dd"),""),""))</f>
        <v/>
      </c>
      <c r="E269" s="46">
        <f>IF(_calc!$E$271="","",IF(_calc!$E$271&lt;=500,IF(LEN(INDEX('Our policies'!$Q$4:$Q$503,_calc!$E$271))=0,"",INDEX('Our policies'!$Q$4:$Q$503,_calc!$E$271)),"Medium"))</f>
        <v/>
      </c>
      <c r="F269" s="46">
        <f>IF(_calc!$E$271="","",IF(_calc!$E$271&lt;=500,TRIM(IF(LEN(IF(LEN(INDEX('Our policies'!$B$4:$B$503,_calc!$E$271))=0,"",INDEX('Our policies'!$B$4:$B$503,_calc!$E$271)))=0,"","Cover: "&amp;IF(LEN(INDEX('Our policies'!$B$4:$B$503,_calc!$E$271))=0,"",INDEX('Our policies'!$B$4:$B$503,_calc!$E$271))&amp;". ")&amp;IF(LEN(IF(LEN(INDEX('Our policies'!$C$4:$C$503,_calc!$E$271))=0,"",INDEX('Our policies'!$C$4:$C$503,_calc!$E$271)))=0,"","Insurer: "&amp;IF(LEN(INDEX('Our policies'!$C$4:$C$503,_calc!$E$271))=0,"",INDEX('Our policies'!$C$4:$C$503,_calc!$E$271))&amp;". ")&amp;IF(LEN(IF(LEN(INDEX('Our policies'!$D$4:$D$503,_calc!$E$271))=0,"",INDEX('Our policies'!$D$4:$D$503,_calc!$E$271)))=0,"","Broker: "&amp;IF(LEN(INDEX('Our policies'!$D$4:$D$503,_calc!$E$271))=0,"",INDEX('Our policies'!$D$4:$D$503,_calc!$E$271))&amp;". ")&amp;IF(LEN(IF(LEN(INDEX('Our policies'!$E$4:$E$503,_calc!$E$271))=0,"",INDEX('Our policies'!$E$4:$E$503,_calc!$E$271)))=0,"","Policy no.: "&amp;IF(LEN(INDEX('Our policies'!$E$4:$E$503,_calc!$E$271))=0,"",INDEX('Our policies'!$E$4:$E$503,_calc!$E$271))&amp;". ")&amp;IF(LEN(IF(LEN(INDEX('Our policies'!$S$4:$S$503,_calc!$E$271))=0,"",INDEX('Our policies'!$S$4:$S$503,_calc!$E$271)))=0,"",IF(LEN(INDEX('Our policies'!$S$4:$S$503,_calc!$E$271))=0,"",INDEX('Our policies'!$S$4:$S$503,_calc!$E$271)))),TRIM(IF(LEN(IF(LEN(INDEX('Vendor COIs'!$C$4:$C$503,(_calc!$E$271-500)))=0,"",INDEX('Vendor COIs'!$C$4:$C$503,(_calc!$E$271-500))))=0,"","Insurer: "&amp;IF(LEN(INDEX('Vendor COIs'!$C$4:$C$503,(_calc!$E$271-500)))=0,"",INDEX('Vendor COIs'!$C$4:$C$503,(_calc!$E$271-500)))&amp;". ")&amp;IF(LEN(IF(LEN(INDEX('Vendor COIs'!$D$4:$D$503,(_calc!$E$271-500)))=0,"",INDEX('Vendor COIs'!$D$4:$D$503,(_calc!$E$271-500))))=0,"","Policy no.: "&amp;IF(LEN(INDEX('Vendor COIs'!$D$4:$D$503,(_calc!$E$271-500)))=0,"",INDEX('Vendor COIs'!$D$4:$D$503,(_calc!$E$271-500)))&amp;". ")&amp;IF(LEN(IF(LEN(INDEX('Vendor COIs'!$F$4:$F$503,(_calc!$E$271-500)))=0,"",INDEX('Vendor COIs'!$F$4:$F$503,(_calc!$E$271-500))))=0,"","Meets minimum: "&amp;IF(LEN(INDEX('Vendor COIs'!$F$4:$F$503,(_calc!$E$271-500)))=0,"",INDEX('Vendor COIs'!$F$4:$F$503,(_calc!$E$271-500)))&amp;". ")&amp;IF(LEN(IF(LEN(INDEX('Vendor COIs'!$G$4:$G$503,(_calc!$E$271-500)))=0,"",INDEX('Vendor COIs'!$G$4:$G$503,(_calc!$E$271-500))))=0,"","Additional insured: "&amp;IF(LEN(INDEX('Vendor COIs'!$G$4:$G$503,(_calc!$E$271-500)))=0,"",INDEX('Vendor COIs'!$G$4:$G$503,(_calc!$E$271-500)))&amp;". ")&amp;IF(LEN(IF(LEN(INDEX('Vendor COIs'!$M$4:$M$503,(_calc!$E$271-500)))=0,"",INDEX('Vendor COIs'!$M$4:$M$503,(_calc!$E$271-500))))=0,"","Vendor contact: "&amp;IF(LEN(INDEX('Vendor COIs'!$M$4:$M$503,(_calc!$E$271-500)))=0,"",INDEX('Vendor COIs'!$M$4:$M$503,(_calc!$E$271-500)))&amp;". ")&amp;IF(LEN(IF(LEN(INDEX('Vendor COIs'!$P$4:$P$503,(_calc!$E$271-500)))=0,"",INDEX('Vendor COIs'!$P$4:$P$503,(_calc!$E$271-500))))=0,"",IF(LEN(INDEX('Vendor COIs'!$P$4:$P$503,(_calc!$E$271-500)))=0,"",INDEX('Vendor COIs'!$P$4:$P$503,(_calc!$E$271-500)))))))</f>
        <v/>
      </c>
      <c r="G269" s="46">
        <f>IF(_calc!$E$271="","",IF(_calc!$E$271&lt;=500,IF(LEN(INDEX('Our policies'!$R$4:$R$503,_calc!$E$271))=0,"",INDEX('Our policies'!$R$4:$R$503,_calc!$E$271)),IF(LEN(INDEX('Vendor COIs'!$O$4:$O$503,(_calc!$E$271-500)))=0,"",INDEX('Vendor COIs'!$O$4:$O$503,(_calc!$E$271-500)))))</f>
        <v/>
      </c>
      <c r="H269" s="46">
        <f>IF(_calc!$E$271="","",IF(_calc!$E$271&lt;=500,IF(LEN(INDEX('Our policies'!$G$4:$G$503,_calc!$E$271))=0,"",INDEX('Our policies'!$G$4:$G$503,_calc!$E$271)),""))</f>
        <v/>
      </c>
      <c r="I269" s="46">
        <f>IF(_calc!$E$271="","",IF(_calc!$E$271&lt;=500,IF(LEN(INDEX('Our policies'!$H$4:$H$503,_calc!$E$271))=0,"",INDEX('Our policies'!$H$4:$H$503,_calc!$E$271)),""))</f>
        <v/>
      </c>
      <c r="K269" s="46">
        <f>IF(_calc!$E$271="","",IF(_calc!$E$271&lt;=500,IF(LEN(INDEX('Our policies'!$P$4:$P$503,_calc!$E$271))=0,"",INDEX('Our policies'!$P$4:$P$503,_calc!$E$271)),IF(LEN(INDEX('Vendor COIs'!$N$4:$N$503,(_calc!$E$271-500)))=0,"",INDEX('Vendor COIs'!$N$4:$N$503,(_calc!$E$271-500)))))</f>
        <v/>
      </c>
    </row>
    <row r="270">
      <c r="A270" s="46">
        <f>IF(_calc!$E$272="","",IF(_calc!$E$272&lt;=500,IF(LEN(INDEX('Our policies'!$A$4:$A$503,_calc!$E$272))=0,"",INDEX('Our policies'!$A$4:$A$503,_calc!$E$272)),"COI – "&amp;IF(LEN(INDEX('Vendor COIs'!$A$4:$A$503,(_calc!$E$272-500)))=0,"",INDEX('Vendor COIs'!$A$4:$A$503,(_calc!$E$272-500)))&amp;" – "&amp;IF(LEN(INDEX('Vendor COIs'!$B$4:$B$503,(_calc!$E$272-500)))=0,"",INDEX('Vendor COIs'!$B$4:$B$503,(_calc!$E$272-500)))))</f>
        <v/>
      </c>
      <c r="B270" s="46">
        <f>IF(_calc!$E$272="","",IF(_calc!$E$272&lt;=500,IF(ISNUMBER(INDEX('Our policies'!$J$4:$J$503,_calc!$E$272)),TEXT(INDEX('Our policies'!$J$4:$J$503,_calc!$E$272),"yyyy-mm-dd"),""),IF(ISNUMBER(INDEX('Vendor COIs'!$H$4:$H$503,(_calc!$E$272-500))),TEXT(INDEX('Vendor COIs'!$H$4:$H$503,(_calc!$E$272-500)),"yyyy-mm-dd"),"")))</f>
        <v/>
      </c>
      <c r="C270" s="46">
        <f>IF(_calc!$E$272="","",IF(_calc!$E$272&lt;=500,"Insurance","Certificate of insurance"))</f>
        <v/>
      </c>
      <c r="D270" s="46">
        <f>IF(_calc!$E$272="","",IF(_calc!$E$272&lt;=500,IF(ISNUMBER(INDEX('Our policies'!$I$4:$I$503,_calc!$E$272)),TEXT(INDEX('Our policies'!$I$4:$I$503,_calc!$E$272),"yyyy-mm-dd"),""),""))</f>
        <v/>
      </c>
      <c r="E270" s="46">
        <f>IF(_calc!$E$272="","",IF(_calc!$E$272&lt;=500,IF(LEN(INDEX('Our policies'!$Q$4:$Q$503,_calc!$E$272))=0,"",INDEX('Our policies'!$Q$4:$Q$503,_calc!$E$272)),"Medium"))</f>
        <v/>
      </c>
      <c r="F270" s="46">
        <f>IF(_calc!$E$272="","",IF(_calc!$E$272&lt;=500,TRIM(IF(LEN(IF(LEN(INDEX('Our policies'!$B$4:$B$503,_calc!$E$272))=0,"",INDEX('Our policies'!$B$4:$B$503,_calc!$E$272)))=0,"","Cover: "&amp;IF(LEN(INDEX('Our policies'!$B$4:$B$503,_calc!$E$272))=0,"",INDEX('Our policies'!$B$4:$B$503,_calc!$E$272))&amp;". ")&amp;IF(LEN(IF(LEN(INDEX('Our policies'!$C$4:$C$503,_calc!$E$272))=0,"",INDEX('Our policies'!$C$4:$C$503,_calc!$E$272)))=0,"","Insurer: "&amp;IF(LEN(INDEX('Our policies'!$C$4:$C$503,_calc!$E$272))=0,"",INDEX('Our policies'!$C$4:$C$503,_calc!$E$272))&amp;". ")&amp;IF(LEN(IF(LEN(INDEX('Our policies'!$D$4:$D$503,_calc!$E$272))=0,"",INDEX('Our policies'!$D$4:$D$503,_calc!$E$272)))=0,"","Broker: "&amp;IF(LEN(INDEX('Our policies'!$D$4:$D$503,_calc!$E$272))=0,"",INDEX('Our policies'!$D$4:$D$503,_calc!$E$272))&amp;". ")&amp;IF(LEN(IF(LEN(INDEX('Our policies'!$E$4:$E$503,_calc!$E$272))=0,"",INDEX('Our policies'!$E$4:$E$503,_calc!$E$272)))=0,"","Policy no.: "&amp;IF(LEN(INDEX('Our policies'!$E$4:$E$503,_calc!$E$272))=0,"",INDEX('Our policies'!$E$4:$E$503,_calc!$E$272))&amp;". ")&amp;IF(LEN(IF(LEN(INDEX('Our policies'!$S$4:$S$503,_calc!$E$272))=0,"",INDEX('Our policies'!$S$4:$S$503,_calc!$E$272)))=0,"",IF(LEN(INDEX('Our policies'!$S$4:$S$503,_calc!$E$272))=0,"",INDEX('Our policies'!$S$4:$S$503,_calc!$E$272)))),TRIM(IF(LEN(IF(LEN(INDEX('Vendor COIs'!$C$4:$C$503,(_calc!$E$272-500)))=0,"",INDEX('Vendor COIs'!$C$4:$C$503,(_calc!$E$272-500))))=0,"","Insurer: "&amp;IF(LEN(INDEX('Vendor COIs'!$C$4:$C$503,(_calc!$E$272-500)))=0,"",INDEX('Vendor COIs'!$C$4:$C$503,(_calc!$E$272-500)))&amp;". ")&amp;IF(LEN(IF(LEN(INDEX('Vendor COIs'!$D$4:$D$503,(_calc!$E$272-500)))=0,"",INDEX('Vendor COIs'!$D$4:$D$503,(_calc!$E$272-500))))=0,"","Policy no.: "&amp;IF(LEN(INDEX('Vendor COIs'!$D$4:$D$503,(_calc!$E$272-500)))=0,"",INDEX('Vendor COIs'!$D$4:$D$503,(_calc!$E$272-500)))&amp;". ")&amp;IF(LEN(IF(LEN(INDEX('Vendor COIs'!$F$4:$F$503,(_calc!$E$272-500)))=0,"",INDEX('Vendor COIs'!$F$4:$F$503,(_calc!$E$272-500))))=0,"","Meets minimum: "&amp;IF(LEN(INDEX('Vendor COIs'!$F$4:$F$503,(_calc!$E$272-500)))=0,"",INDEX('Vendor COIs'!$F$4:$F$503,(_calc!$E$272-500)))&amp;". ")&amp;IF(LEN(IF(LEN(INDEX('Vendor COIs'!$G$4:$G$503,(_calc!$E$272-500)))=0,"",INDEX('Vendor COIs'!$G$4:$G$503,(_calc!$E$272-500))))=0,"","Additional insured: "&amp;IF(LEN(INDEX('Vendor COIs'!$G$4:$G$503,(_calc!$E$272-500)))=0,"",INDEX('Vendor COIs'!$G$4:$G$503,(_calc!$E$272-500)))&amp;". ")&amp;IF(LEN(IF(LEN(INDEX('Vendor COIs'!$M$4:$M$503,(_calc!$E$272-500)))=0,"",INDEX('Vendor COIs'!$M$4:$M$503,(_calc!$E$272-500))))=0,"","Vendor contact: "&amp;IF(LEN(INDEX('Vendor COIs'!$M$4:$M$503,(_calc!$E$272-500)))=0,"",INDEX('Vendor COIs'!$M$4:$M$503,(_calc!$E$272-500)))&amp;". ")&amp;IF(LEN(IF(LEN(INDEX('Vendor COIs'!$P$4:$P$503,(_calc!$E$272-500)))=0,"",INDEX('Vendor COIs'!$P$4:$P$503,(_calc!$E$272-500))))=0,"",IF(LEN(INDEX('Vendor COIs'!$P$4:$P$503,(_calc!$E$272-500)))=0,"",INDEX('Vendor COIs'!$P$4:$P$503,(_calc!$E$272-500)))))))</f>
        <v/>
      </c>
      <c r="G270" s="46">
        <f>IF(_calc!$E$272="","",IF(_calc!$E$272&lt;=500,IF(LEN(INDEX('Our policies'!$R$4:$R$503,_calc!$E$272))=0,"",INDEX('Our policies'!$R$4:$R$503,_calc!$E$272)),IF(LEN(INDEX('Vendor COIs'!$O$4:$O$503,(_calc!$E$272-500)))=0,"",INDEX('Vendor COIs'!$O$4:$O$503,(_calc!$E$272-500)))))</f>
        <v/>
      </c>
      <c r="H270" s="46">
        <f>IF(_calc!$E$272="","",IF(_calc!$E$272&lt;=500,IF(LEN(INDEX('Our policies'!$G$4:$G$503,_calc!$E$272))=0,"",INDEX('Our policies'!$G$4:$G$503,_calc!$E$272)),""))</f>
        <v/>
      </c>
      <c r="I270" s="46">
        <f>IF(_calc!$E$272="","",IF(_calc!$E$272&lt;=500,IF(LEN(INDEX('Our policies'!$H$4:$H$503,_calc!$E$272))=0,"",INDEX('Our policies'!$H$4:$H$503,_calc!$E$272)),""))</f>
        <v/>
      </c>
      <c r="K270" s="46">
        <f>IF(_calc!$E$272="","",IF(_calc!$E$272&lt;=500,IF(LEN(INDEX('Our policies'!$P$4:$P$503,_calc!$E$272))=0,"",INDEX('Our policies'!$P$4:$P$503,_calc!$E$272)),IF(LEN(INDEX('Vendor COIs'!$N$4:$N$503,(_calc!$E$272-500)))=0,"",INDEX('Vendor COIs'!$N$4:$N$503,(_calc!$E$272-500)))))</f>
        <v/>
      </c>
    </row>
    <row r="271">
      <c r="A271" s="46">
        <f>IF(_calc!$E$273="","",IF(_calc!$E$273&lt;=500,IF(LEN(INDEX('Our policies'!$A$4:$A$503,_calc!$E$273))=0,"",INDEX('Our policies'!$A$4:$A$503,_calc!$E$273)),"COI – "&amp;IF(LEN(INDEX('Vendor COIs'!$A$4:$A$503,(_calc!$E$273-500)))=0,"",INDEX('Vendor COIs'!$A$4:$A$503,(_calc!$E$273-500)))&amp;" – "&amp;IF(LEN(INDEX('Vendor COIs'!$B$4:$B$503,(_calc!$E$273-500)))=0,"",INDEX('Vendor COIs'!$B$4:$B$503,(_calc!$E$273-500)))))</f>
        <v/>
      </c>
      <c r="B271" s="46">
        <f>IF(_calc!$E$273="","",IF(_calc!$E$273&lt;=500,IF(ISNUMBER(INDEX('Our policies'!$J$4:$J$503,_calc!$E$273)),TEXT(INDEX('Our policies'!$J$4:$J$503,_calc!$E$273),"yyyy-mm-dd"),""),IF(ISNUMBER(INDEX('Vendor COIs'!$H$4:$H$503,(_calc!$E$273-500))),TEXT(INDEX('Vendor COIs'!$H$4:$H$503,(_calc!$E$273-500)),"yyyy-mm-dd"),"")))</f>
        <v/>
      </c>
      <c r="C271" s="46">
        <f>IF(_calc!$E$273="","",IF(_calc!$E$273&lt;=500,"Insurance","Certificate of insurance"))</f>
        <v/>
      </c>
      <c r="D271" s="46">
        <f>IF(_calc!$E$273="","",IF(_calc!$E$273&lt;=500,IF(ISNUMBER(INDEX('Our policies'!$I$4:$I$503,_calc!$E$273)),TEXT(INDEX('Our policies'!$I$4:$I$503,_calc!$E$273),"yyyy-mm-dd"),""),""))</f>
        <v/>
      </c>
      <c r="E271" s="46">
        <f>IF(_calc!$E$273="","",IF(_calc!$E$273&lt;=500,IF(LEN(INDEX('Our policies'!$Q$4:$Q$503,_calc!$E$273))=0,"",INDEX('Our policies'!$Q$4:$Q$503,_calc!$E$273)),"Medium"))</f>
        <v/>
      </c>
      <c r="F271" s="46">
        <f>IF(_calc!$E$273="","",IF(_calc!$E$273&lt;=500,TRIM(IF(LEN(IF(LEN(INDEX('Our policies'!$B$4:$B$503,_calc!$E$273))=0,"",INDEX('Our policies'!$B$4:$B$503,_calc!$E$273)))=0,"","Cover: "&amp;IF(LEN(INDEX('Our policies'!$B$4:$B$503,_calc!$E$273))=0,"",INDEX('Our policies'!$B$4:$B$503,_calc!$E$273))&amp;". ")&amp;IF(LEN(IF(LEN(INDEX('Our policies'!$C$4:$C$503,_calc!$E$273))=0,"",INDEX('Our policies'!$C$4:$C$503,_calc!$E$273)))=0,"","Insurer: "&amp;IF(LEN(INDEX('Our policies'!$C$4:$C$503,_calc!$E$273))=0,"",INDEX('Our policies'!$C$4:$C$503,_calc!$E$273))&amp;". ")&amp;IF(LEN(IF(LEN(INDEX('Our policies'!$D$4:$D$503,_calc!$E$273))=0,"",INDEX('Our policies'!$D$4:$D$503,_calc!$E$273)))=0,"","Broker: "&amp;IF(LEN(INDEX('Our policies'!$D$4:$D$503,_calc!$E$273))=0,"",INDEX('Our policies'!$D$4:$D$503,_calc!$E$273))&amp;". ")&amp;IF(LEN(IF(LEN(INDEX('Our policies'!$E$4:$E$503,_calc!$E$273))=0,"",INDEX('Our policies'!$E$4:$E$503,_calc!$E$273)))=0,"","Policy no.: "&amp;IF(LEN(INDEX('Our policies'!$E$4:$E$503,_calc!$E$273))=0,"",INDEX('Our policies'!$E$4:$E$503,_calc!$E$273))&amp;". ")&amp;IF(LEN(IF(LEN(INDEX('Our policies'!$S$4:$S$503,_calc!$E$273))=0,"",INDEX('Our policies'!$S$4:$S$503,_calc!$E$273)))=0,"",IF(LEN(INDEX('Our policies'!$S$4:$S$503,_calc!$E$273))=0,"",INDEX('Our policies'!$S$4:$S$503,_calc!$E$273)))),TRIM(IF(LEN(IF(LEN(INDEX('Vendor COIs'!$C$4:$C$503,(_calc!$E$273-500)))=0,"",INDEX('Vendor COIs'!$C$4:$C$503,(_calc!$E$273-500))))=0,"","Insurer: "&amp;IF(LEN(INDEX('Vendor COIs'!$C$4:$C$503,(_calc!$E$273-500)))=0,"",INDEX('Vendor COIs'!$C$4:$C$503,(_calc!$E$273-500)))&amp;". ")&amp;IF(LEN(IF(LEN(INDEX('Vendor COIs'!$D$4:$D$503,(_calc!$E$273-500)))=0,"",INDEX('Vendor COIs'!$D$4:$D$503,(_calc!$E$273-500))))=0,"","Policy no.: "&amp;IF(LEN(INDEX('Vendor COIs'!$D$4:$D$503,(_calc!$E$273-500)))=0,"",INDEX('Vendor COIs'!$D$4:$D$503,(_calc!$E$273-500)))&amp;". ")&amp;IF(LEN(IF(LEN(INDEX('Vendor COIs'!$F$4:$F$503,(_calc!$E$273-500)))=0,"",INDEX('Vendor COIs'!$F$4:$F$503,(_calc!$E$273-500))))=0,"","Meets minimum: "&amp;IF(LEN(INDEX('Vendor COIs'!$F$4:$F$503,(_calc!$E$273-500)))=0,"",INDEX('Vendor COIs'!$F$4:$F$503,(_calc!$E$273-500)))&amp;". ")&amp;IF(LEN(IF(LEN(INDEX('Vendor COIs'!$G$4:$G$503,(_calc!$E$273-500)))=0,"",INDEX('Vendor COIs'!$G$4:$G$503,(_calc!$E$273-500))))=0,"","Additional insured: "&amp;IF(LEN(INDEX('Vendor COIs'!$G$4:$G$503,(_calc!$E$273-500)))=0,"",INDEX('Vendor COIs'!$G$4:$G$503,(_calc!$E$273-500)))&amp;". ")&amp;IF(LEN(IF(LEN(INDEX('Vendor COIs'!$M$4:$M$503,(_calc!$E$273-500)))=0,"",INDEX('Vendor COIs'!$M$4:$M$503,(_calc!$E$273-500))))=0,"","Vendor contact: "&amp;IF(LEN(INDEX('Vendor COIs'!$M$4:$M$503,(_calc!$E$273-500)))=0,"",INDEX('Vendor COIs'!$M$4:$M$503,(_calc!$E$273-500)))&amp;". ")&amp;IF(LEN(IF(LEN(INDEX('Vendor COIs'!$P$4:$P$503,(_calc!$E$273-500)))=0,"",INDEX('Vendor COIs'!$P$4:$P$503,(_calc!$E$273-500))))=0,"",IF(LEN(INDEX('Vendor COIs'!$P$4:$P$503,(_calc!$E$273-500)))=0,"",INDEX('Vendor COIs'!$P$4:$P$503,(_calc!$E$273-500)))))))</f>
        <v/>
      </c>
      <c r="G271" s="46">
        <f>IF(_calc!$E$273="","",IF(_calc!$E$273&lt;=500,IF(LEN(INDEX('Our policies'!$R$4:$R$503,_calc!$E$273))=0,"",INDEX('Our policies'!$R$4:$R$503,_calc!$E$273)),IF(LEN(INDEX('Vendor COIs'!$O$4:$O$503,(_calc!$E$273-500)))=0,"",INDEX('Vendor COIs'!$O$4:$O$503,(_calc!$E$273-500)))))</f>
        <v/>
      </c>
      <c r="H271" s="46">
        <f>IF(_calc!$E$273="","",IF(_calc!$E$273&lt;=500,IF(LEN(INDEX('Our policies'!$G$4:$G$503,_calc!$E$273))=0,"",INDEX('Our policies'!$G$4:$G$503,_calc!$E$273)),""))</f>
        <v/>
      </c>
      <c r="I271" s="46">
        <f>IF(_calc!$E$273="","",IF(_calc!$E$273&lt;=500,IF(LEN(INDEX('Our policies'!$H$4:$H$503,_calc!$E$273))=0,"",INDEX('Our policies'!$H$4:$H$503,_calc!$E$273)),""))</f>
        <v/>
      </c>
      <c r="K271" s="46">
        <f>IF(_calc!$E$273="","",IF(_calc!$E$273&lt;=500,IF(LEN(INDEX('Our policies'!$P$4:$P$503,_calc!$E$273))=0,"",INDEX('Our policies'!$P$4:$P$503,_calc!$E$273)),IF(LEN(INDEX('Vendor COIs'!$N$4:$N$503,(_calc!$E$273-500)))=0,"",INDEX('Vendor COIs'!$N$4:$N$503,(_calc!$E$273-500)))))</f>
        <v/>
      </c>
    </row>
    <row r="272">
      <c r="A272" s="46">
        <f>IF(_calc!$E$274="","",IF(_calc!$E$274&lt;=500,IF(LEN(INDEX('Our policies'!$A$4:$A$503,_calc!$E$274))=0,"",INDEX('Our policies'!$A$4:$A$503,_calc!$E$274)),"COI – "&amp;IF(LEN(INDEX('Vendor COIs'!$A$4:$A$503,(_calc!$E$274-500)))=0,"",INDEX('Vendor COIs'!$A$4:$A$503,(_calc!$E$274-500)))&amp;" – "&amp;IF(LEN(INDEX('Vendor COIs'!$B$4:$B$503,(_calc!$E$274-500)))=0,"",INDEX('Vendor COIs'!$B$4:$B$503,(_calc!$E$274-500)))))</f>
        <v/>
      </c>
      <c r="B272" s="46">
        <f>IF(_calc!$E$274="","",IF(_calc!$E$274&lt;=500,IF(ISNUMBER(INDEX('Our policies'!$J$4:$J$503,_calc!$E$274)),TEXT(INDEX('Our policies'!$J$4:$J$503,_calc!$E$274),"yyyy-mm-dd"),""),IF(ISNUMBER(INDEX('Vendor COIs'!$H$4:$H$503,(_calc!$E$274-500))),TEXT(INDEX('Vendor COIs'!$H$4:$H$503,(_calc!$E$274-500)),"yyyy-mm-dd"),"")))</f>
        <v/>
      </c>
      <c r="C272" s="46">
        <f>IF(_calc!$E$274="","",IF(_calc!$E$274&lt;=500,"Insurance","Certificate of insurance"))</f>
        <v/>
      </c>
      <c r="D272" s="46">
        <f>IF(_calc!$E$274="","",IF(_calc!$E$274&lt;=500,IF(ISNUMBER(INDEX('Our policies'!$I$4:$I$503,_calc!$E$274)),TEXT(INDEX('Our policies'!$I$4:$I$503,_calc!$E$274),"yyyy-mm-dd"),""),""))</f>
        <v/>
      </c>
      <c r="E272" s="46">
        <f>IF(_calc!$E$274="","",IF(_calc!$E$274&lt;=500,IF(LEN(INDEX('Our policies'!$Q$4:$Q$503,_calc!$E$274))=0,"",INDEX('Our policies'!$Q$4:$Q$503,_calc!$E$274)),"Medium"))</f>
        <v/>
      </c>
      <c r="F272" s="46">
        <f>IF(_calc!$E$274="","",IF(_calc!$E$274&lt;=500,TRIM(IF(LEN(IF(LEN(INDEX('Our policies'!$B$4:$B$503,_calc!$E$274))=0,"",INDEX('Our policies'!$B$4:$B$503,_calc!$E$274)))=0,"","Cover: "&amp;IF(LEN(INDEX('Our policies'!$B$4:$B$503,_calc!$E$274))=0,"",INDEX('Our policies'!$B$4:$B$503,_calc!$E$274))&amp;". ")&amp;IF(LEN(IF(LEN(INDEX('Our policies'!$C$4:$C$503,_calc!$E$274))=0,"",INDEX('Our policies'!$C$4:$C$503,_calc!$E$274)))=0,"","Insurer: "&amp;IF(LEN(INDEX('Our policies'!$C$4:$C$503,_calc!$E$274))=0,"",INDEX('Our policies'!$C$4:$C$503,_calc!$E$274))&amp;". ")&amp;IF(LEN(IF(LEN(INDEX('Our policies'!$D$4:$D$503,_calc!$E$274))=0,"",INDEX('Our policies'!$D$4:$D$503,_calc!$E$274)))=0,"","Broker: "&amp;IF(LEN(INDEX('Our policies'!$D$4:$D$503,_calc!$E$274))=0,"",INDEX('Our policies'!$D$4:$D$503,_calc!$E$274))&amp;". ")&amp;IF(LEN(IF(LEN(INDEX('Our policies'!$E$4:$E$503,_calc!$E$274))=0,"",INDEX('Our policies'!$E$4:$E$503,_calc!$E$274)))=0,"","Policy no.: "&amp;IF(LEN(INDEX('Our policies'!$E$4:$E$503,_calc!$E$274))=0,"",INDEX('Our policies'!$E$4:$E$503,_calc!$E$274))&amp;". ")&amp;IF(LEN(IF(LEN(INDEX('Our policies'!$S$4:$S$503,_calc!$E$274))=0,"",INDEX('Our policies'!$S$4:$S$503,_calc!$E$274)))=0,"",IF(LEN(INDEX('Our policies'!$S$4:$S$503,_calc!$E$274))=0,"",INDEX('Our policies'!$S$4:$S$503,_calc!$E$274)))),TRIM(IF(LEN(IF(LEN(INDEX('Vendor COIs'!$C$4:$C$503,(_calc!$E$274-500)))=0,"",INDEX('Vendor COIs'!$C$4:$C$503,(_calc!$E$274-500))))=0,"","Insurer: "&amp;IF(LEN(INDEX('Vendor COIs'!$C$4:$C$503,(_calc!$E$274-500)))=0,"",INDEX('Vendor COIs'!$C$4:$C$503,(_calc!$E$274-500)))&amp;". ")&amp;IF(LEN(IF(LEN(INDEX('Vendor COIs'!$D$4:$D$503,(_calc!$E$274-500)))=0,"",INDEX('Vendor COIs'!$D$4:$D$503,(_calc!$E$274-500))))=0,"","Policy no.: "&amp;IF(LEN(INDEX('Vendor COIs'!$D$4:$D$503,(_calc!$E$274-500)))=0,"",INDEX('Vendor COIs'!$D$4:$D$503,(_calc!$E$274-500)))&amp;". ")&amp;IF(LEN(IF(LEN(INDEX('Vendor COIs'!$F$4:$F$503,(_calc!$E$274-500)))=0,"",INDEX('Vendor COIs'!$F$4:$F$503,(_calc!$E$274-500))))=0,"","Meets minimum: "&amp;IF(LEN(INDEX('Vendor COIs'!$F$4:$F$503,(_calc!$E$274-500)))=0,"",INDEX('Vendor COIs'!$F$4:$F$503,(_calc!$E$274-500)))&amp;". ")&amp;IF(LEN(IF(LEN(INDEX('Vendor COIs'!$G$4:$G$503,(_calc!$E$274-500)))=0,"",INDEX('Vendor COIs'!$G$4:$G$503,(_calc!$E$274-500))))=0,"","Additional insured: "&amp;IF(LEN(INDEX('Vendor COIs'!$G$4:$G$503,(_calc!$E$274-500)))=0,"",INDEX('Vendor COIs'!$G$4:$G$503,(_calc!$E$274-500)))&amp;". ")&amp;IF(LEN(IF(LEN(INDEX('Vendor COIs'!$M$4:$M$503,(_calc!$E$274-500)))=0,"",INDEX('Vendor COIs'!$M$4:$M$503,(_calc!$E$274-500))))=0,"","Vendor contact: "&amp;IF(LEN(INDEX('Vendor COIs'!$M$4:$M$503,(_calc!$E$274-500)))=0,"",INDEX('Vendor COIs'!$M$4:$M$503,(_calc!$E$274-500)))&amp;". ")&amp;IF(LEN(IF(LEN(INDEX('Vendor COIs'!$P$4:$P$503,(_calc!$E$274-500)))=0,"",INDEX('Vendor COIs'!$P$4:$P$503,(_calc!$E$274-500))))=0,"",IF(LEN(INDEX('Vendor COIs'!$P$4:$P$503,(_calc!$E$274-500)))=0,"",INDEX('Vendor COIs'!$P$4:$P$503,(_calc!$E$274-500)))))))</f>
        <v/>
      </c>
      <c r="G272" s="46">
        <f>IF(_calc!$E$274="","",IF(_calc!$E$274&lt;=500,IF(LEN(INDEX('Our policies'!$R$4:$R$503,_calc!$E$274))=0,"",INDEX('Our policies'!$R$4:$R$503,_calc!$E$274)),IF(LEN(INDEX('Vendor COIs'!$O$4:$O$503,(_calc!$E$274-500)))=0,"",INDEX('Vendor COIs'!$O$4:$O$503,(_calc!$E$274-500)))))</f>
        <v/>
      </c>
      <c r="H272" s="46">
        <f>IF(_calc!$E$274="","",IF(_calc!$E$274&lt;=500,IF(LEN(INDEX('Our policies'!$G$4:$G$503,_calc!$E$274))=0,"",INDEX('Our policies'!$G$4:$G$503,_calc!$E$274)),""))</f>
        <v/>
      </c>
      <c r="I272" s="46">
        <f>IF(_calc!$E$274="","",IF(_calc!$E$274&lt;=500,IF(LEN(INDEX('Our policies'!$H$4:$H$503,_calc!$E$274))=0,"",INDEX('Our policies'!$H$4:$H$503,_calc!$E$274)),""))</f>
        <v/>
      </c>
      <c r="K272" s="46">
        <f>IF(_calc!$E$274="","",IF(_calc!$E$274&lt;=500,IF(LEN(INDEX('Our policies'!$P$4:$P$503,_calc!$E$274))=0,"",INDEX('Our policies'!$P$4:$P$503,_calc!$E$274)),IF(LEN(INDEX('Vendor COIs'!$N$4:$N$503,(_calc!$E$274-500)))=0,"",INDEX('Vendor COIs'!$N$4:$N$503,(_calc!$E$274-500)))))</f>
        <v/>
      </c>
    </row>
    <row r="273">
      <c r="A273" s="46">
        <f>IF(_calc!$E$275="","",IF(_calc!$E$275&lt;=500,IF(LEN(INDEX('Our policies'!$A$4:$A$503,_calc!$E$275))=0,"",INDEX('Our policies'!$A$4:$A$503,_calc!$E$275)),"COI – "&amp;IF(LEN(INDEX('Vendor COIs'!$A$4:$A$503,(_calc!$E$275-500)))=0,"",INDEX('Vendor COIs'!$A$4:$A$503,(_calc!$E$275-500)))&amp;" – "&amp;IF(LEN(INDEX('Vendor COIs'!$B$4:$B$503,(_calc!$E$275-500)))=0,"",INDEX('Vendor COIs'!$B$4:$B$503,(_calc!$E$275-500)))))</f>
        <v/>
      </c>
      <c r="B273" s="46">
        <f>IF(_calc!$E$275="","",IF(_calc!$E$275&lt;=500,IF(ISNUMBER(INDEX('Our policies'!$J$4:$J$503,_calc!$E$275)),TEXT(INDEX('Our policies'!$J$4:$J$503,_calc!$E$275),"yyyy-mm-dd"),""),IF(ISNUMBER(INDEX('Vendor COIs'!$H$4:$H$503,(_calc!$E$275-500))),TEXT(INDEX('Vendor COIs'!$H$4:$H$503,(_calc!$E$275-500)),"yyyy-mm-dd"),"")))</f>
        <v/>
      </c>
      <c r="C273" s="46">
        <f>IF(_calc!$E$275="","",IF(_calc!$E$275&lt;=500,"Insurance","Certificate of insurance"))</f>
        <v/>
      </c>
      <c r="D273" s="46">
        <f>IF(_calc!$E$275="","",IF(_calc!$E$275&lt;=500,IF(ISNUMBER(INDEX('Our policies'!$I$4:$I$503,_calc!$E$275)),TEXT(INDEX('Our policies'!$I$4:$I$503,_calc!$E$275),"yyyy-mm-dd"),""),""))</f>
        <v/>
      </c>
      <c r="E273" s="46">
        <f>IF(_calc!$E$275="","",IF(_calc!$E$275&lt;=500,IF(LEN(INDEX('Our policies'!$Q$4:$Q$503,_calc!$E$275))=0,"",INDEX('Our policies'!$Q$4:$Q$503,_calc!$E$275)),"Medium"))</f>
        <v/>
      </c>
      <c r="F273" s="46">
        <f>IF(_calc!$E$275="","",IF(_calc!$E$275&lt;=500,TRIM(IF(LEN(IF(LEN(INDEX('Our policies'!$B$4:$B$503,_calc!$E$275))=0,"",INDEX('Our policies'!$B$4:$B$503,_calc!$E$275)))=0,"","Cover: "&amp;IF(LEN(INDEX('Our policies'!$B$4:$B$503,_calc!$E$275))=0,"",INDEX('Our policies'!$B$4:$B$503,_calc!$E$275))&amp;". ")&amp;IF(LEN(IF(LEN(INDEX('Our policies'!$C$4:$C$503,_calc!$E$275))=0,"",INDEX('Our policies'!$C$4:$C$503,_calc!$E$275)))=0,"","Insurer: "&amp;IF(LEN(INDEX('Our policies'!$C$4:$C$503,_calc!$E$275))=0,"",INDEX('Our policies'!$C$4:$C$503,_calc!$E$275))&amp;". ")&amp;IF(LEN(IF(LEN(INDEX('Our policies'!$D$4:$D$503,_calc!$E$275))=0,"",INDEX('Our policies'!$D$4:$D$503,_calc!$E$275)))=0,"","Broker: "&amp;IF(LEN(INDEX('Our policies'!$D$4:$D$503,_calc!$E$275))=0,"",INDEX('Our policies'!$D$4:$D$503,_calc!$E$275))&amp;". ")&amp;IF(LEN(IF(LEN(INDEX('Our policies'!$E$4:$E$503,_calc!$E$275))=0,"",INDEX('Our policies'!$E$4:$E$503,_calc!$E$275)))=0,"","Policy no.: "&amp;IF(LEN(INDEX('Our policies'!$E$4:$E$503,_calc!$E$275))=0,"",INDEX('Our policies'!$E$4:$E$503,_calc!$E$275))&amp;". ")&amp;IF(LEN(IF(LEN(INDEX('Our policies'!$S$4:$S$503,_calc!$E$275))=0,"",INDEX('Our policies'!$S$4:$S$503,_calc!$E$275)))=0,"",IF(LEN(INDEX('Our policies'!$S$4:$S$503,_calc!$E$275))=0,"",INDEX('Our policies'!$S$4:$S$503,_calc!$E$275)))),TRIM(IF(LEN(IF(LEN(INDEX('Vendor COIs'!$C$4:$C$503,(_calc!$E$275-500)))=0,"",INDEX('Vendor COIs'!$C$4:$C$503,(_calc!$E$275-500))))=0,"","Insurer: "&amp;IF(LEN(INDEX('Vendor COIs'!$C$4:$C$503,(_calc!$E$275-500)))=0,"",INDEX('Vendor COIs'!$C$4:$C$503,(_calc!$E$275-500)))&amp;". ")&amp;IF(LEN(IF(LEN(INDEX('Vendor COIs'!$D$4:$D$503,(_calc!$E$275-500)))=0,"",INDEX('Vendor COIs'!$D$4:$D$503,(_calc!$E$275-500))))=0,"","Policy no.: "&amp;IF(LEN(INDEX('Vendor COIs'!$D$4:$D$503,(_calc!$E$275-500)))=0,"",INDEX('Vendor COIs'!$D$4:$D$503,(_calc!$E$275-500)))&amp;". ")&amp;IF(LEN(IF(LEN(INDEX('Vendor COIs'!$F$4:$F$503,(_calc!$E$275-500)))=0,"",INDEX('Vendor COIs'!$F$4:$F$503,(_calc!$E$275-500))))=0,"","Meets minimum: "&amp;IF(LEN(INDEX('Vendor COIs'!$F$4:$F$503,(_calc!$E$275-500)))=0,"",INDEX('Vendor COIs'!$F$4:$F$503,(_calc!$E$275-500)))&amp;". ")&amp;IF(LEN(IF(LEN(INDEX('Vendor COIs'!$G$4:$G$503,(_calc!$E$275-500)))=0,"",INDEX('Vendor COIs'!$G$4:$G$503,(_calc!$E$275-500))))=0,"","Additional insured: "&amp;IF(LEN(INDEX('Vendor COIs'!$G$4:$G$503,(_calc!$E$275-500)))=0,"",INDEX('Vendor COIs'!$G$4:$G$503,(_calc!$E$275-500)))&amp;". ")&amp;IF(LEN(IF(LEN(INDEX('Vendor COIs'!$M$4:$M$503,(_calc!$E$275-500)))=0,"",INDEX('Vendor COIs'!$M$4:$M$503,(_calc!$E$275-500))))=0,"","Vendor contact: "&amp;IF(LEN(INDEX('Vendor COIs'!$M$4:$M$503,(_calc!$E$275-500)))=0,"",INDEX('Vendor COIs'!$M$4:$M$503,(_calc!$E$275-500)))&amp;". ")&amp;IF(LEN(IF(LEN(INDEX('Vendor COIs'!$P$4:$P$503,(_calc!$E$275-500)))=0,"",INDEX('Vendor COIs'!$P$4:$P$503,(_calc!$E$275-500))))=0,"",IF(LEN(INDEX('Vendor COIs'!$P$4:$P$503,(_calc!$E$275-500)))=0,"",INDEX('Vendor COIs'!$P$4:$P$503,(_calc!$E$275-500)))))))</f>
        <v/>
      </c>
      <c r="G273" s="46">
        <f>IF(_calc!$E$275="","",IF(_calc!$E$275&lt;=500,IF(LEN(INDEX('Our policies'!$R$4:$R$503,_calc!$E$275))=0,"",INDEX('Our policies'!$R$4:$R$503,_calc!$E$275)),IF(LEN(INDEX('Vendor COIs'!$O$4:$O$503,(_calc!$E$275-500)))=0,"",INDEX('Vendor COIs'!$O$4:$O$503,(_calc!$E$275-500)))))</f>
        <v/>
      </c>
      <c r="H273" s="46">
        <f>IF(_calc!$E$275="","",IF(_calc!$E$275&lt;=500,IF(LEN(INDEX('Our policies'!$G$4:$G$503,_calc!$E$275))=0,"",INDEX('Our policies'!$G$4:$G$503,_calc!$E$275)),""))</f>
        <v/>
      </c>
      <c r="I273" s="46">
        <f>IF(_calc!$E$275="","",IF(_calc!$E$275&lt;=500,IF(LEN(INDEX('Our policies'!$H$4:$H$503,_calc!$E$275))=0,"",INDEX('Our policies'!$H$4:$H$503,_calc!$E$275)),""))</f>
        <v/>
      </c>
      <c r="K273" s="46">
        <f>IF(_calc!$E$275="","",IF(_calc!$E$275&lt;=500,IF(LEN(INDEX('Our policies'!$P$4:$P$503,_calc!$E$275))=0,"",INDEX('Our policies'!$P$4:$P$503,_calc!$E$275)),IF(LEN(INDEX('Vendor COIs'!$N$4:$N$503,(_calc!$E$275-500)))=0,"",INDEX('Vendor COIs'!$N$4:$N$503,(_calc!$E$275-500)))))</f>
        <v/>
      </c>
    </row>
    <row r="274">
      <c r="A274" s="46">
        <f>IF(_calc!$E$276="","",IF(_calc!$E$276&lt;=500,IF(LEN(INDEX('Our policies'!$A$4:$A$503,_calc!$E$276))=0,"",INDEX('Our policies'!$A$4:$A$503,_calc!$E$276)),"COI – "&amp;IF(LEN(INDEX('Vendor COIs'!$A$4:$A$503,(_calc!$E$276-500)))=0,"",INDEX('Vendor COIs'!$A$4:$A$503,(_calc!$E$276-500)))&amp;" – "&amp;IF(LEN(INDEX('Vendor COIs'!$B$4:$B$503,(_calc!$E$276-500)))=0,"",INDEX('Vendor COIs'!$B$4:$B$503,(_calc!$E$276-500)))))</f>
        <v/>
      </c>
      <c r="B274" s="46">
        <f>IF(_calc!$E$276="","",IF(_calc!$E$276&lt;=500,IF(ISNUMBER(INDEX('Our policies'!$J$4:$J$503,_calc!$E$276)),TEXT(INDEX('Our policies'!$J$4:$J$503,_calc!$E$276),"yyyy-mm-dd"),""),IF(ISNUMBER(INDEX('Vendor COIs'!$H$4:$H$503,(_calc!$E$276-500))),TEXT(INDEX('Vendor COIs'!$H$4:$H$503,(_calc!$E$276-500)),"yyyy-mm-dd"),"")))</f>
        <v/>
      </c>
      <c r="C274" s="46">
        <f>IF(_calc!$E$276="","",IF(_calc!$E$276&lt;=500,"Insurance","Certificate of insurance"))</f>
        <v/>
      </c>
      <c r="D274" s="46">
        <f>IF(_calc!$E$276="","",IF(_calc!$E$276&lt;=500,IF(ISNUMBER(INDEX('Our policies'!$I$4:$I$503,_calc!$E$276)),TEXT(INDEX('Our policies'!$I$4:$I$503,_calc!$E$276),"yyyy-mm-dd"),""),""))</f>
        <v/>
      </c>
      <c r="E274" s="46">
        <f>IF(_calc!$E$276="","",IF(_calc!$E$276&lt;=500,IF(LEN(INDEX('Our policies'!$Q$4:$Q$503,_calc!$E$276))=0,"",INDEX('Our policies'!$Q$4:$Q$503,_calc!$E$276)),"Medium"))</f>
        <v/>
      </c>
      <c r="F274" s="46">
        <f>IF(_calc!$E$276="","",IF(_calc!$E$276&lt;=500,TRIM(IF(LEN(IF(LEN(INDEX('Our policies'!$B$4:$B$503,_calc!$E$276))=0,"",INDEX('Our policies'!$B$4:$B$503,_calc!$E$276)))=0,"","Cover: "&amp;IF(LEN(INDEX('Our policies'!$B$4:$B$503,_calc!$E$276))=0,"",INDEX('Our policies'!$B$4:$B$503,_calc!$E$276))&amp;". ")&amp;IF(LEN(IF(LEN(INDEX('Our policies'!$C$4:$C$503,_calc!$E$276))=0,"",INDEX('Our policies'!$C$4:$C$503,_calc!$E$276)))=0,"","Insurer: "&amp;IF(LEN(INDEX('Our policies'!$C$4:$C$503,_calc!$E$276))=0,"",INDEX('Our policies'!$C$4:$C$503,_calc!$E$276))&amp;". ")&amp;IF(LEN(IF(LEN(INDEX('Our policies'!$D$4:$D$503,_calc!$E$276))=0,"",INDEX('Our policies'!$D$4:$D$503,_calc!$E$276)))=0,"","Broker: "&amp;IF(LEN(INDEX('Our policies'!$D$4:$D$503,_calc!$E$276))=0,"",INDEX('Our policies'!$D$4:$D$503,_calc!$E$276))&amp;". ")&amp;IF(LEN(IF(LEN(INDEX('Our policies'!$E$4:$E$503,_calc!$E$276))=0,"",INDEX('Our policies'!$E$4:$E$503,_calc!$E$276)))=0,"","Policy no.: "&amp;IF(LEN(INDEX('Our policies'!$E$4:$E$503,_calc!$E$276))=0,"",INDEX('Our policies'!$E$4:$E$503,_calc!$E$276))&amp;". ")&amp;IF(LEN(IF(LEN(INDEX('Our policies'!$S$4:$S$503,_calc!$E$276))=0,"",INDEX('Our policies'!$S$4:$S$503,_calc!$E$276)))=0,"",IF(LEN(INDEX('Our policies'!$S$4:$S$503,_calc!$E$276))=0,"",INDEX('Our policies'!$S$4:$S$503,_calc!$E$276)))),TRIM(IF(LEN(IF(LEN(INDEX('Vendor COIs'!$C$4:$C$503,(_calc!$E$276-500)))=0,"",INDEX('Vendor COIs'!$C$4:$C$503,(_calc!$E$276-500))))=0,"","Insurer: "&amp;IF(LEN(INDEX('Vendor COIs'!$C$4:$C$503,(_calc!$E$276-500)))=0,"",INDEX('Vendor COIs'!$C$4:$C$503,(_calc!$E$276-500)))&amp;". ")&amp;IF(LEN(IF(LEN(INDEX('Vendor COIs'!$D$4:$D$503,(_calc!$E$276-500)))=0,"",INDEX('Vendor COIs'!$D$4:$D$503,(_calc!$E$276-500))))=0,"","Policy no.: "&amp;IF(LEN(INDEX('Vendor COIs'!$D$4:$D$503,(_calc!$E$276-500)))=0,"",INDEX('Vendor COIs'!$D$4:$D$503,(_calc!$E$276-500)))&amp;". ")&amp;IF(LEN(IF(LEN(INDEX('Vendor COIs'!$F$4:$F$503,(_calc!$E$276-500)))=0,"",INDEX('Vendor COIs'!$F$4:$F$503,(_calc!$E$276-500))))=0,"","Meets minimum: "&amp;IF(LEN(INDEX('Vendor COIs'!$F$4:$F$503,(_calc!$E$276-500)))=0,"",INDEX('Vendor COIs'!$F$4:$F$503,(_calc!$E$276-500)))&amp;". ")&amp;IF(LEN(IF(LEN(INDEX('Vendor COIs'!$G$4:$G$503,(_calc!$E$276-500)))=0,"",INDEX('Vendor COIs'!$G$4:$G$503,(_calc!$E$276-500))))=0,"","Additional insured: "&amp;IF(LEN(INDEX('Vendor COIs'!$G$4:$G$503,(_calc!$E$276-500)))=0,"",INDEX('Vendor COIs'!$G$4:$G$503,(_calc!$E$276-500)))&amp;". ")&amp;IF(LEN(IF(LEN(INDEX('Vendor COIs'!$M$4:$M$503,(_calc!$E$276-500)))=0,"",INDEX('Vendor COIs'!$M$4:$M$503,(_calc!$E$276-500))))=0,"","Vendor contact: "&amp;IF(LEN(INDEX('Vendor COIs'!$M$4:$M$503,(_calc!$E$276-500)))=0,"",INDEX('Vendor COIs'!$M$4:$M$503,(_calc!$E$276-500)))&amp;". ")&amp;IF(LEN(IF(LEN(INDEX('Vendor COIs'!$P$4:$P$503,(_calc!$E$276-500)))=0,"",INDEX('Vendor COIs'!$P$4:$P$503,(_calc!$E$276-500))))=0,"",IF(LEN(INDEX('Vendor COIs'!$P$4:$P$503,(_calc!$E$276-500)))=0,"",INDEX('Vendor COIs'!$P$4:$P$503,(_calc!$E$276-500)))))))</f>
        <v/>
      </c>
      <c r="G274" s="46">
        <f>IF(_calc!$E$276="","",IF(_calc!$E$276&lt;=500,IF(LEN(INDEX('Our policies'!$R$4:$R$503,_calc!$E$276))=0,"",INDEX('Our policies'!$R$4:$R$503,_calc!$E$276)),IF(LEN(INDEX('Vendor COIs'!$O$4:$O$503,(_calc!$E$276-500)))=0,"",INDEX('Vendor COIs'!$O$4:$O$503,(_calc!$E$276-500)))))</f>
        <v/>
      </c>
      <c r="H274" s="46">
        <f>IF(_calc!$E$276="","",IF(_calc!$E$276&lt;=500,IF(LEN(INDEX('Our policies'!$G$4:$G$503,_calc!$E$276))=0,"",INDEX('Our policies'!$G$4:$G$503,_calc!$E$276)),""))</f>
        <v/>
      </c>
      <c r="I274" s="46">
        <f>IF(_calc!$E$276="","",IF(_calc!$E$276&lt;=500,IF(LEN(INDEX('Our policies'!$H$4:$H$503,_calc!$E$276))=0,"",INDEX('Our policies'!$H$4:$H$503,_calc!$E$276)),""))</f>
        <v/>
      </c>
      <c r="K274" s="46">
        <f>IF(_calc!$E$276="","",IF(_calc!$E$276&lt;=500,IF(LEN(INDEX('Our policies'!$P$4:$P$503,_calc!$E$276))=0,"",INDEX('Our policies'!$P$4:$P$503,_calc!$E$276)),IF(LEN(INDEX('Vendor COIs'!$N$4:$N$503,(_calc!$E$276-500)))=0,"",INDEX('Vendor COIs'!$N$4:$N$503,(_calc!$E$276-500)))))</f>
        <v/>
      </c>
    </row>
    <row r="275">
      <c r="A275" s="46">
        <f>IF(_calc!$E$277="","",IF(_calc!$E$277&lt;=500,IF(LEN(INDEX('Our policies'!$A$4:$A$503,_calc!$E$277))=0,"",INDEX('Our policies'!$A$4:$A$503,_calc!$E$277)),"COI – "&amp;IF(LEN(INDEX('Vendor COIs'!$A$4:$A$503,(_calc!$E$277-500)))=0,"",INDEX('Vendor COIs'!$A$4:$A$503,(_calc!$E$277-500)))&amp;" – "&amp;IF(LEN(INDEX('Vendor COIs'!$B$4:$B$503,(_calc!$E$277-500)))=0,"",INDEX('Vendor COIs'!$B$4:$B$503,(_calc!$E$277-500)))))</f>
        <v/>
      </c>
      <c r="B275" s="46">
        <f>IF(_calc!$E$277="","",IF(_calc!$E$277&lt;=500,IF(ISNUMBER(INDEX('Our policies'!$J$4:$J$503,_calc!$E$277)),TEXT(INDEX('Our policies'!$J$4:$J$503,_calc!$E$277),"yyyy-mm-dd"),""),IF(ISNUMBER(INDEX('Vendor COIs'!$H$4:$H$503,(_calc!$E$277-500))),TEXT(INDEX('Vendor COIs'!$H$4:$H$503,(_calc!$E$277-500)),"yyyy-mm-dd"),"")))</f>
        <v/>
      </c>
      <c r="C275" s="46">
        <f>IF(_calc!$E$277="","",IF(_calc!$E$277&lt;=500,"Insurance","Certificate of insurance"))</f>
        <v/>
      </c>
      <c r="D275" s="46">
        <f>IF(_calc!$E$277="","",IF(_calc!$E$277&lt;=500,IF(ISNUMBER(INDEX('Our policies'!$I$4:$I$503,_calc!$E$277)),TEXT(INDEX('Our policies'!$I$4:$I$503,_calc!$E$277),"yyyy-mm-dd"),""),""))</f>
        <v/>
      </c>
      <c r="E275" s="46">
        <f>IF(_calc!$E$277="","",IF(_calc!$E$277&lt;=500,IF(LEN(INDEX('Our policies'!$Q$4:$Q$503,_calc!$E$277))=0,"",INDEX('Our policies'!$Q$4:$Q$503,_calc!$E$277)),"Medium"))</f>
        <v/>
      </c>
      <c r="F275" s="46">
        <f>IF(_calc!$E$277="","",IF(_calc!$E$277&lt;=500,TRIM(IF(LEN(IF(LEN(INDEX('Our policies'!$B$4:$B$503,_calc!$E$277))=0,"",INDEX('Our policies'!$B$4:$B$503,_calc!$E$277)))=0,"","Cover: "&amp;IF(LEN(INDEX('Our policies'!$B$4:$B$503,_calc!$E$277))=0,"",INDEX('Our policies'!$B$4:$B$503,_calc!$E$277))&amp;". ")&amp;IF(LEN(IF(LEN(INDEX('Our policies'!$C$4:$C$503,_calc!$E$277))=0,"",INDEX('Our policies'!$C$4:$C$503,_calc!$E$277)))=0,"","Insurer: "&amp;IF(LEN(INDEX('Our policies'!$C$4:$C$503,_calc!$E$277))=0,"",INDEX('Our policies'!$C$4:$C$503,_calc!$E$277))&amp;". ")&amp;IF(LEN(IF(LEN(INDEX('Our policies'!$D$4:$D$503,_calc!$E$277))=0,"",INDEX('Our policies'!$D$4:$D$503,_calc!$E$277)))=0,"","Broker: "&amp;IF(LEN(INDEX('Our policies'!$D$4:$D$503,_calc!$E$277))=0,"",INDEX('Our policies'!$D$4:$D$503,_calc!$E$277))&amp;". ")&amp;IF(LEN(IF(LEN(INDEX('Our policies'!$E$4:$E$503,_calc!$E$277))=0,"",INDEX('Our policies'!$E$4:$E$503,_calc!$E$277)))=0,"","Policy no.: "&amp;IF(LEN(INDEX('Our policies'!$E$4:$E$503,_calc!$E$277))=0,"",INDEX('Our policies'!$E$4:$E$503,_calc!$E$277))&amp;". ")&amp;IF(LEN(IF(LEN(INDEX('Our policies'!$S$4:$S$503,_calc!$E$277))=0,"",INDEX('Our policies'!$S$4:$S$503,_calc!$E$277)))=0,"",IF(LEN(INDEX('Our policies'!$S$4:$S$503,_calc!$E$277))=0,"",INDEX('Our policies'!$S$4:$S$503,_calc!$E$277)))),TRIM(IF(LEN(IF(LEN(INDEX('Vendor COIs'!$C$4:$C$503,(_calc!$E$277-500)))=0,"",INDEX('Vendor COIs'!$C$4:$C$503,(_calc!$E$277-500))))=0,"","Insurer: "&amp;IF(LEN(INDEX('Vendor COIs'!$C$4:$C$503,(_calc!$E$277-500)))=0,"",INDEX('Vendor COIs'!$C$4:$C$503,(_calc!$E$277-500)))&amp;". ")&amp;IF(LEN(IF(LEN(INDEX('Vendor COIs'!$D$4:$D$503,(_calc!$E$277-500)))=0,"",INDEX('Vendor COIs'!$D$4:$D$503,(_calc!$E$277-500))))=0,"","Policy no.: "&amp;IF(LEN(INDEX('Vendor COIs'!$D$4:$D$503,(_calc!$E$277-500)))=0,"",INDEX('Vendor COIs'!$D$4:$D$503,(_calc!$E$277-500)))&amp;". ")&amp;IF(LEN(IF(LEN(INDEX('Vendor COIs'!$F$4:$F$503,(_calc!$E$277-500)))=0,"",INDEX('Vendor COIs'!$F$4:$F$503,(_calc!$E$277-500))))=0,"","Meets minimum: "&amp;IF(LEN(INDEX('Vendor COIs'!$F$4:$F$503,(_calc!$E$277-500)))=0,"",INDEX('Vendor COIs'!$F$4:$F$503,(_calc!$E$277-500)))&amp;". ")&amp;IF(LEN(IF(LEN(INDEX('Vendor COIs'!$G$4:$G$503,(_calc!$E$277-500)))=0,"",INDEX('Vendor COIs'!$G$4:$G$503,(_calc!$E$277-500))))=0,"","Additional insured: "&amp;IF(LEN(INDEX('Vendor COIs'!$G$4:$G$503,(_calc!$E$277-500)))=0,"",INDEX('Vendor COIs'!$G$4:$G$503,(_calc!$E$277-500)))&amp;". ")&amp;IF(LEN(IF(LEN(INDEX('Vendor COIs'!$M$4:$M$503,(_calc!$E$277-500)))=0,"",INDEX('Vendor COIs'!$M$4:$M$503,(_calc!$E$277-500))))=0,"","Vendor contact: "&amp;IF(LEN(INDEX('Vendor COIs'!$M$4:$M$503,(_calc!$E$277-500)))=0,"",INDEX('Vendor COIs'!$M$4:$M$503,(_calc!$E$277-500)))&amp;". ")&amp;IF(LEN(IF(LEN(INDEX('Vendor COIs'!$P$4:$P$503,(_calc!$E$277-500)))=0,"",INDEX('Vendor COIs'!$P$4:$P$503,(_calc!$E$277-500))))=0,"",IF(LEN(INDEX('Vendor COIs'!$P$4:$P$503,(_calc!$E$277-500)))=0,"",INDEX('Vendor COIs'!$P$4:$P$503,(_calc!$E$277-500)))))))</f>
        <v/>
      </c>
      <c r="G275" s="46">
        <f>IF(_calc!$E$277="","",IF(_calc!$E$277&lt;=500,IF(LEN(INDEX('Our policies'!$R$4:$R$503,_calc!$E$277))=0,"",INDEX('Our policies'!$R$4:$R$503,_calc!$E$277)),IF(LEN(INDEX('Vendor COIs'!$O$4:$O$503,(_calc!$E$277-500)))=0,"",INDEX('Vendor COIs'!$O$4:$O$503,(_calc!$E$277-500)))))</f>
        <v/>
      </c>
      <c r="H275" s="46">
        <f>IF(_calc!$E$277="","",IF(_calc!$E$277&lt;=500,IF(LEN(INDEX('Our policies'!$G$4:$G$503,_calc!$E$277))=0,"",INDEX('Our policies'!$G$4:$G$503,_calc!$E$277)),""))</f>
        <v/>
      </c>
      <c r="I275" s="46">
        <f>IF(_calc!$E$277="","",IF(_calc!$E$277&lt;=500,IF(LEN(INDEX('Our policies'!$H$4:$H$503,_calc!$E$277))=0,"",INDEX('Our policies'!$H$4:$H$503,_calc!$E$277)),""))</f>
        <v/>
      </c>
      <c r="K275" s="46">
        <f>IF(_calc!$E$277="","",IF(_calc!$E$277&lt;=500,IF(LEN(INDEX('Our policies'!$P$4:$P$503,_calc!$E$277))=0,"",INDEX('Our policies'!$P$4:$P$503,_calc!$E$277)),IF(LEN(INDEX('Vendor COIs'!$N$4:$N$503,(_calc!$E$277-500)))=0,"",INDEX('Vendor COIs'!$N$4:$N$503,(_calc!$E$277-500)))))</f>
        <v/>
      </c>
    </row>
    <row r="276">
      <c r="A276" s="46">
        <f>IF(_calc!$E$278="","",IF(_calc!$E$278&lt;=500,IF(LEN(INDEX('Our policies'!$A$4:$A$503,_calc!$E$278))=0,"",INDEX('Our policies'!$A$4:$A$503,_calc!$E$278)),"COI – "&amp;IF(LEN(INDEX('Vendor COIs'!$A$4:$A$503,(_calc!$E$278-500)))=0,"",INDEX('Vendor COIs'!$A$4:$A$503,(_calc!$E$278-500)))&amp;" – "&amp;IF(LEN(INDEX('Vendor COIs'!$B$4:$B$503,(_calc!$E$278-500)))=0,"",INDEX('Vendor COIs'!$B$4:$B$503,(_calc!$E$278-500)))))</f>
        <v/>
      </c>
      <c r="B276" s="46">
        <f>IF(_calc!$E$278="","",IF(_calc!$E$278&lt;=500,IF(ISNUMBER(INDEX('Our policies'!$J$4:$J$503,_calc!$E$278)),TEXT(INDEX('Our policies'!$J$4:$J$503,_calc!$E$278),"yyyy-mm-dd"),""),IF(ISNUMBER(INDEX('Vendor COIs'!$H$4:$H$503,(_calc!$E$278-500))),TEXT(INDEX('Vendor COIs'!$H$4:$H$503,(_calc!$E$278-500)),"yyyy-mm-dd"),"")))</f>
        <v/>
      </c>
      <c r="C276" s="46">
        <f>IF(_calc!$E$278="","",IF(_calc!$E$278&lt;=500,"Insurance","Certificate of insurance"))</f>
        <v/>
      </c>
      <c r="D276" s="46">
        <f>IF(_calc!$E$278="","",IF(_calc!$E$278&lt;=500,IF(ISNUMBER(INDEX('Our policies'!$I$4:$I$503,_calc!$E$278)),TEXT(INDEX('Our policies'!$I$4:$I$503,_calc!$E$278),"yyyy-mm-dd"),""),""))</f>
        <v/>
      </c>
      <c r="E276" s="46">
        <f>IF(_calc!$E$278="","",IF(_calc!$E$278&lt;=500,IF(LEN(INDEX('Our policies'!$Q$4:$Q$503,_calc!$E$278))=0,"",INDEX('Our policies'!$Q$4:$Q$503,_calc!$E$278)),"Medium"))</f>
        <v/>
      </c>
      <c r="F276" s="46">
        <f>IF(_calc!$E$278="","",IF(_calc!$E$278&lt;=500,TRIM(IF(LEN(IF(LEN(INDEX('Our policies'!$B$4:$B$503,_calc!$E$278))=0,"",INDEX('Our policies'!$B$4:$B$503,_calc!$E$278)))=0,"","Cover: "&amp;IF(LEN(INDEX('Our policies'!$B$4:$B$503,_calc!$E$278))=0,"",INDEX('Our policies'!$B$4:$B$503,_calc!$E$278))&amp;". ")&amp;IF(LEN(IF(LEN(INDEX('Our policies'!$C$4:$C$503,_calc!$E$278))=0,"",INDEX('Our policies'!$C$4:$C$503,_calc!$E$278)))=0,"","Insurer: "&amp;IF(LEN(INDEX('Our policies'!$C$4:$C$503,_calc!$E$278))=0,"",INDEX('Our policies'!$C$4:$C$503,_calc!$E$278))&amp;". ")&amp;IF(LEN(IF(LEN(INDEX('Our policies'!$D$4:$D$503,_calc!$E$278))=0,"",INDEX('Our policies'!$D$4:$D$503,_calc!$E$278)))=0,"","Broker: "&amp;IF(LEN(INDEX('Our policies'!$D$4:$D$503,_calc!$E$278))=0,"",INDEX('Our policies'!$D$4:$D$503,_calc!$E$278))&amp;". ")&amp;IF(LEN(IF(LEN(INDEX('Our policies'!$E$4:$E$503,_calc!$E$278))=0,"",INDEX('Our policies'!$E$4:$E$503,_calc!$E$278)))=0,"","Policy no.: "&amp;IF(LEN(INDEX('Our policies'!$E$4:$E$503,_calc!$E$278))=0,"",INDEX('Our policies'!$E$4:$E$503,_calc!$E$278))&amp;". ")&amp;IF(LEN(IF(LEN(INDEX('Our policies'!$S$4:$S$503,_calc!$E$278))=0,"",INDEX('Our policies'!$S$4:$S$503,_calc!$E$278)))=0,"",IF(LEN(INDEX('Our policies'!$S$4:$S$503,_calc!$E$278))=0,"",INDEX('Our policies'!$S$4:$S$503,_calc!$E$278)))),TRIM(IF(LEN(IF(LEN(INDEX('Vendor COIs'!$C$4:$C$503,(_calc!$E$278-500)))=0,"",INDEX('Vendor COIs'!$C$4:$C$503,(_calc!$E$278-500))))=0,"","Insurer: "&amp;IF(LEN(INDEX('Vendor COIs'!$C$4:$C$503,(_calc!$E$278-500)))=0,"",INDEX('Vendor COIs'!$C$4:$C$503,(_calc!$E$278-500)))&amp;". ")&amp;IF(LEN(IF(LEN(INDEX('Vendor COIs'!$D$4:$D$503,(_calc!$E$278-500)))=0,"",INDEX('Vendor COIs'!$D$4:$D$503,(_calc!$E$278-500))))=0,"","Policy no.: "&amp;IF(LEN(INDEX('Vendor COIs'!$D$4:$D$503,(_calc!$E$278-500)))=0,"",INDEX('Vendor COIs'!$D$4:$D$503,(_calc!$E$278-500)))&amp;". ")&amp;IF(LEN(IF(LEN(INDEX('Vendor COIs'!$F$4:$F$503,(_calc!$E$278-500)))=0,"",INDEX('Vendor COIs'!$F$4:$F$503,(_calc!$E$278-500))))=0,"","Meets minimum: "&amp;IF(LEN(INDEX('Vendor COIs'!$F$4:$F$503,(_calc!$E$278-500)))=0,"",INDEX('Vendor COIs'!$F$4:$F$503,(_calc!$E$278-500)))&amp;". ")&amp;IF(LEN(IF(LEN(INDEX('Vendor COIs'!$G$4:$G$503,(_calc!$E$278-500)))=0,"",INDEX('Vendor COIs'!$G$4:$G$503,(_calc!$E$278-500))))=0,"","Additional insured: "&amp;IF(LEN(INDEX('Vendor COIs'!$G$4:$G$503,(_calc!$E$278-500)))=0,"",INDEX('Vendor COIs'!$G$4:$G$503,(_calc!$E$278-500)))&amp;". ")&amp;IF(LEN(IF(LEN(INDEX('Vendor COIs'!$M$4:$M$503,(_calc!$E$278-500)))=0,"",INDEX('Vendor COIs'!$M$4:$M$503,(_calc!$E$278-500))))=0,"","Vendor contact: "&amp;IF(LEN(INDEX('Vendor COIs'!$M$4:$M$503,(_calc!$E$278-500)))=0,"",INDEX('Vendor COIs'!$M$4:$M$503,(_calc!$E$278-500)))&amp;". ")&amp;IF(LEN(IF(LEN(INDEX('Vendor COIs'!$P$4:$P$503,(_calc!$E$278-500)))=0,"",INDEX('Vendor COIs'!$P$4:$P$503,(_calc!$E$278-500))))=0,"",IF(LEN(INDEX('Vendor COIs'!$P$4:$P$503,(_calc!$E$278-500)))=0,"",INDEX('Vendor COIs'!$P$4:$P$503,(_calc!$E$278-500)))))))</f>
        <v/>
      </c>
      <c r="G276" s="46">
        <f>IF(_calc!$E$278="","",IF(_calc!$E$278&lt;=500,IF(LEN(INDEX('Our policies'!$R$4:$R$503,_calc!$E$278))=0,"",INDEX('Our policies'!$R$4:$R$503,_calc!$E$278)),IF(LEN(INDEX('Vendor COIs'!$O$4:$O$503,(_calc!$E$278-500)))=0,"",INDEX('Vendor COIs'!$O$4:$O$503,(_calc!$E$278-500)))))</f>
        <v/>
      </c>
      <c r="H276" s="46">
        <f>IF(_calc!$E$278="","",IF(_calc!$E$278&lt;=500,IF(LEN(INDEX('Our policies'!$G$4:$G$503,_calc!$E$278))=0,"",INDEX('Our policies'!$G$4:$G$503,_calc!$E$278)),""))</f>
        <v/>
      </c>
      <c r="I276" s="46">
        <f>IF(_calc!$E$278="","",IF(_calc!$E$278&lt;=500,IF(LEN(INDEX('Our policies'!$H$4:$H$503,_calc!$E$278))=0,"",INDEX('Our policies'!$H$4:$H$503,_calc!$E$278)),""))</f>
        <v/>
      </c>
      <c r="K276" s="46">
        <f>IF(_calc!$E$278="","",IF(_calc!$E$278&lt;=500,IF(LEN(INDEX('Our policies'!$P$4:$P$503,_calc!$E$278))=0,"",INDEX('Our policies'!$P$4:$P$503,_calc!$E$278)),IF(LEN(INDEX('Vendor COIs'!$N$4:$N$503,(_calc!$E$278-500)))=0,"",INDEX('Vendor COIs'!$N$4:$N$503,(_calc!$E$278-500)))))</f>
        <v/>
      </c>
    </row>
    <row r="277">
      <c r="A277" s="46">
        <f>IF(_calc!$E$279="","",IF(_calc!$E$279&lt;=500,IF(LEN(INDEX('Our policies'!$A$4:$A$503,_calc!$E$279))=0,"",INDEX('Our policies'!$A$4:$A$503,_calc!$E$279)),"COI – "&amp;IF(LEN(INDEX('Vendor COIs'!$A$4:$A$503,(_calc!$E$279-500)))=0,"",INDEX('Vendor COIs'!$A$4:$A$503,(_calc!$E$279-500)))&amp;" – "&amp;IF(LEN(INDEX('Vendor COIs'!$B$4:$B$503,(_calc!$E$279-500)))=0,"",INDEX('Vendor COIs'!$B$4:$B$503,(_calc!$E$279-500)))))</f>
        <v/>
      </c>
      <c r="B277" s="46">
        <f>IF(_calc!$E$279="","",IF(_calc!$E$279&lt;=500,IF(ISNUMBER(INDEX('Our policies'!$J$4:$J$503,_calc!$E$279)),TEXT(INDEX('Our policies'!$J$4:$J$503,_calc!$E$279),"yyyy-mm-dd"),""),IF(ISNUMBER(INDEX('Vendor COIs'!$H$4:$H$503,(_calc!$E$279-500))),TEXT(INDEX('Vendor COIs'!$H$4:$H$503,(_calc!$E$279-500)),"yyyy-mm-dd"),"")))</f>
        <v/>
      </c>
      <c r="C277" s="46">
        <f>IF(_calc!$E$279="","",IF(_calc!$E$279&lt;=500,"Insurance","Certificate of insurance"))</f>
        <v/>
      </c>
      <c r="D277" s="46">
        <f>IF(_calc!$E$279="","",IF(_calc!$E$279&lt;=500,IF(ISNUMBER(INDEX('Our policies'!$I$4:$I$503,_calc!$E$279)),TEXT(INDEX('Our policies'!$I$4:$I$503,_calc!$E$279),"yyyy-mm-dd"),""),""))</f>
        <v/>
      </c>
      <c r="E277" s="46">
        <f>IF(_calc!$E$279="","",IF(_calc!$E$279&lt;=500,IF(LEN(INDEX('Our policies'!$Q$4:$Q$503,_calc!$E$279))=0,"",INDEX('Our policies'!$Q$4:$Q$503,_calc!$E$279)),"Medium"))</f>
        <v/>
      </c>
      <c r="F277" s="46">
        <f>IF(_calc!$E$279="","",IF(_calc!$E$279&lt;=500,TRIM(IF(LEN(IF(LEN(INDEX('Our policies'!$B$4:$B$503,_calc!$E$279))=0,"",INDEX('Our policies'!$B$4:$B$503,_calc!$E$279)))=0,"","Cover: "&amp;IF(LEN(INDEX('Our policies'!$B$4:$B$503,_calc!$E$279))=0,"",INDEX('Our policies'!$B$4:$B$503,_calc!$E$279))&amp;". ")&amp;IF(LEN(IF(LEN(INDEX('Our policies'!$C$4:$C$503,_calc!$E$279))=0,"",INDEX('Our policies'!$C$4:$C$503,_calc!$E$279)))=0,"","Insurer: "&amp;IF(LEN(INDEX('Our policies'!$C$4:$C$503,_calc!$E$279))=0,"",INDEX('Our policies'!$C$4:$C$503,_calc!$E$279))&amp;". ")&amp;IF(LEN(IF(LEN(INDEX('Our policies'!$D$4:$D$503,_calc!$E$279))=0,"",INDEX('Our policies'!$D$4:$D$503,_calc!$E$279)))=0,"","Broker: "&amp;IF(LEN(INDEX('Our policies'!$D$4:$D$503,_calc!$E$279))=0,"",INDEX('Our policies'!$D$4:$D$503,_calc!$E$279))&amp;". ")&amp;IF(LEN(IF(LEN(INDEX('Our policies'!$E$4:$E$503,_calc!$E$279))=0,"",INDEX('Our policies'!$E$4:$E$503,_calc!$E$279)))=0,"","Policy no.: "&amp;IF(LEN(INDEX('Our policies'!$E$4:$E$503,_calc!$E$279))=0,"",INDEX('Our policies'!$E$4:$E$503,_calc!$E$279))&amp;". ")&amp;IF(LEN(IF(LEN(INDEX('Our policies'!$S$4:$S$503,_calc!$E$279))=0,"",INDEX('Our policies'!$S$4:$S$503,_calc!$E$279)))=0,"",IF(LEN(INDEX('Our policies'!$S$4:$S$503,_calc!$E$279))=0,"",INDEX('Our policies'!$S$4:$S$503,_calc!$E$279)))),TRIM(IF(LEN(IF(LEN(INDEX('Vendor COIs'!$C$4:$C$503,(_calc!$E$279-500)))=0,"",INDEX('Vendor COIs'!$C$4:$C$503,(_calc!$E$279-500))))=0,"","Insurer: "&amp;IF(LEN(INDEX('Vendor COIs'!$C$4:$C$503,(_calc!$E$279-500)))=0,"",INDEX('Vendor COIs'!$C$4:$C$503,(_calc!$E$279-500)))&amp;". ")&amp;IF(LEN(IF(LEN(INDEX('Vendor COIs'!$D$4:$D$503,(_calc!$E$279-500)))=0,"",INDEX('Vendor COIs'!$D$4:$D$503,(_calc!$E$279-500))))=0,"","Policy no.: "&amp;IF(LEN(INDEX('Vendor COIs'!$D$4:$D$503,(_calc!$E$279-500)))=0,"",INDEX('Vendor COIs'!$D$4:$D$503,(_calc!$E$279-500)))&amp;". ")&amp;IF(LEN(IF(LEN(INDEX('Vendor COIs'!$F$4:$F$503,(_calc!$E$279-500)))=0,"",INDEX('Vendor COIs'!$F$4:$F$503,(_calc!$E$279-500))))=0,"","Meets minimum: "&amp;IF(LEN(INDEX('Vendor COIs'!$F$4:$F$503,(_calc!$E$279-500)))=0,"",INDEX('Vendor COIs'!$F$4:$F$503,(_calc!$E$279-500)))&amp;". ")&amp;IF(LEN(IF(LEN(INDEX('Vendor COIs'!$G$4:$G$503,(_calc!$E$279-500)))=0,"",INDEX('Vendor COIs'!$G$4:$G$503,(_calc!$E$279-500))))=0,"","Additional insured: "&amp;IF(LEN(INDEX('Vendor COIs'!$G$4:$G$503,(_calc!$E$279-500)))=0,"",INDEX('Vendor COIs'!$G$4:$G$503,(_calc!$E$279-500)))&amp;". ")&amp;IF(LEN(IF(LEN(INDEX('Vendor COIs'!$M$4:$M$503,(_calc!$E$279-500)))=0,"",INDEX('Vendor COIs'!$M$4:$M$503,(_calc!$E$279-500))))=0,"","Vendor contact: "&amp;IF(LEN(INDEX('Vendor COIs'!$M$4:$M$503,(_calc!$E$279-500)))=0,"",INDEX('Vendor COIs'!$M$4:$M$503,(_calc!$E$279-500)))&amp;". ")&amp;IF(LEN(IF(LEN(INDEX('Vendor COIs'!$P$4:$P$503,(_calc!$E$279-500)))=0,"",INDEX('Vendor COIs'!$P$4:$P$503,(_calc!$E$279-500))))=0,"",IF(LEN(INDEX('Vendor COIs'!$P$4:$P$503,(_calc!$E$279-500)))=0,"",INDEX('Vendor COIs'!$P$4:$P$503,(_calc!$E$279-500)))))))</f>
        <v/>
      </c>
      <c r="G277" s="46">
        <f>IF(_calc!$E$279="","",IF(_calc!$E$279&lt;=500,IF(LEN(INDEX('Our policies'!$R$4:$R$503,_calc!$E$279))=0,"",INDEX('Our policies'!$R$4:$R$503,_calc!$E$279)),IF(LEN(INDEX('Vendor COIs'!$O$4:$O$503,(_calc!$E$279-500)))=0,"",INDEX('Vendor COIs'!$O$4:$O$503,(_calc!$E$279-500)))))</f>
        <v/>
      </c>
      <c r="H277" s="46">
        <f>IF(_calc!$E$279="","",IF(_calc!$E$279&lt;=500,IF(LEN(INDEX('Our policies'!$G$4:$G$503,_calc!$E$279))=0,"",INDEX('Our policies'!$G$4:$G$503,_calc!$E$279)),""))</f>
        <v/>
      </c>
      <c r="I277" s="46">
        <f>IF(_calc!$E$279="","",IF(_calc!$E$279&lt;=500,IF(LEN(INDEX('Our policies'!$H$4:$H$503,_calc!$E$279))=0,"",INDEX('Our policies'!$H$4:$H$503,_calc!$E$279)),""))</f>
        <v/>
      </c>
      <c r="K277" s="46">
        <f>IF(_calc!$E$279="","",IF(_calc!$E$279&lt;=500,IF(LEN(INDEX('Our policies'!$P$4:$P$503,_calc!$E$279))=0,"",INDEX('Our policies'!$P$4:$P$503,_calc!$E$279)),IF(LEN(INDEX('Vendor COIs'!$N$4:$N$503,(_calc!$E$279-500)))=0,"",INDEX('Vendor COIs'!$N$4:$N$503,(_calc!$E$279-500)))))</f>
        <v/>
      </c>
    </row>
    <row r="278">
      <c r="A278" s="46">
        <f>IF(_calc!$E$280="","",IF(_calc!$E$280&lt;=500,IF(LEN(INDEX('Our policies'!$A$4:$A$503,_calc!$E$280))=0,"",INDEX('Our policies'!$A$4:$A$503,_calc!$E$280)),"COI – "&amp;IF(LEN(INDEX('Vendor COIs'!$A$4:$A$503,(_calc!$E$280-500)))=0,"",INDEX('Vendor COIs'!$A$4:$A$503,(_calc!$E$280-500)))&amp;" – "&amp;IF(LEN(INDEX('Vendor COIs'!$B$4:$B$503,(_calc!$E$280-500)))=0,"",INDEX('Vendor COIs'!$B$4:$B$503,(_calc!$E$280-500)))))</f>
        <v/>
      </c>
      <c r="B278" s="46">
        <f>IF(_calc!$E$280="","",IF(_calc!$E$280&lt;=500,IF(ISNUMBER(INDEX('Our policies'!$J$4:$J$503,_calc!$E$280)),TEXT(INDEX('Our policies'!$J$4:$J$503,_calc!$E$280),"yyyy-mm-dd"),""),IF(ISNUMBER(INDEX('Vendor COIs'!$H$4:$H$503,(_calc!$E$280-500))),TEXT(INDEX('Vendor COIs'!$H$4:$H$503,(_calc!$E$280-500)),"yyyy-mm-dd"),"")))</f>
        <v/>
      </c>
      <c r="C278" s="46">
        <f>IF(_calc!$E$280="","",IF(_calc!$E$280&lt;=500,"Insurance","Certificate of insurance"))</f>
        <v/>
      </c>
      <c r="D278" s="46">
        <f>IF(_calc!$E$280="","",IF(_calc!$E$280&lt;=500,IF(ISNUMBER(INDEX('Our policies'!$I$4:$I$503,_calc!$E$280)),TEXT(INDEX('Our policies'!$I$4:$I$503,_calc!$E$280),"yyyy-mm-dd"),""),""))</f>
        <v/>
      </c>
      <c r="E278" s="46">
        <f>IF(_calc!$E$280="","",IF(_calc!$E$280&lt;=500,IF(LEN(INDEX('Our policies'!$Q$4:$Q$503,_calc!$E$280))=0,"",INDEX('Our policies'!$Q$4:$Q$503,_calc!$E$280)),"Medium"))</f>
        <v/>
      </c>
      <c r="F278" s="46">
        <f>IF(_calc!$E$280="","",IF(_calc!$E$280&lt;=500,TRIM(IF(LEN(IF(LEN(INDEX('Our policies'!$B$4:$B$503,_calc!$E$280))=0,"",INDEX('Our policies'!$B$4:$B$503,_calc!$E$280)))=0,"","Cover: "&amp;IF(LEN(INDEX('Our policies'!$B$4:$B$503,_calc!$E$280))=0,"",INDEX('Our policies'!$B$4:$B$503,_calc!$E$280))&amp;". ")&amp;IF(LEN(IF(LEN(INDEX('Our policies'!$C$4:$C$503,_calc!$E$280))=0,"",INDEX('Our policies'!$C$4:$C$503,_calc!$E$280)))=0,"","Insurer: "&amp;IF(LEN(INDEX('Our policies'!$C$4:$C$503,_calc!$E$280))=0,"",INDEX('Our policies'!$C$4:$C$503,_calc!$E$280))&amp;". ")&amp;IF(LEN(IF(LEN(INDEX('Our policies'!$D$4:$D$503,_calc!$E$280))=0,"",INDEX('Our policies'!$D$4:$D$503,_calc!$E$280)))=0,"","Broker: "&amp;IF(LEN(INDEX('Our policies'!$D$4:$D$503,_calc!$E$280))=0,"",INDEX('Our policies'!$D$4:$D$503,_calc!$E$280))&amp;". ")&amp;IF(LEN(IF(LEN(INDEX('Our policies'!$E$4:$E$503,_calc!$E$280))=0,"",INDEX('Our policies'!$E$4:$E$503,_calc!$E$280)))=0,"","Policy no.: "&amp;IF(LEN(INDEX('Our policies'!$E$4:$E$503,_calc!$E$280))=0,"",INDEX('Our policies'!$E$4:$E$503,_calc!$E$280))&amp;". ")&amp;IF(LEN(IF(LEN(INDEX('Our policies'!$S$4:$S$503,_calc!$E$280))=0,"",INDEX('Our policies'!$S$4:$S$503,_calc!$E$280)))=0,"",IF(LEN(INDEX('Our policies'!$S$4:$S$503,_calc!$E$280))=0,"",INDEX('Our policies'!$S$4:$S$503,_calc!$E$280)))),TRIM(IF(LEN(IF(LEN(INDEX('Vendor COIs'!$C$4:$C$503,(_calc!$E$280-500)))=0,"",INDEX('Vendor COIs'!$C$4:$C$503,(_calc!$E$280-500))))=0,"","Insurer: "&amp;IF(LEN(INDEX('Vendor COIs'!$C$4:$C$503,(_calc!$E$280-500)))=0,"",INDEX('Vendor COIs'!$C$4:$C$503,(_calc!$E$280-500)))&amp;". ")&amp;IF(LEN(IF(LEN(INDEX('Vendor COIs'!$D$4:$D$503,(_calc!$E$280-500)))=0,"",INDEX('Vendor COIs'!$D$4:$D$503,(_calc!$E$280-500))))=0,"","Policy no.: "&amp;IF(LEN(INDEX('Vendor COIs'!$D$4:$D$503,(_calc!$E$280-500)))=0,"",INDEX('Vendor COIs'!$D$4:$D$503,(_calc!$E$280-500)))&amp;". ")&amp;IF(LEN(IF(LEN(INDEX('Vendor COIs'!$F$4:$F$503,(_calc!$E$280-500)))=0,"",INDEX('Vendor COIs'!$F$4:$F$503,(_calc!$E$280-500))))=0,"","Meets minimum: "&amp;IF(LEN(INDEX('Vendor COIs'!$F$4:$F$503,(_calc!$E$280-500)))=0,"",INDEX('Vendor COIs'!$F$4:$F$503,(_calc!$E$280-500)))&amp;". ")&amp;IF(LEN(IF(LEN(INDEX('Vendor COIs'!$G$4:$G$503,(_calc!$E$280-500)))=0,"",INDEX('Vendor COIs'!$G$4:$G$503,(_calc!$E$280-500))))=0,"","Additional insured: "&amp;IF(LEN(INDEX('Vendor COIs'!$G$4:$G$503,(_calc!$E$280-500)))=0,"",INDEX('Vendor COIs'!$G$4:$G$503,(_calc!$E$280-500)))&amp;". ")&amp;IF(LEN(IF(LEN(INDEX('Vendor COIs'!$M$4:$M$503,(_calc!$E$280-500)))=0,"",INDEX('Vendor COIs'!$M$4:$M$503,(_calc!$E$280-500))))=0,"","Vendor contact: "&amp;IF(LEN(INDEX('Vendor COIs'!$M$4:$M$503,(_calc!$E$280-500)))=0,"",INDEX('Vendor COIs'!$M$4:$M$503,(_calc!$E$280-500)))&amp;". ")&amp;IF(LEN(IF(LEN(INDEX('Vendor COIs'!$P$4:$P$503,(_calc!$E$280-500)))=0,"",INDEX('Vendor COIs'!$P$4:$P$503,(_calc!$E$280-500))))=0,"",IF(LEN(INDEX('Vendor COIs'!$P$4:$P$503,(_calc!$E$280-500)))=0,"",INDEX('Vendor COIs'!$P$4:$P$503,(_calc!$E$280-500)))))))</f>
        <v/>
      </c>
      <c r="G278" s="46">
        <f>IF(_calc!$E$280="","",IF(_calc!$E$280&lt;=500,IF(LEN(INDEX('Our policies'!$R$4:$R$503,_calc!$E$280))=0,"",INDEX('Our policies'!$R$4:$R$503,_calc!$E$280)),IF(LEN(INDEX('Vendor COIs'!$O$4:$O$503,(_calc!$E$280-500)))=0,"",INDEX('Vendor COIs'!$O$4:$O$503,(_calc!$E$280-500)))))</f>
        <v/>
      </c>
      <c r="H278" s="46">
        <f>IF(_calc!$E$280="","",IF(_calc!$E$280&lt;=500,IF(LEN(INDEX('Our policies'!$G$4:$G$503,_calc!$E$280))=0,"",INDEX('Our policies'!$G$4:$G$503,_calc!$E$280)),""))</f>
        <v/>
      </c>
      <c r="I278" s="46">
        <f>IF(_calc!$E$280="","",IF(_calc!$E$280&lt;=500,IF(LEN(INDEX('Our policies'!$H$4:$H$503,_calc!$E$280))=0,"",INDEX('Our policies'!$H$4:$H$503,_calc!$E$280)),""))</f>
        <v/>
      </c>
      <c r="K278" s="46">
        <f>IF(_calc!$E$280="","",IF(_calc!$E$280&lt;=500,IF(LEN(INDEX('Our policies'!$P$4:$P$503,_calc!$E$280))=0,"",INDEX('Our policies'!$P$4:$P$503,_calc!$E$280)),IF(LEN(INDEX('Vendor COIs'!$N$4:$N$503,(_calc!$E$280-500)))=0,"",INDEX('Vendor COIs'!$N$4:$N$503,(_calc!$E$280-500)))))</f>
        <v/>
      </c>
    </row>
    <row r="279">
      <c r="A279" s="46">
        <f>IF(_calc!$E$281="","",IF(_calc!$E$281&lt;=500,IF(LEN(INDEX('Our policies'!$A$4:$A$503,_calc!$E$281))=0,"",INDEX('Our policies'!$A$4:$A$503,_calc!$E$281)),"COI – "&amp;IF(LEN(INDEX('Vendor COIs'!$A$4:$A$503,(_calc!$E$281-500)))=0,"",INDEX('Vendor COIs'!$A$4:$A$503,(_calc!$E$281-500)))&amp;" – "&amp;IF(LEN(INDEX('Vendor COIs'!$B$4:$B$503,(_calc!$E$281-500)))=0,"",INDEX('Vendor COIs'!$B$4:$B$503,(_calc!$E$281-500)))))</f>
        <v/>
      </c>
      <c r="B279" s="46">
        <f>IF(_calc!$E$281="","",IF(_calc!$E$281&lt;=500,IF(ISNUMBER(INDEX('Our policies'!$J$4:$J$503,_calc!$E$281)),TEXT(INDEX('Our policies'!$J$4:$J$503,_calc!$E$281),"yyyy-mm-dd"),""),IF(ISNUMBER(INDEX('Vendor COIs'!$H$4:$H$503,(_calc!$E$281-500))),TEXT(INDEX('Vendor COIs'!$H$4:$H$503,(_calc!$E$281-500)),"yyyy-mm-dd"),"")))</f>
        <v/>
      </c>
      <c r="C279" s="46">
        <f>IF(_calc!$E$281="","",IF(_calc!$E$281&lt;=500,"Insurance","Certificate of insurance"))</f>
        <v/>
      </c>
      <c r="D279" s="46">
        <f>IF(_calc!$E$281="","",IF(_calc!$E$281&lt;=500,IF(ISNUMBER(INDEX('Our policies'!$I$4:$I$503,_calc!$E$281)),TEXT(INDEX('Our policies'!$I$4:$I$503,_calc!$E$281),"yyyy-mm-dd"),""),""))</f>
        <v/>
      </c>
      <c r="E279" s="46">
        <f>IF(_calc!$E$281="","",IF(_calc!$E$281&lt;=500,IF(LEN(INDEX('Our policies'!$Q$4:$Q$503,_calc!$E$281))=0,"",INDEX('Our policies'!$Q$4:$Q$503,_calc!$E$281)),"Medium"))</f>
        <v/>
      </c>
      <c r="F279" s="46">
        <f>IF(_calc!$E$281="","",IF(_calc!$E$281&lt;=500,TRIM(IF(LEN(IF(LEN(INDEX('Our policies'!$B$4:$B$503,_calc!$E$281))=0,"",INDEX('Our policies'!$B$4:$B$503,_calc!$E$281)))=0,"","Cover: "&amp;IF(LEN(INDEX('Our policies'!$B$4:$B$503,_calc!$E$281))=0,"",INDEX('Our policies'!$B$4:$B$503,_calc!$E$281))&amp;". ")&amp;IF(LEN(IF(LEN(INDEX('Our policies'!$C$4:$C$503,_calc!$E$281))=0,"",INDEX('Our policies'!$C$4:$C$503,_calc!$E$281)))=0,"","Insurer: "&amp;IF(LEN(INDEX('Our policies'!$C$4:$C$503,_calc!$E$281))=0,"",INDEX('Our policies'!$C$4:$C$503,_calc!$E$281))&amp;". ")&amp;IF(LEN(IF(LEN(INDEX('Our policies'!$D$4:$D$503,_calc!$E$281))=0,"",INDEX('Our policies'!$D$4:$D$503,_calc!$E$281)))=0,"","Broker: "&amp;IF(LEN(INDEX('Our policies'!$D$4:$D$503,_calc!$E$281))=0,"",INDEX('Our policies'!$D$4:$D$503,_calc!$E$281))&amp;". ")&amp;IF(LEN(IF(LEN(INDEX('Our policies'!$E$4:$E$503,_calc!$E$281))=0,"",INDEX('Our policies'!$E$4:$E$503,_calc!$E$281)))=0,"","Policy no.: "&amp;IF(LEN(INDEX('Our policies'!$E$4:$E$503,_calc!$E$281))=0,"",INDEX('Our policies'!$E$4:$E$503,_calc!$E$281))&amp;". ")&amp;IF(LEN(IF(LEN(INDEX('Our policies'!$S$4:$S$503,_calc!$E$281))=0,"",INDEX('Our policies'!$S$4:$S$503,_calc!$E$281)))=0,"",IF(LEN(INDEX('Our policies'!$S$4:$S$503,_calc!$E$281))=0,"",INDEX('Our policies'!$S$4:$S$503,_calc!$E$281)))),TRIM(IF(LEN(IF(LEN(INDEX('Vendor COIs'!$C$4:$C$503,(_calc!$E$281-500)))=0,"",INDEX('Vendor COIs'!$C$4:$C$503,(_calc!$E$281-500))))=0,"","Insurer: "&amp;IF(LEN(INDEX('Vendor COIs'!$C$4:$C$503,(_calc!$E$281-500)))=0,"",INDEX('Vendor COIs'!$C$4:$C$503,(_calc!$E$281-500)))&amp;". ")&amp;IF(LEN(IF(LEN(INDEX('Vendor COIs'!$D$4:$D$503,(_calc!$E$281-500)))=0,"",INDEX('Vendor COIs'!$D$4:$D$503,(_calc!$E$281-500))))=0,"","Policy no.: "&amp;IF(LEN(INDEX('Vendor COIs'!$D$4:$D$503,(_calc!$E$281-500)))=0,"",INDEX('Vendor COIs'!$D$4:$D$503,(_calc!$E$281-500)))&amp;". ")&amp;IF(LEN(IF(LEN(INDEX('Vendor COIs'!$F$4:$F$503,(_calc!$E$281-500)))=0,"",INDEX('Vendor COIs'!$F$4:$F$503,(_calc!$E$281-500))))=0,"","Meets minimum: "&amp;IF(LEN(INDEX('Vendor COIs'!$F$4:$F$503,(_calc!$E$281-500)))=0,"",INDEX('Vendor COIs'!$F$4:$F$503,(_calc!$E$281-500)))&amp;". ")&amp;IF(LEN(IF(LEN(INDEX('Vendor COIs'!$G$4:$G$503,(_calc!$E$281-500)))=0,"",INDEX('Vendor COIs'!$G$4:$G$503,(_calc!$E$281-500))))=0,"","Additional insured: "&amp;IF(LEN(INDEX('Vendor COIs'!$G$4:$G$503,(_calc!$E$281-500)))=0,"",INDEX('Vendor COIs'!$G$4:$G$503,(_calc!$E$281-500)))&amp;". ")&amp;IF(LEN(IF(LEN(INDEX('Vendor COIs'!$M$4:$M$503,(_calc!$E$281-500)))=0,"",INDEX('Vendor COIs'!$M$4:$M$503,(_calc!$E$281-500))))=0,"","Vendor contact: "&amp;IF(LEN(INDEX('Vendor COIs'!$M$4:$M$503,(_calc!$E$281-500)))=0,"",INDEX('Vendor COIs'!$M$4:$M$503,(_calc!$E$281-500)))&amp;". ")&amp;IF(LEN(IF(LEN(INDEX('Vendor COIs'!$P$4:$P$503,(_calc!$E$281-500)))=0,"",INDEX('Vendor COIs'!$P$4:$P$503,(_calc!$E$281-500))))=0,"",IF(LEN(INDEX('Vendor COIs'!$P$4:$P$503,(_calc!$E$281-500)))=0,"",INDEX('Vendor COIs'!$P$4:$P$503,(_calc!$E$281-500)))))))</f>
        <v/>
      </c>
      <c r="G279" s="46">
        <f>IF(_calc!$E$281="","",IF(_calc!$E$281&lt;=500,IF(LEN(INDEX('Our policies'!$R$4:$R$503,_calc!$E$281))=0,"",INDEX('Our policies'!$R$4:$R$503,_calc!$E$281)),IF(LEN(INDEX('Vendor COIs'!$O$4:$O$503,(_calc!$E$281-500)))=0,"",INDEX('Vendor COIs'!$O$4:$O$503,(_calc!$E$281-500)))))</f>
        <v/>
      </c>
      <c r="H279" s="46">
        <f>IF(_calc!$E$281="","",IF(_calc!$E$281&lt;=500,IF(LEN(INDEX('Our policies'!$G$4:$G$503,_calc!$E$281))=0,"",INDEX('Our policies'!$G$4:$G$503,_calc!$E$281)),""))</f>
        <v/>
      </c>
      <c r="I279" s="46">
        <f>IF(_calc!$E$281="","",IF(_calc!$E$281&lt;=500,IF(LEN(INDEX('Our policies'!$H$4:$H$503,_calc!$E$281))=0,"",INDEX('Our policies'!$H$4:$H$503,_calc!$E$281)),""))</f>
        <v/>
      </c>
      <c r="K279" s="46">
        <f>IF(_calc!$E$281="","",IF(_calc!$E$281&lt;=500,IF(LEN(INDEX('Our policies'!$P$4:$P$503,_calc!$E$281))=0,"",INDEX('Our policies'!$P$4:$P$503,_calc!$E$281)),IF(LEN(INDEX('Vendor COIs'!$N$4:$N$503,(_calc!$E$281-500)))=0,"",INDEX('Vendor COIs'!$N$4:$N$503,(_calc!$E$281-500)))))</f>
        <v/>
      </c>
    </row>
    <row r="280">
      <c r="A280" s="46">
        <f>IF(_calc!$E$282="","",IF(_calc!$E$282&lt;=500,IF(LEN(INDEX('Our policies'!$A$4:$A$503,_calc!$E$282))=0,"",INDEX('Our policies'!$A$4:$A$503,_calc!$E$282)),"COI – "&amp;IF(LEN(INDEX('Vendor COIs'!$A$4:$A$503,(_calc!$E$282-500)))=0,"",INDEX('Vendor COIs'!$A$4:$A$503,(_calc!$E$282-500)))&amp;" – "&amp;IF(LEN(INDEX('Vendor COIs'!$B$4:$B$503,(_calc!$E$282-500)))=0,"",INDEX('Vendor COIs'!$B$4:$B$503,(_calc!$E$282-500)))))</f>
        <v/>
      </c>
      <c r="B280" s="46">
        <f>IF(_calc!$E$282="","",IF(_calc!$E$282&lt;=500,IF(ISNUMBER(INDEX('Our policies'!$J$4:$J$503,_calc!$E$282)),TEXT(INDEX('Our policies'!$J$4:$J$503,_calc!$E$282),"yyyy-mm-dd"),""),IF(ISNUMBER(INDEX('Vendor COIs'!$H$4:$H$503,(_calc!$E$282-500))),TEXT(INDEX('Vendor COIs'!$H$4:$H$503,(_calc!$E$282-500)),"yyyy-mm-dd"),"")))</f>
        <v/>
      </c>
      <c r="C280" s="46">
        <f>IF(_calc!$E$282="","",IF(_calc!$E$282&lt;=500,"Insurance","Certificate of insurance"))</f>
        <v/>
      </c>
      <c r="D280" s="46">
        <f>IF(_calc!$E$282="","",IF(_calc!$E$282&lt;=500,IF(ISNUMBER(INDEX('Our policies'!$I$4:$I$503,_calc!$E$282)),TEXT(INDEX('Our policies'!$I$4:$I$503,_calc!$E$282),"yyyy-mm-dd"),""),""))</f>
        <v/>
      </c>
      <c r="E280" s="46">
        <f>IF(_calc!$E$282="","",IF(_calc!$E$282&lt;=500,IF(LEN(INDEX('Our policies'!$Q$4:$Q$503,_calc!$E$282))=0,"",INDEX('Our policies'!$Q$4:$Q$503,_calc!$E$282)),"Medium"))</f>
        <v/>
      </c>
      <c r="F280" s="46">
        <f>IF(_calc!$E$282="","",IF(_calc!$E$282&lt;=500,TRIM(IF(LEN(IF(LEN(INDEX('Our policies'!$B$4:$B$503,_calc!$E$282))=0,"",INDEX('Our policies'!$B$4:$B$503,_calc!$E$282)))=0,"","Cover: "&amp;IF(LEN(INDEX('Our policies'!$B$4:$B$503,_calc!$E$282))=0,"",INDEX('Our policies'!$B$4:$B$503,_calc!$E$282))&amp;". ")&amp;IF(LEN(IF(LEN(INDEX('Our policies'!$C$4:$C$503,_calc!$E$282))=0,"",INDEX('Our policies'!$C$4:$C$503,_calc!$E$282)))=0,"","Insurer: "&amp;IF(LEN(INDEX('Our policies'!$C$4:$C$503,_calc!$E$282))=0,"",INDEX('Our policies'!$C$4:$C$503,_calc!$E$282))&amp;". ")&amp;IF(LEN(IF(LEN(INDEX('Our policies'!$D$4:$D$503,_calc!$E$282))=0,"",INDEX('Our policies'!$D$4:$D$503,_calc!$E$282)))=0,"","Broker: "&amp;IF(LEN(INDEX('Our policies'!$D$4:$D$503,_calc!$E$282))=0,"",INDEX('Our policies'!$D$4:$D$503,_calc!$E$282))&amp;". ")&amp;IF(LEN(IF(LEN(INDEX('Our policies'!$E$4:$E$503,_calc!$E$282))=0,"",INDEX('Our policies'!$E$4:$E$503,_calc!$E$282)))=0,"","Policy no.: "&amp;IF(LEN(INDEX('Our policies'!$E$4:$E$503,_calc!$E$282))=0,"",INDEX('Our policies'!$E$4:$E$503,_calc!$E$282))&amp;". ")&amp;IF(LEN(IF(LEN(INDEX('Our policies'!$S$4:$S$503,_calc!$E$282))=0,"",INDEX('Our policies'!$S$4:$S$503,_calc!$E$282)))=0,"",IF(LEN(INDEX('Our policies'!$S$4:$S$503,_calc!$E$282))=0,"",INDEX('Our policies'!$S$4:$S$503,_calc!$E$282)))),TRIM(IF(LEN(IF(LEN(INDEX('Vendor COIs'!$C$4:$C$503,(_calc!$E$282-500)))=0,"",INDEX('Vendor COIs'!$C$4:$C$503,(_calc!$E$282-500))))=0,"","Insurer: "&amp;IF(LEN(INDEX('Vendor COIs'!$C$4:$C$503,(_calc!$E$282-500)))=0,"",INDEX('Vendor COIs'!$C$4:$C$503,(_calc!$E$282-500)))&amp;". ")&amp;IF(LEN(IF(LEN(INDEX('Vendor COIs'!$D$4:$D$503,(_calc!$E$282-500)))=0,"",INDEX('Vendor COIs'!$D$4:$D$503,(_calc!$E$282-500))))=0,"","Policy no.: "&amp;IF(LEN(INDEX('Vendor COIs'!$D$4:$D$503,(_calc!$E$282-500)))=0,"",INDEX('Vendor COIs'!$D$4:$D$503,(_calc!$E$282-500)))&amp;". ")&amp;IF(LEN(IF(LEN(INDEX('Vendor COIs'!$F$4:$F$503,(_calc!$E$282-500)))=0,"",INDEX('Vendor COIs'!$F$4:$F$503,(_calc!$E$282-500))))=0,"","Meets minimum: "&amp;IF(LEN(INDEX('Vendor COIs'!$F$4:$F$503,(_calc!$E$282-500)))=0,"",INDEX('Vendor COIs'!$F$4:$F$503,(_calc!$E$282-500)))&amp;". ")&amp;IF(LEN(IF(LEN(INDEX('Vendor COIs'!$G$4:$G$503,(_calc!$E$282-500)))=0,"",INDEX('Vendor COIs'!$G$4:$G$503,(_calc!$E$282-500))))=0,"","Additional insured: "&amp;IF(LEN(INDEX('Vendor COIs'!$G$4:$G$503,(_calc!$E$282-500)))=0,"",INDEX('Vendor COIs'!$G$4:$G$503,(_calc!$E$282-500)))&amp;". ")&amp;IF(LEN(IF(LEN(INDEX('Vendor COIs'!$M$4:$M$503,(_calc!$E$282-500)))=0,"",INDEX('Vendor COIs'!$M$4:$M$503,(_calc!$E$282-500))))=0,"","Vendor contact: "&amp;IF(LEN(INDEX('Vendor COIs'!$M$4:$M$503,(_calc!$E$282-500)))=0,"",INDEX('Vendor COIs'!$M$4:$M$503,(_calc!$E$282-500)))&amp;". ")&amp;IF(LEN(IF(LEN(INDEX('Vendor COIs'!$P$4:$P$503,(_calc!$E$282-500)))=0,"",INDEX('Vendor COIs'!$P$4:$P$503,(_calc!$E$282-500))))=0,"",IF(LEN(INDEX('Vendor COIs'!$P$4:$P$503,(_calc!$E$282-500)))=0,"",INDEX('Vendor COIs'!$P$4:$P$503,(_calc!$E$282-500)))))))</f>
        <v/>
      </c>
      <c r="G280" s="46">
        <f>IF(_calc!$E$282="","",IF(_calc!$E$282&lt;=500,IF(LEN(INDEX('Our policies'!$R$4:$R$503,_calc!$E$282))=0,"",INDEX('Our policies'!$R$4:$R$503,_calc!$E$282)),IF(LEN(INDEX('Vendor COIs'!$O$4:$O$503,(_calc!$E$282-500)))=0,"",INDEX('Vendor COIs'!$O$4:$O$503,(_calc!$E$282-500)))))</f>
        <v/>
      </c>
      <c r="H280" s="46">
        <f>IF(_calc!$E$282="","",IF(_calc!$E$282&lt;=500,IF(LEN(INDEX('Our policies'!$G$4:$G$503,_calc!$E$282))=0,"",INDEX('Our policies'!$G$4:$G$503,_calc!$E$282)),""))</f>
        <v/>
      </c>
      <c r="I280" s="46">
        <f>IF(_calc!$E$282="","",IF(_calc!$E$282&lt;=500,IF(LEN(INDEX('Our policies'!$H$4:$H$503,_calc!$E$282))=0,"",INDEX('Our policies'!$H$4:$H$503,_calc!$E$282)),""))</f>
        <v/>
      </c>
      <c r="K280" s="46">
        <f>IF(_calc!$E$282="","",IF(_calc!$E$282&lt;=500,IF(LEN(INDEX('Our policies'!$P$4:$P$503,_calc!$E$282))=0,"",INDEX('Our policies'!$P$4:$P$503,_calc!$E$282)),IF(LEN(INDEX('Vendor COIs'!$N$4:$N$503,(_calc!$E$282-500)))=0,"",INDEX('Vendor COIs'!$N$4:$N$503,(_calc!$E$282-500)))))</f>
        <v/>
      </c>
    </row>
    <row r="281">
      <c r="A281" s="46">
        <f>IF(_calc!$E$283="","",IF(_calc!$E$283&lt;=500,IF(LEN(INDEX('Our policies'!$A$4:$A$503,_calc!$E$283))=0,"",INDEX('Our policies'!$A$4:$A$503,_calc!$E$283)),"COI – "&amp;IF(LEN(INDEX('Vendor COIs'!$A$4:$A$503,(_calc!$E$283-500)))=0,"",INDEX('Vendor COIs'!$A$4:$A$503,(_calc!$E$283-500)))&amp;" – "&amp;IF(LEN(INDEX('Vendor COIs'!$B$4:$B$503,(_calc!$E$283-500)))=0,"",INDEX('Vendor COIs'!$B$4:$B$503,(_calc!$E$283-500)))))</f>
        <v/>
      </c>
      <c r="B281" s="46">
        <f>IF(_calc!$E$283="","",IF(_calc!$E$283&lt;=500,IF(ISNUMBER(INDEX('Our policies'!$J$4:$J$503,_calc!$E$283)),TEXT(INDEX('Our policies'!$J$4:$J$503,_calc!$E$283),"yyyy-mm-dd"),""),IF(ISNUMBER(INDEX('Vendor COIs'!$H$4:$H$503,(_calc!$E$283-500))),TEXT(INDEX('Vendor COIs'!$H$4:$H$503,(_calc!$E$283-500)),"yyyy-mm-dd"),"")))</f>
        <v/>
      </c>
      <c r="C281" s="46">
        <f>IF(_calc!$E$283="","",IF(_calc!$E$283&lt;=500,"Insurance","Certificate of insurance"))</f>
        <v/>
      </c>
      <c r="D281" s="46">
        <f>IF(_calc!$E$283="","",IF(_calc!$E$283&lt;=500,IF(ISNUMBER(INDEX('Our policies'!$I$4:$I$503,_calc!$E$283)),TEXT(INDEX('Our policies'!$I$4:$I$503,_calc!$E$283),"yyyy-mm-dd"),""),""))</f>
        <v/>
      </c>
      <c r="E281" s="46">
        <f>IF(_calc!$E$283="","",IF(_calc!$E$283&lt;=500,IF(LEN(INDEX('Our policies'!$Q$4:$Q$503,_calc!$E$283))=0,"",INDEX('Our policies'!$Q$4:$Q$503,_calc!$E$283)),"Medium"))</f>
        <v/>
      </c>
      <c r="F281" s="46">
        <f>IF(_calc!$E$283="","",IF(_calc!$E$283&lt;=500,TRIM(IF(LEN(IF(LEN(INDEX('Our policies'!$B$4:$B$503,_calc!$E$283))=0,"",INDEX('Our policies'!$B$4:$B$503,_calc!$E$283)))=0,"","Cover: "&amp;IF(LEN(INDEX('Our policies'!$B$4:$B$503,_calc!$E$283))=0,"",INDEX('Our policies'!$B$4:$B$503,_calc!$E$283))&amp;". ")&amp;IF(LEN(IF(LEN(INDEX('Our policies'!$C$4:$C$503,_calc!$E$283))=0,"",INDEX('Our policies'!$C$4:$C$503,_calc!$E$283)))=0,"","Insurer: "&amp;IF(LEN(INDEX('Our policies'!$C$4:$C$503,_calc!$E$283))=0,"",INDEX('Our policies'!$C$4:$C$503,_calc!$E$283))&amp;". ")&amp;IF(LEN(IF(LEN(INDEX('Our policies'!$D$4:$D$503,_calc!$E$283))=0,"",INDEX('Our policies'!$D$4:$D$503,_calc!$E$283)))=0,"","Broker: "&amp;IF(LEN(INDEX('Our policies'!$D$4:$D$503,_calc!$E$283))=0,"",INDEX('Our policies'!$D$4:$D$503,_calc!$E$283))&amp;". ")&amp;IF(LEN(IF(LEN(INDEX('Our policies'!$E$4:$E$503,_calc!$E$283))=0,"",INDEX('Our policies'!$E$4:$E$503,_calc!$E$283)))=0,"","Policy no.: "&amp;IF(LEN(INDEX('Our policies'!$E$4:$E$503,_calc!$E$283))=0,"",INDEX('Our policies'!$E$4:$E$503,_calc!$E$283))&amp;". ")&amp;IF(LEN(IF(LEN(INDEX('Our policies'!$S$4:$S$503,_calc!$E$283))=0,"",INDEX('Our policies'!$S$4:$S$503,_calc!$E$283)))=0,"",IF(LEN(INDEX('Our policies'!$S$4:$S$503,_calc!$E$283))=0,"",INDEX('Our policies'!$S$4:$S$503,_calc!$E$283)))),TRIM(IF(LEN(IF(LEN(INDEX('Vendor COIs'!$C$4:$C$503,(_calc!$E$283-500)))=0,"",INDEX('Vendor COIs'!$C$4:$C$503,(_calc!$E$283-500))))=0,"","Insurer: "&amp;IF(LEN(INDEX('Vendor COIs'!$C$4:$C$503,(_calc!$E$283-500)))=0,"",INDEX('Vendor COIs'!$C$4:$C$503,(_calc!$E$283-500)))&amp;". ")&amp;IF(LEN(IF(LEN(INDEX('Vendor COIs'!$D$4:$D$503,(_calc!$E$283-500)))=0,"",INDEX('Vendor COIs'!$D$4:$D$503,(_calc!$E$283-500))))=0,"","Policy no.: "&amp;IF(LEN(INDEX('Vendor COIs'!$D$4:$D$503,(_calc!$E$283-500)))=0,"",INDEX('Vendor COIs'!$D$4:$D$503,(_calc!$E$283-500)))&amp;". ")&amp;IF(LEN(IF(LEN(INDEX('Vendor COIs'!$F$4:$F$503,(_calc!$E$283-500)))=0,"",INDEX('Vendor COIs'!$F$4:$F$503,(_calc!$E$283-500))))=0,"","Meets minimum: "&amp;IF(LEN(INDEX('Vendor COIs'!$F$4:$F$503,(_calc!$E$283-500)))=0,"",INDEX('Vendor COIs'!$F$4:$F$503,(_calc!$E$283-500)))&amp;". ")&amp;IF(LEN(IF(LEN(INDEX('Vendor COIs'!$G$4:$G$503,(_calc!$E$283-500)))=0,"",INDEX('Vendor COIs'!$G$4:$G$503,(_calc!$E$283-500))))=0,"","Additional insured: "&amp;IF(LEN(INDEX('Vendor COIs'!$G$4:$G$503,(_calc!$E$283-500)))=0,"",INDEX('Vendor COIs'!$G$4:$G$503,(_calc!$E$283-500)))&amp;". ")&amp;IF(LEN(IF(LEN(INDEX('Vendor COIs'!$M$4:$M$503,(_calc!$E$283-500)))=0,"",INDEX('Vendor COIs'!$M$4:$M$503,(_calc!$E$283-500))))=0,"","Vendor contact: "&amp;IF(LEN(INDEX('Vendor COIs'!$M$4:$M$503,(_calc!$E$283-500)))=0,"",INDEX('Vendor COIs'!$M$4:$M$503,(_calc!$E$283-500)))&amp;". ")&amp;IF(LEN(IF(LEN(INDEX('Vendor COIs'!$P$4:$P$503,(_calc!$E$283-500)))=0,"",INDEX('Vendor COIs'!$P$4:$P$503,(_calc!$E$283-500))))=0,"",IF(LEN(INDEX('Vendor COIs'!$P$4:$P$503,(_calc!$E$283-500)))=0,"",INDEX('Vendor COIs'!$P$4:$P$503,(_calc!$E$283-500)))))))</f>
        <v/>
      </c>
      <c r="G281" s="46">
        <f>IF(_calc!$E$283="","",IF(_calc!$E$283&lt;=500,IF(LEN(INDEX('Our policies'!$R$4:$R$503,_calc!$E$283))=0,"",INDEX('Our policies'!$R$4:$R$503,_calc!$E$283)),IF(LEN(INDEX('Vendor COIs'!$O$4:$O$503,(_calc!$E$283-500)))=0,"",INDEX('Vendor COIs'!$O$4:$O$503,(_calc!$E$283-500)))))</f>
        <v/>
      </c>
      <c r="H281" s="46">
        <f>IF(_calc!$E$283="","",IF(_calc!$E$283&lt;=500,IF(LEN(INDEX('Our policies'!$G$4:$G$503,_calc!$E$283))=0,"",INDEX('Our policies'!$G$4:$G$503,_calc!$E$283)),""))</f>
        <v/>
      </c>
      <c r="I281" s="46">
        <f>IF(_calc!$E$283="","",IF(_calc!$E$283&lt;=500,IF(LEN(INDEX('Our policies'!$H$4:$H$503,_calc!$E$283))=0,"",INDEX('Our policies'!$H$4:$H$503,_calc!$E$283)),""))</f>
        <v/>
      </c>
      <c r="K281" s="46">
        <f>IF(_calc!$E$283="","",IF(_calc!$E$283&lt;=500,IF(LEN(INDEX('Our policies'!$P$4:$P$503,_calc!$E$283))=0,"",INDEX('Our policies'!$P$4:$P$503,_calc!$E$283)),IF(LEN(INDEX('Vendor COIs'!$N$4:$N$503,(_calc!$E$283-500)))=0,"",INDEX('Vendor COIs'!$N$4:$N$503,(_calc!$E$283-500)))))</f>
        <v/>
      </c>
    </row>
    <row r="282">
      <c r="A282" s="46">
        <f>IF(_calc!$E$284="","",IF(_calc!$E$284&lt;=500,IF(LEN(INDEX('Our policies'!$A$4:$A$503,_calc!$E$284))=0,"",INDEX('Our policies'!$A$4:$A$503,_calc!$E$284)),"COI – "&amp;IF(LEN(INDEX('Vendor COIs'!$A$4:$A$503,(_calc!$E$284-500)))=0,"",INDEX('Vendor COIs'!$A$4:$A$503,(_calc!$E$284-500)))&amp;" – "&amp;IF(LEN(INDEX('Vendor COIs'!$B$4:$B$503,(_calc!$E$284-500)))=0,"",INDEX('Vendor COIs'!$B$4:$B$503,(_calc!$E$284-500)))))</f>
        <v/>
      </c>
      <c r="B282" s="46">
        <f>IF(_calc!$E$284="","",IF(_calc!$E$284&lt;=500,IF(ISNUMBER(INDEX('Our policies'!$J$4:$J$503,_calc!$E$284)),TEXT(INDEX('Our policies'!$J$4:$J$503,_calc!$E$284),"yyyy-mm-dd"),""),IF(ISNUMBER(INDEX('Vendor COIs'!$H$4:$H$503,(_calc!$E$284-500))),TEXT(INDEX('Vendor COIs'!$H$4:$H$503,(_calc!$E$284-500)),"yyyy-mm-dd"),"")))</f>
        <v/>
      </c>
      <c r="C282" s="46">
        <f>IF(_calc!$E$284="","",IF(_calc!$E$284&lt;=500,"Insurance","Certificate of insurance"))</f>
        <v/>
      </c>
      <c r="D282" s="46">
        <f>IF(_calc!$E$284="","",IF(_calc!$E$284&lt;=500,IF(ISNUMBER(INDEX('Our policies'!$I$4:$I$503,_calc!$E$284)),TEXT(INDEX('Our policies'!$I$4:$I$503,_calc!$E$284),"yyyy-mm-dd"),""),""))</f>
        <v/>
      </c>
      <c r="E282" s="46">
        <f>IF(_calc!$E$284="","",IF(_calc!$E$284&lt;=500,IF(LEN(INDEX('Our policies'!$Q$4:$Q$503,_calc!$E$284))=0,"",INDEX('Our policies'!$Q$4:$Q$503,_calc!$E$284)),"Medium"))</f>
        <v/>
      </c>
      <c r="F282" s="46">
        <f>IF(_calc!$E$284="","",IF(_calc!$E$284&lt;=500,TRIM(IF(LEN(IF(LEN(INDEX('Our policies'!$B$4:$B$503,_calc!$E$284))=0,"",INDEX('Our policies'!$B$4:$B$503,_calc!$E$284)))=0,"","Cover: "&amp;IF(LEN(INDEX('Our policies'!$B$4:$B$503,_calc!$E$284))=0,"",INDEX('Our policies'!$B$4:$B$503,_calc!$E$284))&amp;". ")&amp;IF(LEN(IF(LEN(INDEX('Our policies'!$C$4:$C$503,_calc!$E$284))=0,"",INDEX('Our policies'!$C$4:$C$503,_calc!$E$284)))=0,"","Insurer: "&amp;IF(LEN(INDEX('Our policies'!$C$4:$C$503,_calc!$E$284))=0,"",INDEX('Our policies'!$C$4:$C$503,_calc!$E$284))&amp;". ")&amp;IF(LEN(IF(LEN(INDEX('Our policies'!$D$4:$D$503,_calc!$E$284))=0,"",INDEX('Our policies'!$D$4:$D$503,_calc!$E$284)))=0,"","Broker: "&amp;IF(LEN(INDEX('Our policies'!$D$4:$D$503,_calc!$E$284))=0,"",INDEX('Our policies'!$D$4:$D$503,_calc!$E$284))&amp;". ")&amp;IF(LEN(IF(LEN(INDEX('Our policies'!$E$4:$E$503,_calc!$E$284))=0,"",INDEX('Our policies'!$E$4:$E$503,_calc!$E$284)))=0,"","Policy no.: "&amp;IF(LEN(INDEX('Our policies'!$E$4:$E$503,_calc!$E$284))=0,"",INDEX('Our policies'!$E$4:$E$503,_calc!$E$284))&amp;". ")&amp;IF(LEN(IF(LEN(INDEX('Our policies'!$S$4:$S$503,_calc!$E$284))=0,"",INDEX('Our policies'!$S$4:$S$503,_calc!$E$284)))=0,"",IF(LEN(INDEX('Our policies'!$S$4:$S$503,_calc!$E$284))=0,"",INDEX('Our policies'!$S$4:$S$503,_calc!$E$284)))),TRIM(IF(LEN(IF(LEN(INDEX('Vendor COIs'!$C$4:$C$503,(_calc!$E$284-500)))=0,"",INDEX('Vendor COIs'!$C$4:$C$503,(_calc!$E$284-500))))=0,"","Insurer: "&amp;IF(LEN(INDEX('Vendor COIs'!$C$4:$C$503,(_calc!$E$284-500)))=0,"",INDEX('Vendor COIs'!$C$4:$C$503,(_calc!$E$284-500)))&amp;". ")&amp;IF(LEN(IF(LEN(INDEX('Vendor COIs'!$D$4:$D$503,(_calc!$E$284-500)))=0,"",INDEX('Vendor COIs'!$D$4:$D$503,(_calc!$E$284-500))))=0,"","Policy no.: "&amp;IF(LEN(INDEX('Vendor COIs'!$D$4:$D$503,(_calc!$E$284-500)))=0,"",INDEX('Vendor COIs'!$D$4:$D$503,(_calc!$E$284-500)))&amp;". ")&amp;IF(LEN(IF(LEN(INDEX('Vendor COIs'!$F$4:$F$503,(_calc!$E$284-500)))=0,"",INDEX('Vendor COIs'!$F$4:$F$503,(_calc!$E$284-500))))=0,"","Meets minimum: "&amp;IF(LEN(INDEX('Vendor COIs'!$F$4:$F$503,(_calc!$E$284-500)))=0,"",INDEX('Vendor COIs'!$F$4:$F$503,(_calc!$E$284-500)))&amp;". ")&amp;IF(LEN(IF(LEN(INDEX('Vendor COIs'!$G$4:$G$503,(_calc!$E$284-500)))=0,"",INDEX('Vendor COIs'!$G$4:$G$503,(_calc!$E$284-500))))=0,"","Additional insured: "&amp;IF(LEN(INDEX('Vendor COIs'!$G$4:$G$503,(_calc!$E$284-500)))=0,"",INDEX('Vendor COIs'!$G$4:$G$503,(_calc!$E$284-500)))&amp;". ")&amp;IF(LEN(IF(LEN(INDEX('Vendor COIs'!$M$4:$M$503,(_calc!$E$284-500)))=0,"",INDEX('Vendor COIs'!$M$4:$M$503,(_calc!$E$284-500))))=0,"","Vendor contact: "&amp;IF(LEN(INDEX('Vendor COIs'!$M$4:$M$503,(_calc!$E$284-500)))=0,"",INDEX('Vendor COIs'!$M$4:$M$503,(_calc!$E$284-500)))&amp;". ")&amp;IF(LEN(IF(LEN(INDEX('Vendor COIs'!$P$4:$P$503,(_calc!$E$284-500)))=0,"",INDEX('Vendor COIs'!$P$4:$P$503,(_calc!$E$284-500))))=0,"",IF(LEN(INDEX('Vendor COIs'!$P$4:$P$503,(_calc!$E$284-500)))=0,"",INDEX('Vendor COIs'!$P$4:$P$503,(_calc!$E$284-500)))))))</f>
        <v/>
      </c>
      <c r="G282" s="46">
        <f>IF(_calc!$E$284="","",IF(_calc!$E$284&lt;=500,IF(LEN(INDEX('Our policies'!$R$4:$R$503,_calc!$E$284))=0,"",INDEX('Our policies'!$R$4:$R$503,_calc!$E$284)),IF(LEN(INDEX('Vendor COIs'!$O$4:$O$503,(_calc!$E$284-500)))=0,"",INDEX('Vendor COIs'!$O$4:$O$503,(_calc!$E$284-500)))))</f>
        <v/>
      </c>
      <c r="H282" s="46">
        <f>IF(_calc!$E$284="","",IF(_calc!$E$284&lt;=500,IF(LEN(INDEX('Our policies'!$G$4:$G$503,_calc!$E$284))=0,"",INDEX('Our policies'!$G$4:$G$503,_calc!$E$284)),""))</f>
        <v/>
      </c>
      <c r="I282" s="46">
        <f>IF(_calc!$E$284="","",IF(_calc!$E$284&lt;=500,IF(LEN(INDEX('Our policies'!$H$4:$H$503,_calc!$E$284))=0,"",INDEX('Our policies'!$H$4:$H$503,_calc!$E$284)),""))</f>
        <v/>
      </c>
      <c r="K282" s="46">
        <f>IF(_calc!$E$284="","",IF(_calc!$E$284&lt;=500,IF(LEN(INDEX('Our policies'!$P$4:$P$503,_calc!$E$284))=0,"",INDEX('Our policies'!$P$4:$P$503,_calc!$E$284)),IF(LEN(INDEX('Vendor COIs'!$N$4:$N$503,(_calc!$E$284-500)))=0,"",INDEX('Vendor COIs'!$N$4:$N$503,(_calc!$E$284-500)))))</f>
        <v/>
      </c>
    </row>
    <row r="283">
      <c r="A283" s="46">
        <f>IF(_calc!$E$285="","",IF(_calc!$E$285&lt;=500,IF(LEN(INDEX('Our policies'!$A$4:$A$503,_calc!$E$285))=0,"",INDEX('Our policies'!$A$4:$A$503,_calc!$E$285)),"COI – "&amp;IF(LEN(INDEX('Vendor COIs'!$A$4:$A$503,(_calc!$E$285-500)))=0,"",INDEX('Vendor COIs'!$A$4:$A$503,(_calc!$E$285-500)))&amp;" – "&amp;IF(LEN(INDEX('Vendor COIs'!$B$4:$B$503,(_calc!$E$285-500)))=0,"",INDEX('Vendor COIs'!$B$4:$B$503,(_calc!$E$285-500)))))</f>
        <v/>
      </c>
      <c r="B283" s="46">
        <f>IF(_calc!$E$285="","",IF(_calc!$E$285&lt;=500,IF(ISNUMBER(INDEX('Our policies'!$J$4:$J$503,_calc!$E$285)),TEXT(INDEX('Our policies'!$J$4:$J$503,_calc!$E$285),"yyyy-mm-dd"),""),IF(ISNUMBER(INDEX('Vendor COIs'!$H$4:$H$503,(_calc!$E$285-500))),TEXT(INDEX('Vendor COIs'!$H$4:$H$503,(_calc!$E$285-500)),"yyyy-mm-dd"),"")))</f>
        <v/>
      </c>
      <c r="C283" s="46">
        <f>IF(_calc!$E$285="","",IF(_calc!$E$285&lt;=500,"Insurance","Certificate of insurance"))</f>
        <v/>
      </c>
      <c r="D283" s="46">
        <f>IF(_calc!$E$285="","",IF(_calc!$E$285&lt;=500,IF(ISNUMBER(INDEX('Our policies'!$I$4:$I$503,_calc!$E$285)),TEXT(INDEX('Our policies'!$I$4:$I$503,_calc!$E$285),"yyyy-mm-dd"),""),""))</f>
        <v/>
      </c>
      <c r="E283" s="46">
        <f>IF(_calc!$E$285="","",IF(_calc!$E$285&lt;=500,IF(LEN(INDEX('Our policies'!$Q$4:$Q$503,_calc!$E$285))=0,"",INDEX('Our policies'!$Q$4:$Q$503,_calc!$E$285)),"Medium"))</f>
        <v/>
      </c>
      <c r="F283" s="46">
        <f>IF(_calc!$E$285="","",IF(_calc!$E$285&lt;=500,TRIM(IF(LEN(IF(LEN(INDEX('Our policies'!$B$4:$B$503,_calc!$E$285))=0,"",INDEX('Our policies'!$B$4:$B$503,_calc!$E$285)))=0,"","Cover: "&amp;IF(LEN(INDEX('Our policies'!$B$4:$B$503,_calc!$E$285))=0,"",INDEX('Our policies'!$B$4:$B$503,_calc!$E$285))&amp;". ")&amp;IF(LEN(IF(LEN(INDEX('Our policies'!$C$4:$C$503,_calc!$E$285))=0,"",INDEX('Our policies'!$C$4:$C$503,_calc!$E$285)))=0,"","Insurer: "&amp;IF(LEN(INDEX('Our policies'!$C$4:$C$503,_calc!$E$285))=0,"",INDEX('Our policies'!$C$4:$C$503,_calc!$E$285))&amp;". ")&amp;IF(LEN(IF(LEN(INDEX('Our policies'!$D$4:$D$503,_calc!$E$285))=0,"",INDEX('Our policies'!$D$4:$D$503,_calc!$E$285)))=0,"","Broker: "&amp;IF(LEN(INDEX('Our policies'!$D$4:$D$503,_calc!$E$285))=0,"",INDEX('Our policies'!$D$4:$D$503,_calc!$E$285))&amp;". ")&amp;IF(LEN(IF(LEN(INDEX('Our policies'!$E$4:$E$503,_calc!$E$285))=0,"",INDEX('Our policies'!$E$4:$E$503,_calc!$E$285)))=0,"","Policy no.: "&amp;IF(LEN(INDEX('Our policies'!$E$4:$E$503,_calc!$E$285))=0,"",INDEX('Our policies'!$E$4:$E$503,_calc!$E$285))&amp;". ")&amp;IF(LEN(IF(LEN(INDEX('Our policies'!$S$4:$S$503,_calc!$E$285))=0,"",INDEX('Our policies'!$S$4:$S$503,_calc!$E$285)))=0,"",IF(LEN(INDEX('Our policies'!$S$4:$S$503,_calc!$E$285))=0,"",INDEX('Our policies'!$S$4:$S$503,_calc!$E$285)))),TRIM(IF(LEN(IF(LEN(INDEX('Vendor COIs'!$C$4:$C$503,(_calc!$E$285-500)))=0,"",INDEX('Vendor COIs'!$C$4:$C$503,(_calc!$E$285-500))))=0,"","Insurer: "&amp;IF(LEN(INDEX('Vendor COIs'!$C$4:$C$503,(_calc!$E$285-500)))=0,"",INDEX('Vendor COIs'!$C$4:$C$503,(_calc!$E$285-500)))&amp;". ")&amp;IF(LEN(IF(LEN(INDEX('Vendor COIs'!$D$4:$D$503,(_calc!$E$285-500)))=0,"",INDEX('Vendor COIs'!$D$4:$D$503,(_calc!$E$285-500))))=0,"","Policy no.: "&amp;IF(LEN(INDEX('Vendor COIs'!$D$4:$D$503,(_calc!$E$285-500)))=0,"",INDEX('Vendor COIs'!$D$4:$D$503,(_calc!$E$285-500)))&amp;". ")&amp;IF(LEN(IF(LEN(INDEX('Vendor COIs'!$F$4:$F$503,(_calc!$E$285-500)))=0,"",INDEX('Vendor COIs'!$F$4:$F$503,(_calc!$E$285-500))))=0,"","Meets minimum: "&amp;IF(LEN(INDEX('Vendor COIs'!$F$4:$F$503,(_calc!$E$285-500)))=0,"",INDEX('Vendor COIs'!$F$4:$F$503,(_calc!$E$285-500)))&amp;". ")&amp;IF(LEN(IF(LEN(INDEX('Vendor COIs'!$G$4:$G$503,(_calc!$E$285-500)))=0,"",INDEX('Vendor COIs'!$G$4:$G$503,(_calc!$E$285-500))))=0,"","Additional insured: "&amp;IF(LEN(INDEX('Vendor COIs'!$G$4:$G$503,(_calc!$E$285-500)))=0,"",INDEX('Vendor COIs'!$G$4:$G$503,(_calc!$E$285-500)))&amp;". ")&amp;IF(LEN(IF(LEN(INDEX('Vendor COIs'!$M$4:$M$503,(_calc!$E$285-500)))=0,"",INDEX('Vendor COIs'!$M$4:$M$503,(_calc!$E$285-500))))=0,"","Vendor contact: "&amp;IF(LEN(INDEX('Vendor COIs'!$M$4:$M$503,(_calc!$E$285-500)))=0,"",INDEX('Vendor COIs'!$M$4:$M$503,(_calc!$E$285-500)))&amp;". ")&amp;IF(LEN(IF(LEN(INDEX('Vendor COIs'!$P$4:$P$503,(_calc!$E$285-500)))=0,"",INDEX('Vendor COIs'!$P$4:$P$503,(_calc!$E$285-500))))=0,"",IF(LEN(INDEX('Vendor COIs'!$P$4:$P$503,(_calc!$E$285-500)))=0,"",INDEX('Vendor COIs'!$P$4:$P$503,(_calc!$E$285-500)))))))</f>
        <v/>
      </c>
      <c r="G283" s="46">
        <f>IF(_calc!$E$285="","",IF(_calc!$E$285&lt;=500,IF(LEN(INDEX('Our policies'!$R$4:$R$503,_calc!$E$285))=0,"",INDEX('Our policies'!$R$4:$R$503,_calc!$E$285)),IF(LEN(INDEX('Vendor COIs'!$O$4:$O$503,(_calc!$E$285-500)))=0,"",INDEX('Vendor COIs'!$O$4:$O$503,(_calc!$E$285-500)))))</f>
        <v/>
      </c>
      <c r="H283" s="46">
        <f>IF(_calc!$E$285="","",IF(_calc!$E$285&lt;=500,IF(LEN(INDEX('Our policies'!$G$4:$G$503,_calc!$E$285))=0,"",INDEX('Our policies'!$G$4:$G$503,_calc!$E$285)),""))</f>
        <v/>
      </c>
      <c r="I283" s="46">
        <f>IF(_calc!$E$285="","",IF(_calc!$E$285&lt;=500,IF(LEN(INDEX('Our policies'!$H$4:$H$503,_calc!$E$285))=0,"",INDEX('Our policies'!$H$4:$H$503,_calc!$E$285)),""))</f>
        <v/>
      </c>
      <c r="K283" s="46">
        <f>IF(_calc!$E$285="","",IF(_calc!$E$285&lt;=500,IF(LEN(INDEX('Our policies'!$P$4:$P$503,_calc!$E$285))=0,"",INDEX('Our policies'!$P$4:$P$503,_calc!$E$285)),IF(LEN(INDEX('Vendor COIs'!$N$4:$N$503,(_calc!$E$285-500)))=0,"",INDEX('Vendor COIs'!$N$4:$N$503,(_calc!$E$285-500)))))</f>
        <v/>
      </c>
    </row>
    <row r="284">
      <c r="A284" s="46">
        <f>IF(_calc!$E$286="","",IF(_calc!$E$286&lt;=500,IF(LEN(INDEX('Our policies'!$A$4:$A$503,_calc!$E$286))=0,"",INDEX('Our policies'!$A$4:$A$503,_calc!$E$286)),"COI – "&amp;IF(LEN(INDEX('Vendor COIs'!$A$4:$A$503,(_calc!$E$286-500)))=0,"",INDEX('Vendor COIs'!$A$4:$A$503,(_calc!$E$286-500)))&amp;" – "&amp;IF(LEN(INDEX('Vendor COIs'!$B$4:$B$503,(_calc!$E$286-500)))=0,"",INDEX('Vendor COIs'!$B$4:$B$503,(_calc!$E$286-500)))))</f>
        <v/>
      </c>
      <c r="B284" s="46">
        <f>IF(_calc!$E$286="","",IF(_calc!$E$286&lt;=500,IF(ISNUMBER(INDEX('Our policies'!$J$4:$J$503,_calc!$E$286)),TEXT(INDEX('Our policies'!$J$4:$J$503,_calc!$E$286),"yyyy-mm-dd"),""),IF(ISNUMBER(INDEX('Vendor COIs'!$H$4:$H$503,(_calc!$E$286-500))),TEXT(INDEX('Vendor COIs'!$H$4:$H$503,(_calc!$E$286-500)),"yyyy-mm-dd"),"")))</f>
        <v/>
      </c>
      <c r="C284" s="46">
        <f>IF(_calc!$E$286="","",IF(_calc!$E$286&lt;=500,"Insurance","Certificate of insurance"))</f>
        <v/>
      </c>
      <c r="D284" s="46">
        <f>IF(_calc!$E$286="","",IF(_calc!$E$286&lt;=500,IF(ISNUMBER(INDEX('Our policies'!$I$4:$I$503,_calc!$E$286)),TEXT(INDEX('Our policies'!$I$4:$I$503,_calc!$E$286),"yyyy-mm-dd"),""),""))</f>
        <v/>
      </c>
      <c r="E284" s="46">
        <f>IF(_calc!$E$286="","",IF(_calc!$E$286&lt;=500,IF(LEN(INDEX('Our policies'!$Q$4:$Q$503,_calc!$E$286))=0,"",INDEX('Our policies'!$Q$4:$Q$503,_calc!$E$286)),"Medium"))</f>
        <v/>
      </c>
      <c r="F284" s="46">
        <f>IF(_calc!$E$286="","",IF(_calc!$E$286&lt;=500,TRIM(IF(LEN(IF(LEN(INDEX('Our policies'!$B$4:$B$503,_calc!$E$286))=0,"",INDEX('Our policies'!$B$4:$B$503,_calc!$E$286)))=0,"","Cover: "&amp;IF(LEN(INDEX('Our policies'!$B$4:$B$503,_calc!$E$286))=0,"",INDEX('Our policies'!$B$4:$B$503,_calc!$E$286))&amp;". ")&amp;IF(LEN(IF(LEN(INDEX('Our policies'!$C$4:$C$503,_calc!$E$286))=0,"",INDEX('Our policies'!$C$4:$C$503,_calc!$E$286)))=0,"","Insurer: "&amp;IF(LEN(INDEX('Our policies'!$C$4:$C$503,_calc!$E$286))=0,"",INDEX('Our policies'!$C$4:$C$503,_calc!$E$286))&amp;". ")&amp;IF(LEN(IF(LEN(INDEX('Our policies'!$D$4:$D$503,_calc!$E$286))=0,"",INDEX('Our policies'!$D$4:$D$503,_calc!$E$286)))=0,"","Broker: "&amp;IF(LEN(INDEX('Our policies'!$D$4:$D$503,_calc!$E$286))=0,"",INDEX('Our policies'!$D$4:$D$503,_calc!$E$286))&amp;". ")&amp;IF(LEN(IF(LEN(INDEX('Our policies'!$E$4:$E$503,_calc!$E$286))=0,"",INDEX('Our policies'!$E$4:$E$503,_calc!$E$286)))=0,"","Policy no.: "&amp;IF(LEN(INDEX('Our policies'!$E$4:$E$503,_calc!$E$286))=0,"",INDEX('Our policies'!$E$4:$E$503,_calc!$E$286))&amp;". ")&amp;IF(LEN(IF(LEN(INDEX('Our policies'!$S$4:$S$503,_calc!$E$286))=0,"",INDEX('Our policies'!$S$4:$S$503,_calc!$E$286)))=0,"",IF(LEN(INDEX('Our policies'!$S$4:$S$503,_calc!$E$286))=0,"",INDEX('Our policies'!$S$4:$S$503,_calc!$E$286)))),TRIM(IF(LEN(IF(LEN(INDEX('Vendor COIs'!$C$4:$C$503,(_calc!$E$286-500)))=0,"",INDEX('Vendor COIs'!$C$4:$C$503,(_calc!$E$286-500))))=0,"","Insurer: "&amp;IF(LEN(INDEX('Vendor COIs'!$C$4:$C$503,(_calc!$E$286-500)))=0,"",INDEX('Vendor COIs'!$C$4:$C$503,(_calc!$E$286-500)))&amp;". ")&amp;IF(LEN(IF(LEN(INDEX('Vendor COIs'!$D$4:$D$503,(_calc!$E$286-500)))=0,"",INDEX('Vendor COIs'!$D$4:$D$503,(_calc!$E$286-500))))=0,"","Policy no.: "&amp;IF(LEN(INDEX('Vendor COIs'!$D$4:$D$503,(_calc!$E$286-500)))=0,"",INDEX('Vendor COIs'!$D$4:$D$503,(_calc!$E$286-500)))&amp;". ")&amp;IF(LEN(IF(LEN(INDEX('Vendor COIs'!$F$4:$F$503,(_calc!$E$286-500)))=0,"",INDEX('Vendor COIs'!$F$4:$F$503,(_calc!$E$286-500))))=0,"","Meets minimum: "&amp;IF(LEN(INDEX('Vendor COIs'!$F$4:$F$503,(_calc!$E$286-500)))=0,"",INDEX('Vendor COIs'!$F$4:$F$503,(_calc!$E$286-500)))&amp;". ")&amp;IF(LEN(IF(LEN(INDEX('Vendor COIs'!$G$4:$G$503,(_calc!$E$286-500)))=0,"",INDEX('Vendor COIs'!$G$4:$G$503,(_calc!$E$286-500))))=0,"","Additional insured: "&amp;IF(LEN(INDEX('Vendor COIs'!$G$4:$G$503,(_calc!$E$286-500)))=0,"",INDEX('Vendor COIs'!$G$4:$G$503,(_calc!$E$286-500)))&amp;". ")&amp;IF(LEN(IF(LEN(INDEX('Vendor COIs'!$M$4:$M$503,(_calc!$E$286-500)))=0,"",INDEX('Vendor COIs'!$M$4:$M$503,(_calc!$E$286-500))))=0,"","Vendor contact: "&amp;IF(LEN(INDEX('Vendor COIs'!$M$4:$M$503,(_calc!$E$286-500)))=0,"",INDEX('Vendor COIs'!$M$4:$M$503,(_calc!$E$286-500)))&amp;". ")&amp;IF(LEN(IF(LEN(INDEX('Vendor COIs'!$P$4:$P$503,(_calc!$E$286-500)))=0,"",INDEX('Vendor COIs'!$P$4:$P$503,(_calc!$E$286-500))))=0,"",IF(LEN(INDEX('Vendor COIs'!$P$4:$P$503,(_calc!$E$286-500)))=0,"",INDEX('Vendor COIs'!$P$4:$P$503,(_calc!$E$286-500)))))))</f>
        <v/>
      </c>
      <c r="G284" s="46">
        <f>IF(_calc!$E$286="","",IF(_calc!$E$286&lt;=500,IF(LEN(INDEX('Our policies'!$R$4:$R$503,_calc!$E$286))=0,"",INDEX('Our policies'!$R$4:$R$503,_calc!$E$286)),IF(LEN(INDEX('Vendor COIs'!$O$4:$O$503,(_calc!$E$286-500)))=0,"",INDEX('Vendor COIs'!$O$4:$O$503,(_calc!$E$286-500)))))</f>
        <v/>
      </c>
      <c r="H284" s="46">
        <f>IF(_calc!$E$286="","",IF(_calc!$E$286&lt;=500,IF(LEN(INDEX('Our policies'!$G$4:$G$503,_calc!$E$286))=0,"",INDEX('Our policies'!$G$4:$G$503,_calc!$E$286)),""))</f>
        <v/>
      </c>
      <c r="I284" s="46">
        <f>IF(_calc!$E$286="","",IF(_calc!$E$286&lt;=500,IF(LEN(INDEX('Our policies'!$H$4:$H$503,_calc!$E$286))=0,"",INDEX('Our policies'!$H$4:$H$503,_calc!$E$286)),""))</f>
        <v/>
      </c>
      <c r="K284" s="46">
        <f>IF(_calc!$E$286="","",IF(_calc!$E$286&lt;=500,IF(LEN(INDEX('Our policies'!$P$4:$P$503,_calc!$E$286))=0,"",INDEX('Our policies'!$P$4:$P$503,_calc!$E$286)),IF(LEN(INDEX('Vendor COIs'!$N$4:$N$503,(_calc!$E$286-500)))=0,"",INDEX('Vendor COIs'!$N$4:$N$503,(_calc!$E$286-500)))))</f>
        <v/>
      </c>
    </row>
    <row r="285">
      <c r="A285" s="46">
        <f>IF(_calc!$E$287="","",IF(_calc!$E$287&lt;=500,IF(LEN(INDEX('Our policies'!$A$4:$A$503,_calc!$E$287))=0,"",INDEX('Our policies'!$A$4:$A$503,_calc!$E$287)),"COI – "&amp;IF(LEN(INDEX('Vendor COIs'!$A$4:$A$503,(_calc!$E$287-500)))=0,"",INDEX('Vendor COIs'!$A$4:$A$503,(_calc!$E$287-500)))&amp;" – "&amp;IF(LEN(INDEX('Vendor COIs'!$B$4:$B$503,(_calc!$E$287-500)))=0,"",INDEX('Vendor COIs'!$B$4:$B$503,(_calc!$E$287-500)))))</f>
        <v/>
      </c>
      <c r="B285" s="46">
        <f>IF(_calc!$E$287="","",IF(_calc!$E$287&lt;=500,IF(ISNUMBER(INDEX('Our policies'!$J$4:$J$503,_calc!$E$287)),TEXT(INDEX('Our policies'!$J$4:$J$503,_calc!$E$287),"yyyy-mm-dd"),""),IF(ISNUMBER(INDEX('Vendor COIs'!$H$4:$H$503,(_calc!$E$287-500))),TEXT(INDEX('Vendor COIs'!$H$4:$H$503,(_calc!$E$287-500)),"yyyy-mm-dd"),"")))</f>
        <v/>
      </c>
      <c r="C285" s="46">
        <f>IF(_calc!$E$287="","",IF(_calc!$E$287&lt;=500,"Insurance","Certificate of insurance"))</f>
        <v/>
      </c>
      <c r="D285" s="46">
        <f>IF(_calc!$E$287="","",IF(_calc!$E$287&lt;=500,IF(ISNUMBER(INDEX('Our policies'!$I$4:$I$503,_calc!$E$287)),TEXT(INDEX('Our policies'!$I$4:$I$503,_calc!$E$287),"yyyy-mm-dd"),""),""))</f>
        <v/>
      </c>
      <c r="E285" s="46">
        <f>IF(_calc!$E$287="","",IF(_calc!$E$287&lt;=500,IF(LEN(INDEX('Our policies'!$Q$4:$Q$503,_calc!$E$287))=0,"",INDEX('Our policies'!$Q$4:$Q$503,_calc!$E$287)),"Medium"))</f>
        <v/>
      </c>
      <c r="F285" s="46">
        <f>IF(_calc!$E$287="","",IF(_calc!$E$287&lt;=500,TRIM(IF(LEN(IF(LEN(INDEX('Our policies'!$B$4:$B$503,_calc!$E$287))=0,"",INDEX('Our policies'!$B$4:$B$503,_calc!$E$287)))=0,"","Cover: "&amp;IF(LEN(INDEX('Our policies'!$B$4:$B$503,_calc!$E$287))=0,"",INDEX('Our policies'!$B$4:$B$503,_calc!$E$287))&amp;". ")&amp;IF(LEN(IF(LEN(INDEX('Our policies'!$C$4:$C$503,_calc!$E$287))=0,"",INDEX('Our policies'!$C$4:$C$503,_calc!$E$287)))=0,"","Insurer: "&amp;IF(LEN(INDEX('Our policies'!$C$4:$C$503,_calc!$E$287))=0,"",INDEX('Our policies'!$C$4:$C$503,_calc!$E$287))&amp;". ")&amp;IF(LEN(IF(LEN(INDEX('Our policies'!$D$4:$D$503,_calc!$E$287))=0,"",INDEX('Our policies'!$D$4:$D$503,_calc!$E$287)))=0,"","Broker: "&amp;IF(LEN(INDEX('Our policies'!$D$4:$D$503,_calc!$E$287))=0,"",INDEX('Our policies'!$D$4:$D$503,_calc!$E$287))&amp;". ")&amp;IF(LEN(IF(LEN(INDEX('Our policies'!$E$4:$E$503,_calc!$E$287))=0,"",INDEX('Our policies'!$E$4:$E$503,_calc!$E$287)))=0,"","Policy no.: "&amp;IF(LEN(INDEX('Our policies'!$E$4:$E$503,_calc!$E$287))=0,"",INDEX('Our policies'!$E$4:$E$503,_calc!$E$287))&amp;". ")&amp;IF(LEN(IF(LEN(INDEX('Our policies'!$S$4:$S$503,_calc!$E$287))=0,"",INDEX('Our policies'!$S$4:$S$503,_calc!$E$287)))=0,"",IF(LEN(INDEX('Our policies'!$S$4:$S$503,_calc!$E$287))=0,"",INDEX('Our policies'!$S$4:$S$503,_calc!$E$287)))),TRIM(IF(LEN(IF(LEN(INDEX('Vendor COIs'!$C$4:$C$503,(_calc!$E$287-500)))=0,"",INDEX('Vendor COIs'!$C$4:$C$503,(_calc!$E$287-500))))=0,"","Insurer: "&amp;IF(LEN(INDEX('Vendor COIs'!$C$4:$C$503,(_calc!$E$287-500)))=0,"",INDEX('Vendor COIs'!$C$4:$C$503,(_calc!$E$287-500)))&amp;". ")&amp;IF(LEN(IF(LEN(INDEX('Vendor COIs'!$D$4:$D$503,(_calc!$E$287-500)))=0,"",INDEX('Vendor COIs'!$D$4:$D$503,(_calc!$E$287-500))))=0,"","Policy no.: "&amp;IF(LEN(INDEX('Vendor COIs'!$D$4:$D$503,(_calc!$E$287-500)))=0,"",INDEX('Vendor COIs'!$D$4:$D$503,(_calc!$E$287-500)))&amp;". ")&amp;IF(LEN(IF(LEN(INDEX('Vendor COIs'!$F$4:$F$503,(_calc!$E$287-500)))=0,"",INDEX('Vendor COIs'!$F$4:$F$503,(_calc!$E$287-500))))=0,"","Meets minimum: "&amp;IF(LEN(INDEX('Vendor COIs'!$F$4:$F$503,(_calc!$E$287-500)))=0,"",INDEX('Vendor COIs'!$F$4:$F$503,(_calc!$E$287-500)))&amp;". ")&amp;IF(LEN(IF(LEN(INDEX('Vendor COIs'!$G$4:$G$503,(_calc!$E$287-500)))=0,"",INDEX('Vendor COIs'!$G$4:$G$503,(_calc!$E$287-500))))=0,"","Additional insured: "&amp;IF(LEN(INDEX('Vendor COIs'!$G$4:$G$503,(_calc!$E$287-500)))=0,"",INDEX('Vendor COIs'!$G$4:$G$503,(_calc!$E$287-500)))&amp;". ")&amp;IF(LEN(IF(LEN(INDEX('Vendor COIs'!$M$4:$M$503,(_calc!$E$287-500)))=0,"",INDEX('Vendor COIs'!$M$4:$M$503,(_calc!$E$287-500))))=0,"","Vendor contact: "&amp;IF(LEN(INDEX('Vendor COIs'!$M$4:$M$503,(_calc!$E$287-500)))=0,"",INDEX('Vendor COIs'!$M$4:$M$503,(_calc!$E$287-500)))&amp;". ")&amp;IF(LEN(IF(LEN(INDEX('Vendor COIs'!$P$4:$P$503,(_calc!$E$287-500)))=0,"",INDEX('Vendor COIs'!$P$4:$P$503,(_calc!$E$287-500))))=0,"",IF(LEN(INDEX('Vendor COIs'!$P$4:$P$503,(_calc!$E$287-500)))=0,"",INDEX('Vendor COIs'!$P$4:$P$503,(_calc!$E$287-500)))))))</f>
        <v/>
      </c>
      <c r="G285" s="46">
        <f>IF(_calc!$E$287="","",IF(_calc!$E$287&lt;=500,IF(LEN(INDEX('Our policies'!$R$4:$R$503,_calc!$E$287))=0,"",INDEX('Our policies'!$R$4:$R$503,_calc!$E$287)),IF(LEN(INDEX('Vendor COIs'!$O$4:$O$503,(_calc!$E$287-500)))=0,"",INDEX('Vendor COIs'!$O$4:$O$503,(_calc!$E$287-500)))))</f>
        <v/>
      </c>
      <c r="H285" s="46">
        <f>IF(_calc!$E$287="","",IF(_calc!$E$287&lt;=500,IF(LEN(INDEX('Our policies'!$G$4:$G$503,_calc!$E$287))=0,"",INDEX('Our policies'!$G$4:$G$503,_calc!$E$287)),""))</f>
        <v/>
      </c>
      <c r="I285" s="46">
        <f>IF(_calc!$E$287="","",IF(_calc!$E$287&lt;=500,IF(LEN(INDEX('Our policies'!$H$4:$H$503,_calc!$E$287))=0,"",INDEX('Our policies'!$H$4:$H$503,_calc!$E$287)),""))</f>
        <v/>
      </c>
      <c r="K285" s="46">
        <f>IF(_calc!$E$287="","",IF(_calc!$E$287&lt;=500,IF(LEN(INDEX('Our policies'!$P$4:$P$503,_calc!$E$287))=0,"",INDEX('Our policies'!$P$4:$P$503,_calc!$E$287)),IF(LEN(INDEX('Vendor COIs'!$N$4:$N$503,(_calc!$E$287-500)))=0,"",INDEX('Vendor COIs'!$N$4:$N$503,(_calc!$E$287-500)))))</f>
        <v/>
      </c>
    </row>
    <row r="286">
      <c r="A286" s="46">
        <f>IF(_calc!$E$288="","",IF(_calc!$E$288&lt;=500,IF(LEN(INDEX('Our policies'!$A$4:$A$503,_calc!$E$288))=0,"",INDEX('Our policies'!$A$4:$A$503,_calc!$E$288)),"COI – "&amp;IF(LEN(INDEX('Vendor COIs'!$A$4:$A$503,(_calc!$E$288-500)))=0,"",INDEX('Vendor COIs'!$A$4:$A$503,(_calc!$E$288-500)))&amp;" – "&amp;IF(LEN(INDEX('Vendor COIs'!$B$4:$B$503,(_calc!$E$288-500)))=0,"",INDEX('Vendor COIs'!$B$4:$B$503,(_calc!$E$288-500)))))</f>
        <v/>
      </c>
      <c r="B286" s="46">
        <f>IF(_calc!$E$288="","",IF(_calc!$E$288&lt;=500,IF(ISNUMBER(INDEX('Our policies'!$J$4:$J$503,_calc!$E$288)),TEXT(INDEX('Our policies'!$J$4:$J$503,_calc!$E$288),"yyyy-mm-dd"),""),IF(ISNUMBER(INDEX('Vendor COIs'!$H$4:$H$503,(_calc!$E$288-500))),TEXT(INDEX('Vendor COIs'!$H$4:$H$503,(_calc!$E$288-500)),"yyyy-mm-dd"),"")))</f>
        <v/>
      </c>
      <c r="C286" s="46">
        <f>IF(_calc!$E$288="","",IF(_calc!$E$288&lt;=500,"Insurance","Certificate of insurance"))</f>
        <v/>
      </c>
      <c r="D286" s="46">
        <f>IF(_calc!$E$288="","",IF(_calc!$E$288&lt;=500,IF(ISNUMBER(INDEX('Our policies'!$I$4:$I$503,_calc!$E$288)),TEXT(INDEX('Our policies'!$I$4:$I$503,_calc!$E$288),"yyyy-mm-dd"),""),""))</f>
        <v/>
      </c>
      <c r="E286" s="46">
        <f>IF(_calc!$E$288="","",IF(_calc!$E$288&lt;=500,IF(LEN(INDEX('Our policies'!$Q$4:$Q$503,_calc!$E$288))=0,"",INDEX('Our policies'!$Q$4:$Q$503,_calc!$E$288)),"Medium"))</f>
        <v/>
      </c>
      <c r="F286" s="46">
        <f>IF(_calc!$E$288="","",IF(_calc!$E$288&lt;=500,TRIM(IF(LEN(IF(LEN(INDEX('Our policies'!$B$4:$B$503,_calc!$E$288))=0,"",INDEX('Our policies'!$B$4:$B$503,_calc!$E$288)))=0,"","Cover: "&amp;IF(LEN(INDEX('Our policies'!$B$4:$B$503,_calc!$E$288))=0,"",INDEX('Our policies'!$B$4:$B$503,_calc!$E$288))&amp;". ")&amp;IF(LEN(IF(LEN(INDEX('Our policies'!$C$4:$C$503,_calc!$E$288))=0,"",INDEX('Our policies'!$C$4:$C$503,_calc!$E$288)))=0,"","Insurer: "&amp;IF(LEN(INDEX('Our policies'!$C$4:$C$503,_calc!$E$288))=0,"",INDEX('Our policies'!$C$4:$C$503,_calc!$E$288))&amp;". ")&amp;IF(LEN(IF(LEN(INDEX('Our policies'!$D$4:$D$503,_calc!$E$288))=0,"",INDEX('Our policies'!$D$4:$D$503,_calc!$E$288)))=0,"","Broker: "&amp;IF(LEN(INDEX('Our policies'!$D$4:$D$503,_calc!$E$288))=0,"",INDEX('Our policies'!$D$4:$D$503,_calc!$E$288))&amp;". ")&amp;IF(LEN(IF(LEN(INDEX('Our policies'!$E$4:$E$503,_calc!$E$288))=0,"",INDEX('Our policies'!$E$4:$E$503,_calc!$E$288)))=0,"","Policy no.: "&amp;IF(LEN(INDEX('Our policies'!$E$4:$E$503,_calc!$E$288))=0,"",INDEX('Our policies'!$E$4:$E$503,_calc!$E$288))&amp;". ")&amp;IF(LEN(IF(LEN(INDEX('Our policies'!$S$4:$S$503,_calc!$E$288))=0,"",INDEX('Our policies'!$S$4:$S$503,_calc!$E$288)))=0,"",IF(LEN(INDEX('Our policies'!$S$4:$S$503,_calc!$E$288))=0,"",INDEX('Our policies'!$S$4:$S$503,_calc!$E$288)))),TRIM(IF(LEN(IF(LEN(INDEX('Vendor COIs'!$C$4:$C$503,(_calc!$E$288-500)))=0,"",INDEX('Vendor COIs'!$C$4:$C$503,(_calc!$E$288-500))))=0,"","Insurer: "&amp;IF(LEN(INDEX('Vendor COIs'!$C$4:$C$503,(_calc!$E$288-500)))=0,"",INDEX('Vendor COIs'!$C$4:$C$503,(_calc!$E$288-500)))&amp;". ")&amp;IF(LEN(IF(LEN(INDEX('Vendor COIs'!$D$4:$D$503,(_calc!$E$288-500)))=0,"",INDEX('Vendor COIs'!$D$4:$D$503,(_calc!$E$288-500))))=0,"","Policy no.: "&amp;IF(LEN(INDEX('Vendor COIs'!$D$4:$D$503,(_calc!$E$288-500)))=0,"",INDEX('Vendor COIs'!$D$4:$D$503,(_calc!$E$288-500)))&amp;". ")&amp;IF(LEN(IF(LEN(INDEX('Vendor COIs'!$F$4:$F$503,(_calc!$E$288-500)))=0,"",INDEX('Vendor COIs'!$F$4:$F$503,(_calc!$E$288-500))))=0,"","Meets minimum: "&amp;IF(LEN(INDEX('Vendor COIs'!$F$4:$F$503,(_calc!$E$288-500)))=0,"",INDEX('Vendor COIs'!$F$4:$F$503,(_calc!$E$288-500)))&amp;". ")&amp;IF(LEN(IF(LEN(INDEX('Vendor COIs'!$G$4:$G$503,(_calc!$E$288-500)))=0,"",INDEX('Vendor COIs'!$G$4:$G$503,(_calc!$E$288-500))))=0,"","Additional insured: "&amp;IF(LEN(INDEX('Vendor COIs'!$G$4:$G$503,(_calc!$E$288-500)))=0,"",INDEX('Vendor COIs'!$G$4:$G$503,(_calc!$E$288-500)))&amp;". ")&amp;IF(LEN(IF(LEN(INDEX('Vendor COIs'!$M$4:$M$503,(_calc!$E$288-500)))=0,"",INDEX('Vendor COIs'!$M$4:$M$503,(_calc!$E$288-500))))=0,"","Vendor contact: "&amp;IF(LEN(INDEX('Vendor COIs'!$M$4:$M$503,(_calc!$E$288-500)))=0,"",INDEX('Vendor COIs'!$M$4:$M$503,(_calc!$E$288-500)))&amp;". ")&amp;IF(LEN(IF(LEN(INDEX('Vendor COIs'!$P$4:$P$503,(_calc!$E$288-500)))=0,"",INDEX('Vendor COIs'!$P$4:$P$503,(_calc!$E$288-500))))=0,"",IF(LEN(INDEX('Vendor COIs'!$P$4:$P$503,(_calc!$E$288-500)))=0,"",INDEX('Vendor COIs'!$P$4:$P$503,(_calc!$E$288-500)))))))</f>
        <v/>
      </c>
      <c r="G286" s="46">
        <f>IF(_calc!$E$288="","",IF(_calc!$E$288&lt;=500,IF(LEN(INDEX('Our policies'!$R$4:$R$503,_calc!$E$288))=0,"",INDEX('Our policies'!$R$4:$R$503,_calc!$E$288)),IF(LEN(INDEX('Vendor COIs'!$O$4:$O$503,(_calc!$E$288-500)))=0,"",INDEX('Vendor COIs'!$O$4:$O$503,(_calc!$E$288-500)))))</f>
        <v/>
      </c>
      <c r="H286" s="46">
        <f>IF(_calc!$E$288="","",IF(_calc!$E$288&lt;=500,IF(LEN(INDEX('Our policies'!$G$4:$G$503,_calc!$E$288))=0,"",INDEX('Our policies'!$G$4:$G$503,_calc!$E$288)),""))</f>
        <v/>
      </c>
      <c r="I286" s="46">
        <f>IF(_calc!$E$288="","",IF(_calc!$E$288&lt;=500,IF(LEN(INDEX('Our policies'!$H$4:$H$503,_calc!$E$288))=0,"",INDEX('Our policies'!$H$4:$H$503,_calc!$E$288)),""))</f>
        <v/>
      </c>
      <c r="K286" s="46">
        <f>IF(_calc!$E$288="","",IF(_calc!$E$288&lt;=500,IF(LEN(INDEX('Our policies'!$P$4:$P$503,_calc!$E$288))=0,"",INDEX('Our policies'!$P$4:$P$503,_calc!$E$288)),IF(LEN(INDEX('Vendor COIs'!$N$4:$N$503,(_calc!$E$288-500)))=0,"",INDEX('Vendor COIs'!$N$4:$N$503,(_calc!$E$288-500)))))</f>
        <v/>
      </c>
    </row>
    <row r="287">
      <c r="A287" s="46">
        <f>IF(_calc!$E$289="","",IF(_calc!$E$289&lt;=500,IF(LEN(INDEX('Our policies'!$A$4:$A$503,_calc!$E$289))=0,"",INDEX('Our policies'!$A$4:$A$503,_calc!$E$289)),"COI – "&amp;IF(LEN(INDEX('Vendor COIs'!$A$4:$A$503,(_calc!$E$289-500)))=0,"",INDEX('Vendor COIs'!$A$4:$A$503,(_calc!$E$289-500)))&amp;" – "&amp;IF(LEN(INDEX('Vendor COIs'!$B$4:$B$503,(_calc!$E$289-500)))=0,"",INDEX('Vendor COIs'!$B$4:$B$503,(_calc!$E$289-500)))))</f>
        <v/>
      </c>
      <c r="B287" s="46">
        <f>IF(_calc!$E$289="","",IF(_calc!$E$289&lt;=500,IF(ISNUMBER(INDEX('Our policies'!$J$4:$J$503,_calc!$E$289)),TEXT(INDEX('Our policies'!$J$4:$J$503,_calc!$E$289),"yyyy-mm-dd"),""),IF(ISNUMBER(INDEX('Vendor COIs'!$H$4:$H$503,(_calc!$E$289-500))),TEXT(INDEX('Vendor COIs'!$H$4:$H$503,(_calc!$E$289-500)),"yyyy-mm-dd"),"")))</f>
        <v/>
      </c>
      <c r="C287" s="46">
        <f>IF(_calc!$E$289="","",IF(_calc!$E$289&lt;=500,"Insurance","Certificate of insurance"))</f>
        <v/>
      </c>
      <c r="D287" s="46">
        <f>IF(_calc!$E$289="","",IF(_calc!$E$289&lt;=500,IF(ISNUMBER(INDEX('Our policies'!$I$4:$I$503,_calc!$E$289)),TEXT(INDEX('Our policies'!$I$4:$I$503,_calc!$E$289),"yyyy-mm-dd"),""),""))</f>
        <v/>
      </c>
      <c r="E287" s="46">
        <f>IF(_calc!$E$289="","",IF(_calc!$E$289&lt;=500,IF(LEN(INDEX('Our policies'!$Q$4:$Q$503,_calc!$E$289))=0,"",INDEX('Our policies'!$Q$4:$Q$503,_calc!$E$289)),"Medium"))</f>
        <v/>
      </c>
      <c r="F287" s="46">
        <f>IF(_calc!$E$289="","",IF(_calc!$E$289&lt;=500,TRIM(IF(LEN(IF(LEN(INDEX('Our policies'!$B$4:$B$503,_calc!$E$289))=0,"",INDEX('Our policies'!$B$4:$B$503,_calc!$E$289)))=0,"","Cover: "&amp;IF(LEN(INDEX('Our policies'!$B$4:$B$503,_calc!$E$289))=0,"",INDEX('Our policies'!$B$4:$B$503,_calc!$E$289))&amp;". ")&amp;IF(LEN(IF(LEN(INDEX('Our policies'!$C$4:$C$503,_calc!$E$289))=0,"",INDEX('Our policies'!$C$4:$C$503,_calc!$E$289)))=0,"","Insurer: "&amp;IF(LEN(INDEX('Our policies'!$C$4:$C$503,_calc!$E$289))=0,"",INDEX('Our policies'!$C$4:$C$503,_calc!$E$289))&amp;". ")&amp;IF(LEN(IF(LEN(INDEX('Our policies'!$D$4:$D$503,_calc!$E$289))=0,"",INDEX('Our policies'!$D$4:$D$503,_calc!$E$289)))=0,"","Broker: "&amp;IF(LEN(INDEX('Our policies'!$D$4:$D$503,_calc!$E$289))=0,"",INDEX('Our policies'!$D$4:$D$503,_calc!$E$289))&amp;". ")&amp;IF(LEN(IF(LEN(INDEX('Our policies'!$E$4:$E$503,_calc!$E$289))=0,"",INDEX('Our policies'!$E$4:$E$503,_calc!$E$289)))=0,"","Policy no.: "&amp;IF(LEN(INDEX('Our policies'!$E$4:$E$503,_calc!$E$289))=0,"",INDEX('Our policies'!$E$4:$E$503,_calc!$E$289))&amp;". ")&amp;IF(LEN(IF(LEN(INDEX('Our policies'!$S$4:$S$503,_calc!$E$289))=0,"",INDEX('Our policies'!$S$4:$S$503,_calc!$E$289)))=0,"",IF(LEN(INDEX('Our policies'!$S$4:$S$503,_calc!$E$289))=0,"",INDEX('Our policies'!$S$4:$S$503,_calc!$E$289)))),TRIM(IF(LEN(IF(LEN(INDEX('Vendor COIs'!$C$4:$C$503,(_calc!$E$289-500)))=0,"",INDEX('Vendor COIs'!$C$4:$C$503,(_calc!$E$289-500))))=0,"","Insurer: "&amp;IF(LEN(INDEX('Vendor COIs'!$C$4:$C$503,(_calc!$E$289-500)))=0,"",INDEX('Vendor COIs'!$C$4:$C$503,(_calc!$E$289-500)))&amp;". ")&amp;IF(LEN(IF(LEN(INDEX('Vendor COIs'!$D$4:$D$503,(_calc!$E$289-500)))=0,"",INDEX('Vendor COIs'!$D$4:$D$503,(_calc!$E$289-500))))=0,"","Policy no.: "&amp;IF(LEN(INDEX('Vendor COIs'!$D$4:$D$503,(_calc!$E$289-500)))=0,"",INDEX('Vendor COIs'!$D$4:$D$503,(_calc!$E$289-500)))&amp;". ")&amp;IF(LEN(IF(LEN(INDEX('Vendor COIs'!$F$4:$F$503,(_calc!$E$289-500)))=0,"",INDEX('Vendor COIs'!$F$4:$F$503,(_calc!$E$289-500))))=0,"","Meets minimum: "&amp;IF(LEN(INDEX('Vendor COIs'!$F$4:$F$503,(_calc!$E$289-500)))=0,"",INDEX('Vendor COIs'!$F$4:$F$503,(_calc!$E$289-500)))&amp;". ")&amp;IF(LEN(IF(LEN(INDEX('Vendor COIs'!$G$4:$G$503,(_calc!$E$289-500)))=0,"",INDEX('Vendor COIs'!$G$4:$G$503,(_calc!$E$289-500))))=0,"","Additional insured: "&amp;IF(LEN(INDEX('Vendor COIs'!$G$4:$G$503,(_calc!$E$289-500)))=0,"",INDEX('Vendor COIs'!$G$4:$G$503,(_calc!$E$289-500)))&amp;". ")&amp;IF(LEN(IF(LEN(INDEX('Vendor COIs'!$M$4:$M$503,(_calc!$E$289-500)))=0,"",INDEX('Vendor COIs'!$M$4:$M$503,(_calc!$E$289-500))))=0,"","Vendor contact: "&amp;IF(LEN(INDEX('Vendor COIs'!$M$4:$M$503,(_calc!$E$289-500)))=0,"",INDEX('Vendor COIs'!$M$4:$M$503,(_calc!$E$289-500)))&amp;". ")&amp;IF(LEN(IF(LEN(INDEX('Vendor COIs'!$P$4:$P$503,(_calc!$E$289-500)))=0,"",INDEX('Vendor COIs'!$P$4:$P$503,(_calc!$E$289-500))))=0,"",IF(LEN(INDEX('Vendor COIs'!$P$4:$P$503,(_calc!$E$289-500)))=0,"",INDEX('Vendor COIs'!$P$4:$P$503,(_calc!$E$289-500)))))))</f>
        <v/>
      </c>
      <c r="G287" s="46">
        <f>IF(_calc!$E$289="","",IF(_calc!$E$289&lt;=500,IF(LEN(INDEX('Our policies'!$R$4:$R$503,_calc!$E$289))=0,"",INDEX('Our policies'!$R$4:$R$503,_calc!$E$289)),IF(LEN(INDEX('Vendor COIs'!$O$4:$O$503,(_calc!$E$289-500)))=0,"",INDEX('Vendor COIs'!$O$4:$O$503,(_calc!$E$289-500)))))</f>
        <v/>
      </c>
      <c r="H287" s="46">
        <f>IF(_calc!$E$289="","",IF(_calc!$E$289&lt;=500,IF(LEN(INDEX('Our policies'!$G$4:$G$503,_calc!$E$289))=0,"",INDEX('Our policies'!$G$4:$G$503,_calc!$E$289)),""))</f>
        <v/>
      </c>
      <c r="I287" s="46">
        <f>IF(_calc!$E$289="","",IF(_calc!$E$289&lt;=500,IF(LEN(INDEX('Our policies'!$H$4:$H$503,_calc!$E$289))=0,"",INDEX('Our policies'!$H$4:$H$503,_calc!$E$289)),""))</f>
        <v/>
      </c>
      <c r="K287" s="46">
        <f>IF(_calc!$E$289="","",IF(_calc!$E$289&lt;=500,IF(LEN(INDEX('Our policies'!$P$4:$P$503,_calc!$E$289))=0,"",INDEX('Our policies'!$P$4:$P$503,_calc!$E$289)),IF(LEN(INDEX('Vendor COIs'!$N$4:$N$503,(_calc!$E$289-500)))=0,"",INDEX('Vendor COIs'!$N$4:$N$503,(_calc!$E$289-500)))))</f>
        <v/>
      </c>
    </row>
    <row r="288">
      <c r="A288" s="46">
        <f>IF(_calc!$E$290="","",IF(_calc!$E$290&lt;=500,IF(LEN(INDEX('Our policies'!$A$4:$A$503,_calc!$E$290))=0,"",INDEX('Our policies'!$A$4:$A$503,_calc!$E$290)),"COI – "&amp;IF(LEN(INDEX('Vendor COIs'!$A$4:$A$503,(_calc!$E$290-500)))=0,"",INDEX('Vendor COIs'!$A$4:$A$503,(_calc!$E$290-500)))&amp;" – "&amp;IF(LEN(INDEX('Vendor COIs'!$B$4:$B$503,(_calc!$E$290-500)))=0,"",INDEX('Vendor COIs'!$B$4:$B$503,(_calc!$E$290-500)))))</f>
        <v/>
      </c>
      <c r="B288" s="46">
        <f>IF(_calc!$E$290="","",IF(_calc!$E$290&lt;=500,IF(ISNUMBER(INDEX('Our policies'!$J$4:$J$503,_calc!$E$290)),TEXT(INDEX('Our policies'!$J$4:$J$503,_calc!$E$290),"yyyy-mm-dd"),""),IF(ISNUMBER(INDEX('Vendor COIs'!$H$4:$H$503,(_calc!$E$290-500))),TEXT(INDEX('Vendor COIs'!$H$4:$H$503,(_calc!$E$290-500)),"yyyy-mm-dd"),"")))</f>
        <v/>
      </c>
      <c r="C288" s="46">
        <f>IF(_calc!$E$290="","",IF(_calc!$E$290&lt;=500,"Insurance","Certificate of insurance"))</f>
        <v/>
      </c>
      <c r="D288" s="46">
        <f>IF(_calc!$E$290="","",IF(_calc!$E$290&lt;=500,IF(ISNUMBER(INDEX('Our policies'!$I$4:$I$503,_calc!$E$290)),TEXT(INDEX('Our policies'!$I$4:$I$503,_calc!$E$290),"yyyy-mm-dd"),""),""))</f>
        <v/>
      </c>
      <c r="E288" s="46">
        <f>IF(_calc!$E$290="","",IF(_calc!$E$290&lt;=500,IF(LEN(INDEX('Our policies'!$Q$4:$Q$503,_calc!$E$290))=0,"",INDEX('Our policies'!$Q$4:$Q$503,_calc!$E$290)),"Medium"))</f>
        <v/>
      </c>
      <c r="F288" s="46">
        <f>IF(_calc!$E$290="","",IF(_calc!$E$290&lt;=500,TRIM(IF(LEN(IF(LEN(INDEX('Our policies'!$B$4:$B$503,_calc!$E$290))=0,"",INDEX('Our policies'!$B$4:$B$503,_calc!$E$290)))=0,"","Cover: "&amp;IF(LEN(INDEX('Our policies'!$B$4:$B$503,_calc!$E$290))=0,"",INDEX('Our policies'!$B$4:$B$503,_calc!$E$290))&amp;". ")&amp;IF(LEN(IF(LEN(INDEX('Our policies'!$C$4:$C$503,_calc!$E$290))=0,"",INDEX('Our policies'!$C$4:$C$503,_calc!$E$290)))=0,"","Insurer: "&amp;IF(LEN(INDEX('Our policies'!$C$4:$C$503,_calc!$E$290))=0,"",INDEX('Our policies'!$C$4:$C$503,_calc!$E$290))&amp;". ")&amp;IF(LEN(IF(LEN(INDEX('Our policies'!$D$4:$D$503,_calc!$E$290))=0,"",INDEX('Our policies'!$D$4:$D$503,_calc!$E$290)))=0,"","Broker: "&amp;IF(LEN(INDEX('Our policies'!$D$4:$D$503,_calc!$E$290))=0,"",INDEX('Our policies'!$D$4:$D$503,_calc!$E$290))&amp;". ")&amp;IF(LEN(IF(LEN(INDEX('Our policies'!$E$4:$E$503,_calc!$E$290))=0,"",INDEX('Our policies'!$E$4:$E$503,_calc!$E$290)))=0,"","Policy no.: "&amp;IF(LEN(INDEX('Our policies'!$E$4:$E$503,_calc!$E$290))=0,"",INDEX('Our policies'!$E$4:$E$503,_calc!$E$290))&amp;". ")&amp;IF(LEN(IF(LEN(INDEX('Our policies'!$S$4:$S$503,_calc!$E$290))=0,"",INDEX('Our policies'!$S$4:$S$503,_calc!$E$290)))=0,"",IF(LEN(INDEX('Our policies'!$S$4:$S$503,_calc!$E$290))=0,"",INDEX('Our policies'!$S$4:$S$503,_calc!$E$290)))),TRIM(IF(LEN(IF(LEN(INDEX('Vendor COIs'!$C$4:$C$503,(_calc!$E$290-500)))=0,"",INDEX('Vendor COIs'!$C$4:$C$503,(_calc!$E$290-500))))=0,"","Insurer: "&amp;IF(LEN(INDEX('Vendor COIs'!$C$4:$C$503,(_calc!$E$290-500)))=0,"",INDEX('Vendor COIs'!$C$4:$C$503,(_calc!$E$290-500)))&amp;". ")&amp;IF(LEN(IF(LEN(INDEX('Vendor COIs'!$D$4:$D$503,(_calc!$E$290-500)))=0,"",INDEX('Vendor COIs'!$D$4:$D$503,(_calc!$E$290-500))))=0,"","Policy no.: "&amp;IF(LEN(INDEX('Vendor COIs'!$D$4:$D$503,(_calc!$E$290-500)))=0,"",INDEX('Vendor COIs'!$D$4:$D$503,(_calc!$E$290-500)))&amp;". ")&amp;IF(LEN(IF(LEN(INDEX('Vendor COIs'!$F$4:$F$503,(_calc!$E$290-500)))=0,"",INDEX('Vendor COIs'!$F$4:$F$503,(_calc!$E$290-500))))=0,"","Meets minimum: "&amp;IF(LEN(INDEX('Vendor COIs'!$F$4:$F$503,(_calc!$E$290-500)))=0,"",INDEX('Vendor COIs'!$F$4:$F$503,(_calc!$E$290-500)))&amp;". ")&amp;IF(LEN(IF(LEN(INDEX('Vendor COIs'!$G$4:$G$503,(_calc!$E$290-500)))=0,"",INDEX('Vendor COIs'!$G$4:$G$503,(_calc!$E$290-500))))=0,"","Additional insured: "&amp;IF(LEN(INDEX('Vendor COIs'!$G$4:$G$503,(_calc!$E$290-500)))=0,"",INDEX('Vendor COIs'!$G$4:$G$503,(_calc!$E$290-500)))&amp;". ")&amp;IF(LEN(IF(LEN(INDEX('Vendor COIs'!$M$4:$M$503,(_calc!$E$290-500)))=0,"",INDEX('Vendor COIs'!$M$4:$M$503,(_calc!$E$290-500))))=0,"","Vendor contact: "&amp;IF(LEN(INDEX('Vendor COIs'!$M$4:$M$503,(_calc!$E$290-500)))=0,"",INDEX('Vendor COIs'!$M$4:$M$503,(_calc!$E$290-500)))&amp;". ")&amp;IF(LEN(IF(LEN(INDEX('Vendor COIs'!$P$4:$P$503,(_calc!$E$290-500)))=0,"",INDEX('Vendor COIs'!$P$4:$P$503,(_calc!$E$290-500))))=0,"",IF(LEN(INDEX('Vendor COIs'!$P$4:$P$503,(_calc!$E$290-500)))=0,"",INDEX('Vendor COIs'!$P$4:$P$503,(_calc!$E$290-500)))))))</f>
        <v/>
      </c>
      <c r="G288" s="46">
        <f>IF(_calc!$E$290="","",IF(_calc!$E$290&lt;=500,IF(LEN(INDEX('Our policies'!$R$4:$R$503,_calc!$E$290))=0,"",INDEX('Our policies'!$R$4:$R$503,_calc!$E$290)),IF(LEN(INDEX('Vendor COIs'!$O$4:$O$503,(_calc!$E$290-500)))=0,"",INDEX('Vendor COIs'!$O$4:$O$503,(_calc!$E$290-500)))))</f>
        <v/>
      </c>
      <c r="H288" s="46">
        <f>IF(_calc!$E$290="","",IF(_calc!$E$290&lt;=500,IF(LEN(INDEX('Our policies'!$G$4:$G$503,_calc!$E$290))=0,"",INDEX('Our policies'!$G$4:$G$503,_calc!$E$290)),""))</f>
        <v/>
      </c>
      <c r="I288" s="46">
        <f>IF(_calc!$E$290="","",IF(_calc!$E$290&lt;=500,IF(LEN(INDEX('Our policies'!$H$4:$H$503,_calc!$E$290))=0,"",INDEX('Our policies'!$H$4:$H$503,_calc!$E$290)),""))</f>
        <v/>
      </c>
      <c r="K288" s="46">
        <f>IF(_calc!$E$290="","",IF(_calc!$E$290&lt;=500,IF(LEN(INDEX('Our policies'!$P$4:$P$503,_calc!$E$290))=0,"",INDEX('Our policies'!$P$4:$P$503,_calc!$E$290)),IF(LEN(INDEX('Vendor COIs'!$N$4:$N$503,(_calc!$E$290-500)))=0,"",INDEX('Vendor COIs'!$N$4:$N$503,(_calc!$E$290-500)))))</f>
        <v/>
      </c>
    </row>
    <row r="289">
      <c r="A289" s="46">
        <f>IF(_calc!$E$291="","",IF(_calc!$E$291&lt;=500,IF(LEN(INDEX('Our policies'!$A$4:$A$503,_calc!$E$291))=0,"",INDEX('Our policies'!$A$4:$A$503,_calc!$E$291)),"COI – "&amp;IF(LEN(INDEX('Vendor COIs'!$A$4:$A$503,(_calc!$E$291-500)))=0,"",INDEX('Vendor COIs'!$A$4:$A$503,(_calc!$E$291-500)))&amp;" – "&amp;IF(LEN(INDEX('Vendor COIs'!$B$4:$B$503,(_calc!$E$291-500)))=0,"",INDEX('Vendor COIs'!$B$4:$B$503,(_calc!$E$291-500)))))</f>
        <v/>
      </c>
      <c r="B289" s="46">
        <f>IF(_calc!$E$291="","",IF(_calc!$E$291&lt;=500,IF(ISNUMBER(INDEX('Our policies'!$J$4:$J$503,_calc!$E$291)),TEXT(INDEX('Our policies'!$J$4:$J$503,_calc!$E$291),"yyyy-mm-dd"),""),IF(ISNUMBER(INDEX('Vendor COIs'!$H$4:$H$503,(_calc!$E$291-500))),TEXT(INDEX('Vendor COIs'!$H$4:$H$503,(_calc!$E$291-500)),"yyyy-mm-dd"),"")))</f>
        <v/>
      </c>
      <c r="C289" s="46">
        <f>IF(_calc!$E$291="","",IF(_calc!$E$291&lt;=500,"Insurance","Certificate of insurance"))</f>
        <v/>
      </c>
      <c r="D289" s="46">
        <f>IF(_calc!$E$291="","",IF(_calc!$E$291&lt;=500,IF(ISNUMBER(INDEX('Our policies'!$I$4:$I$503,_calc!$E$291)),TEXT(INDEX('Our policies'!$I$4:$I$503,_calc!$E$291),"yyyy-mm-dd"),""),""))</f>
        <v/>
      </c>
      <c r="E289" s="46">
        <f>IF(_calc!$E$291="","",IF(_calc!$E$291&lt;=500,IF(LEN(INDEX('Our policies'!$Q$4:$Q$503,_calc!$E$291))=0,"",INDEX('Our policies'!$Q$4:$Q$503,_calc!$E$291)),"Medium"))</f>
        <v/>
      </c>
      <c r="F289" s="46">
        <f>IF(_calc!$E$291="","",IF(_calc!$E$291&lt;=500,TRIM(IF(LEN(IF(LEN(INDEX('Our policies'!$B$4:$B$503,_calc!$E$291))=0,"",INDEX('Our policies'!$B$4:$B$503,_calc!$E$291)))=0,"","Cover: "&amp;IF(LEN(INDEX('Our policies'!$B$4:$B$503,_calc!$E$291))=0,"",INDEX('Our policies'!$B$4:$B$503,_calc!$E$291))&amp;". ")&amp;IF(LEN(IF(LEN(INDEX('Our policies'!$C$4:$C$503,_calc!$E$291))=0,"",INDEX('Our policies'!$C$4:$C$503,_calc!$E$291)))=0,"","Insurer: "&amp;IF(LEN(INDEX('Our policies'!$C$4:$C$503,_calc!$E$291))=0,"",INDEX('Our policies'!$C$4:$C$503,_calc!$E$291))&amp;". ")&amp;IF(LEN(IF(LEN(INDEX('Our policies'!$D$4:$D$503,_calc!$E$291))=0,"",INDEX('Our policies'!$D$4:$D$503,_calc!$E$291)))=0,"","Broker: "&amp;IF(LEN(INDEX('Our policies'!$D$4:$D$503,_calc!$E$291))=0,"",INDEX('Our policies'!$D$4:$D$503,_calc!$E$291))&amp;". ")&amp;IF(LEN(IF(LEN(INDEX('Our policies'!$E$4:$E$503,_calc!$E$291))=0,"",INDEX('Our policies'!$E$4:$E$503,_calc!$E$291)))=0,"","Policy no.: "&amp;IF(LEN(INDEX('Our policies'!$E$4:$E$503,_calc!$E$291))=0,"",INDEX('Our policies'!$E$4:$E$503,_calc!$E$291))&amp;". ")&amp;IF(LEN(IF(LEN(INDEX('Our policies'!$S$4:$S$503,_calc!$E$291))=0,"",INDEX('Our policies'!$S$4:$S$503,_calc!$E$291)))=0,"",IF(LEN(INDEX('Our policies'!$S$4:$S$503,_calc!$E$291))=0,"",INDEX('Our policies'!$S$4:$S$503,_calc!$E$291)))),TRIM(IF(LEN(IF(LEN(INDEX('Vendor COIs'!$C$4:$C$503,(_calc!$E$291-500)))=0,"",INDEX('Vendor COIs'!$C$4:$C$503,(_calc!$E$291-500))))=0,"","Insurer: "&amp;IF(LEN(INDEX('Vendor COIs'!$C$4:$C$503,(_calc!$E$291-500)))=0,"",INDEX('Vendor COIs'!$C$4:$C$503,(_calc!$E$291-500)))&amp;". ")&amp;IF(LEN(IF(LEN(INDEX('Vendor COIs'!$D$4:$D$503,(_calc!$E$291-500)))=0,"",INDEX('Vendor COIs'!$D$4:$D$503,(_calc!$E$291-500))))=0,"","Policy no.: "&amp;IF(LEN(INDEX('Vendor COIs'!$D$4:$D$503,(_calc!$E$291-500)))=0,"",INDEX('Vendor COIs'!$D$4:$D$503,(_calc!$E$291-500)))&amp;". ")&amp;IF(LEN(IF(LEN(INDEX('Vendor COIs'!$F$4:$F$503,(_calc!$E$291-500)))=0,"",INDEX('Vendor COIs'!$F$4:$F$503,(_calc!$E$291-500))))=0,"","Meets minimum: "&amp;IF(LEN(INDEX('Vendor COIs'!$F$4:$F$503,(_calc!$E$291-500)))=0,"",INDEX('Vendor COIs'!$F$4:$F$503,(_calc!$E$291-500)))&amp;". ")&amp;IF(LEN(IF(LEN(INDEX('Vendor COIs'!$G$4:$G$503,(_calc!$E$291-500)))=0,"",INDEX('Vendor COIs'!$G$4:$G$503,(_calc!$E$291-500))))=0,"","Additional insured: "&amp;IF(LEN(INDEX('Vendor COIs'!$G$4:$G$503,(_calc!$E$291-500)))=0,"",INDEX('Vendor COIs'!$G$4:$G$503,(_calc!$E$291-500)))&amp;". ")&amp;IF(LEN(IF(LEN(INDEX('Vendor COIs'!$M$4:$M$503,(_calc!$E$291-500)))=0,"",INDEX('Vendor COIs'!$M$4:$M$503,(_calc!$E$291-500))))=0,"","Vendor contact: "&amp;IF(LEN(INDEX('Vendor COIs'!$M$4:$M$503,(_calc!$E$291-500)))=0,"",INDEX('Vendor COIs'!$M$4:$M$503,(_calc!$E$291-500)))&amp;". ")&amp;IF(LEN(IF(LEN(INDEX('Vendor COIs'!$P$4:$P$503,(_calc!$E$291-500)))=0,"",INDEX('Vendor COIs'!$P$4:$P$503,(_calc!$E$291-500))))=0,"",IF(LEN(INDEX('Vendor COIs'!$P$4:$P$503,(_calc!$E$291-500)))=0,"",INDEX('Vendor COIs'!$P$4:$P$503,(_calc!$E$291-500)))))))</f>
        <v/>
      </c>
      <c r="G289" s="46">
        <f>IF(_calc!$E$291="","",IF(_calc!$E$291&lt;=500,IF(LEN(INDEX('Our policies'!$R$4:$R$503,_calc!$E$291))=0,"",INDEX('Our policies'!$R$4:$R$503,_calc!$E$291)),IF(LEN(INDEX('Vendor COIs'!$O$4:$O$503,(_calc!$E$291-500)))=0,"",INDEX('Vendor COIs'!$O$4:$O$503,(_calc!$E$291-500)))))</f>
        <v/>
      </c>
      <c r="H289" s="46">
        <f>IF(_calc!$E$291="","",IF(_calc!$E$291&lt;=500,IF(LEN(INDEX('Our policies'!$G$4:$G$503,_calc!$E$291))=0,"",INDEX('Our policies'!$G$4:$G$503,_calc!$E$291)),""))</f>
        <v/>
      </c>
      <c r="I289" s="46">
        <f>IF(_calc!$E$291="","",IF(_calc!$E$291&lt;=500,IF(LEN(INDEX('Our policies'!$H$4:$H$503,_calc!$E$291))=0,"",INDEX('Our policies'!$H$4:$H$503,_calc!$E$291)),""))</f>
        <v/>
      </c>
      <c r="K289" s="46">
        <f>IF(_calc!$E$291="","",IF(_calc!$E$291&lt;=500,IF(LEN(INDEX('Our policies'!$P$4:$P$503,_calc!$E$291))=0,"",INDEX('Our policies'!$P$4:$P$503,_calc!$E$291)),IF(LEN(INDEX('Vendor COIs'!$N$4:$N$503,(_calc!$E$291-500)))=0,"",INDEX('Vendor COIs'!$N$4:$N$503,(_calc!$E$291-500)))))</f>
        <v/>
      </c>
    </row>
    <row r="290">
      <c r="A290" s="46">
        <f>IF(_calc!$E$292="","",IF(_calc!$E$292&lt;=500,IF(LEN(INDEX('Our policies'!$A$4:$A$503,_calc!$E$292))=0,"",INDEX('Our policies'!$A$4:$A$503,_calc!$E$292)),"COI – "&amp;IF(LEN(INDEX('Vendor COIs'!$A$4:$A$503,(_calc!$E$292-500)))=0,"",INDEX('Vendor COIs'!$A$4:$A$503,(_calc!$E$292-500)))&amp;" – "&amp;IF(LEN(INDEX('Vendor COIs'!$B$4:$B$503,(_calc!$E$292-500)))=0,"",INDEX('Vendor COIs'!$B$4:$B$503,(_calc!$E$292-500)))))</f>
        <v/>
      </c>
      <c r="B290" s="46">
        <f>IF(_calc!$E$292="","",IF(_calc!$E$292&lt;=500,IF(ISNUMBER(INDEX('Our policies'!$J$4:$J$503,_calc!$E$292)),TEXT(INDEX('Our policies'!$J$4:$J$503,_calc!$E$292),"yyyy-mm-dd"),""),IF(ISNUMBER(INDEX('Vendor COIs'!$H$4:$H$503,(_calc!$E$292-500))),TEXT(INDEX('Vendor COIs'!$H$4:$H$503,(_calc!$E$292-500)),"yyyy-mm-dd"),"")))</f>
        <v/>
      </c>
      <c r="C290" s="46">
        <f>IF(_calc!$E$292="","",IF(_calc!$E$292&lt;=500,"Insurance","Certificate of insurance"))</f>
        <v/>
      </c>
      <c r="D290" s="46">
        <f>IF(_calc!$E$292="","",IF(_calc!$E$292&lt;=500,IF(ISNUMBER(INDEX('Our policies'!$I$4:$I$503,_calc!$E$292)),TEXT(INDEX('Our policies'!$I$4:$I$503,_calc!$E$292),"yyyy-mm-dd"),""),""))</f>
        <v/>
      </c>
      <c r="E290" s="46">
        <f>IF(_calc!$E$292="","",IF(_calc!$E$292&lt;=500,IF(LEN(INDEX('Our policies'!$Q$4:$Q$503,_calc!$E$292))=0,"",INDEX('Our policies'!$Q$4:$Q$503,_calc!$E$292)),"Medium"))</f>
        <v/>
      </c>
      <c r="F290" s="46">
        <f>IF(_calc!$E$292="","",IF(_calc!$E$292&lt;=500,TRIM(IF(LEN(IF(LEN(INDEX('Our policies'!$B$4:$B$503,_calc!$E$292))=0,"",INDEX('Our policies'!$B$4:$B$503,_calc!$E$292)))=0,"","Cover: "&amp;IF(LEN(INDEX('Our policies'!$B$4:$B$503,_calc!$E$292))=0,"",INDEX('Our policies'!$B$4:$B$503,_calc!$E$292))&amp;". ")&amp;IF(LEN(IF(LEN(INDEX('Our policies'!$C$4:$C$503,_calc!$E$292))=0,"",INDEX('Our policies'!$C$4:$C$503,_calc!$E$292)))=0,"","Insurer: "&amp;IF(LEN(INDEX('Our policies'!$C$4:$C$503,_calc!$E$292))=0,"",INDEX('Our policies'!$C$4:$C$503,_calc!$E$292))&amp;". ")&amp;IF(LEN(IF(LEN(INDEX('Our policies'!$D$4:$D$503,_calc!$E$292))=0,"",INDEX('Our policies'!$D$4:$D$503,_calc!$E$292)))=0,"","Broker: "&amp;IF(LEN(INDEX('Our policies'!$D$4:$D$503,_calc!$E$292))=0,"",INDEX('Our policies'!$D$4:$D$503,_calc!$E$292))&amp;". ")&amp;IF(LEN(IF(LEN(INDEX('Our policies'!$E$4:$E$503,_calc!$E$292))=0,"",INDEX('Our policies'!$E$4:$E$503,_calc!$E$292)))=0,"","Policy no.: "&amp;IF(LEN(INDEX('Our policies'!$E$4:$E$503,_calc!$E$292))=0,"",INDEX('Our policies'!$E$4:$E$503,_calc!$E$292))&amp;". ")&amp;IF(LEN(IF(LEN(INDEX('Our policies'!$S$4:$S$503,_calc!$E$292))=0,"",INDEX('Our policies'!$S$4:$S$503,_calc!$E$292)))=0,"",IF(LEN(INDEX('Our policies'!$S$4:$S$503,_calc!$E$292))=0,"",INDEX('Our policies'!$S$4:$S$503,_calc!$E$292)))),TRIM(IF(LEN(IF(LEN(INDEX('Vendor COIs'!$C$4:$C$503,(_calc!$E$292-500)))=0,"",INDEX('Vendor COIs'!$C$4:$C$503,(_calc!$E$292-500))))=0,"","Insurer: "&amp;IF(LEN(INDEX('Vendor COIs'!$C$4:$C$503,(_calc!$E$292-500)))=0,"",INDEX('Vendor COIs'!$C$4:$C$503,(_calc!$E$292-500)))&amp;". ")&amp;IF(LEN(IF(LEN(INDEX('Vendor COIs'!$D$4:$D$503,(_calc!$E$292-500)))=0,"",INDEX('Vendor COIs'!$D$4:$D$503,(_calc!$E$292-500))))=0,"","Policy no.: "&amp;IF(LEN(INDEX('Vendor COIs'!$D$4:$D$503,(_calc!$E$292-500)))=0,"",INDEX('Vendor COIs'!$D$4:$D$503,(_calc!$E$292-500)))&amp;". ")&amp;IF(LEN(IF(LEN(INDEX('Vendor COIs'!$F$4:$F$503,(_calc!$E$292-500)))=0,"",INDEX('Vendor COIs'!$F$4:$F$503,(_calc!$E$292-500))))=0,"","Meets minimum: "&amp;IF(LEN(INDEX('Vendor COIs'!$F$4:$F$503,(_calc!$E$292-500)))=0,"",INDEX('Vendor COIs'!$F$4:$F$503,(_calc!$E$292-500)))&amp;". ")&amp;IF(LEN(IF(LEN(INDEX('Vendor COIs'!$G$4:$G$503,(_calc!$E$292-500)))=0,"",INDEX('Vendor COIs'!$G$4:$G$503,(_calc!$E$292-500))))=0,"","Additional insured: "&amp;IF(LEN(INDEX('Vendor COIs'!$G$4:$G$503,(_calc!$E$292-500)))=0,"",INDEX('Vendor COIs'!$G$4:$G$503,(_calc!$E$292-500)))&amp;". ")&amp;IF(LEN(IF(LEN(INDEX('Vendor COIs'!$M$4:$M$503,(_calc!$E$292-500)))=0,"",INDEX('Vendor COIs'!$M$4:$M$503,(_calc!$E$292-500))))=0,"","Vendor contact: "&amp;IF(LEN(INDEX('Vendor COIs'!$M$4:$M$503,(_calc!$E$292-500)))=0,"",INDEX('Vendor COIs'!$M$4:$M$503,(_calc!$E$292-500)))&amp;". ")&amp;IF(LEN(IF(LEN(INDEX('Vendor COIs'!$P$4:$P$503,(_calc!$E$292-500)))=0,"",INDEX('Vendor COIs'!$P$4:$P$503,(_calc!$E$292-500))))=0,"",IF(LEN(INDEX('Vendor COIs'!$P$4:$P$503,(_calc!$E$292-500)))=0,"",INDEX('Vendor COIs'!$P$4:$P$503,(_calc!$E$292-500)))))))</f>
        <v/>
      </c>
      <c r="G290" s="46">
        <f>IF(_calc!$E$292="","",IF(_calc!$E$292&lt;=500,IF(LEN(INDEX('Our policies'!$R$4:$R$503,_calc!$E$292))=0,"",INDEX('Our policies'!$R$4:$R$503,_calc!$E$292)),IF(LEN(INDEX('Vendor COIs'!$O$4:$O$503,(_calc!$E$292-500)))=0,"",INDEX('Vendor COIs'!$O$4:$O$503,(_calc!$E$292-500)))))</f>
        <v/>
      </c>
      <c r="H290" s="46">
        <f>IF(_calc!$E$292="","",IF(_calc!$E$292&lt;=500,IF(LEN(INDEX('Our policies'!$G$4:$G$503,_calc!$E$292))=0,"",INDEX('Our policies'!$G$4:$G$503,_calc!$E$292)),""))</f>
        <v/>
      </c>
      <c r="I290" s="46">
        <f>IF(_calc!$E$292="","",IF(_calc!$E$292&lt;=500,IF(LEN(INDEX('Our policies'!$H$4:$H$503,_calc!$E$292))=0,"",INDEX('Our policies'!$H$4:$H$503,_calc!$E$292)),""))</f>
        <v/>
      </c>
      <c r="K290" s="46">
        <f>IF(_calc!$E$292="","",IF(_calc!$E$292&lt;=500,IF(LEN(INDEX('Our policies'!$P$4:$P$503,_calc!$E$292))=0,"",INDEX('Our policies'!$P$4:$P$503,_calc!$E$292)),IF(LEN(INDEX('Vendor COIs'!$N$4:$N$503,(_calc!$E$292-500)))=0,"",INDEX('Vendor COIs'!$N$4:$N$503,(_calc!$E$292-500)))))</f>
        <v/>
      </c>
    </row>
    <row r="291">
      <c r="A291" s="46">
        <f>IF(_calc!$E$293="","",IF(_calc!$E$293&lt;=500,IF(LEN(INDEX('Our policies'!$A$4:$A$503,_calc!$E$293))=0,"",INDEX('Our policies'!$A$4:$A$503,_calc!$E$293)),"COI – "&amp;IF(LEN(INDEX('Vendor COIs'!$A$4:$A$503,(_calc!$E$293-500)))=0,"",INDEX('Vendor COIs'!$A$4:$A$503,(_calc!$E$293-500)))&amp;" – "&amp;IF(LEN(INDEX('Vendor COIs'!$B$4:$B$503,(_calc!$E$293-500)))=0,"",INDEX('Vendor COIs'!$B$4:$B$503,(_calc!$E$293-500)))))</f>
        <v/>
      </c>
      <c r="B291" s="46">
        <f>IF(_calc!$E$293="","",IF(_calc!$E$293&lt;=500,IF(ISNUMBER(INDEX('Our policies'!$J$4:$J$503,_calc!$E$293)),TEXT(INDEX('Our policies'!$J$4:$J$503,_calc!$E$293),"yyyy-mm-dd"),""),IF(ISNUMBER(INDEX('Vendor COIs'!$H$4:$H$503,(_calc!$E$293-500))),TEXT(INDEX('Vendor COIs'!$H$4:$H$503,(_calc!$E$293-500)),"yyyy-mm-dd"),"")))</f>
        <v/>
      </c>
      <c r="C291" s="46">
        <f>IF(_calc!$E$293="","",IF(_calc!$E$293&lt;=500,"Insurance","Certificate of insurance"))</f>
        <v/>
      </c>
      <c r="D291" s="46">
        <f>IF(_calc!$E$293="","",IF(_calc!$E$293&lt;=500,IF(ISNUMBER(INDEX('Our policies'!$I$4:$I$503,_calc!$E$293)),TEXT(INDEX('Our policies'!$I$4:$I$503,_calc!$E$293),"yyyy-mm-dd"),""),""))</f>
        <v/>
      </c>
      <c r="E291" s="46">
        <f>IF(_calc!$E$293="","",IF(_calc!$E$293&lt;=500,IF(LEN(INDEX('Our policies'!$Q$4:$Q$503,_calc!$E$293))=0,"",INDEX('Our policies'!$Q$4:$Q$503,_calc!$E$293)),"Medium"))</f>
        <v/>
      </c>
      <c r="F291" s="46">
        <f>IF(_calc!$E$293="","",IF(_calc!$E$293&lt;=500,TRIM(IF(LEN(IF(LEN(INDEX('Our policies'!$B$4:$B$503,_calc!$E$293))=0,"",INDEX('Our policies'!$B$4:$B$503,_calc!$E$293)))=0,"","Cover: "&amp;IF(LEN(INDEX('Our policies'!$B$4:$B$503,_calc!$E$293))=0,"",INDEX('Our policies'!$B$4:$B$503,_calc!$E$293))&amp;". ")&amp;IF(LEN(IF(LEN(INDEX('Our policies'!$C$4:$C$503,_calc!$E$293))=0,"",INDEX('Our policies'!$C$4:$C$503,_calc!$E$293)))=0,"","Insurer: "&amp;IF(LEN(INDEX('Our policies'!$C$4:$C$503,_calc!$E$293))=0,"",INDEX('Our policies'!$C$4:$C$503,_calc!$E$293))&amp;". ")&amp;IF(LEN(IF(LEN(INDEX('Our policies'!$D$4:$D$503,_calc!$E$293))=0,"",INDEX('Our policies'!$D$4:$D$503,_calc!$E$293)))=0,"","Broker: "&amp;IF(LEN(INDEX('Our policies'!$D$4:$D$503,_calc!$E$293))=0,"",INDEX('Our policies'!$D$4:$D$503,_calc!$E$293))&amp;". ")&amp;IF(LEN(IF(LEN(INDEX('Our policies'!$E$4:$E$503,_calc!$E$293))=0,"",INDEX('Our policies'!$E$4:$E$503,_calc!$E$293)))=0,"","Policy no.: "&amp;IF(LEN(INDEX('Our policies'!$E$4:$E$503,_calc!$E$293))=0,"",INDEX('Our policies'!$E$4:$E$503,_calc!$E$293))&amp;". ")&amp;IF(LEN(IF(LEN(INDEX('Our policies'!$S$4:$S$503,_calc!$E$293))=0,"",INDEX('Our policies'!$S$4:$S$503,_calc!$E$293)))=0,"",IF(LEN(INDEX('Our policies'!$S$4:$S$503,_calc!$E$293))=0,"",INDEX('Our policies'!$S$4:$S$503,_calc!$E$293)))),TRIM(IF(LEN(IF(LEN(INDEX('Vendor COIs'!$C$4:$C$503,(_calc!$E$293-500)))=0,"",INDEX('Vendor COIs'!$C$4:$C$503,(_calc!$E$293-500))))=0,"","Insurer: "&amp;IF(LEN(INDEX('Vendor COIs'!$C$4:$C$503,(_calc!$E$293-500)))=0,"",INDEX('Vendor COIs'!$C$4:$C$503,(_calc!$E$293-500)))&amp;". ")&amp;IF(LEN(IF(LEN(INDEX('Vendor COIs'!$D$4:$D$503,(_calc!$E$293-500)))=0,"",INDEX('Vendor COIs'!$D$4:$D$503,(_calc!$E$293-500))))=0,"","Policy no.: "&amp;IF(LEN(INDEX('Vendor COIs'!$D$4:$D$503,(_calc!$E$293-500)))=0,"",INDEX('Vendor COIs'!$D$4:$D$503,(_calc!$E$293-500)))&amp;". ")&amp;IF(LEN(IF(LEN(INDEX('Vendor COIs'!$F$4:$F$503,(_calc!$E$293-500)))=0,"",INDEX('Vendor COIs'!$F$4:$F$503,(_calc!$E$293-500))))=0,"","Meets minimum: "&amp;IF(LEN(INDEX('Vendor COIs'!$F$4:$F$503,(_calc!$E$293-500)))=0,"",INDEX('Vendor COIs'!$F$4:$F$503,(_calc!$E$293-500)))&amp;". ")&amp;IF(LEN(IF(LEN(INDEX('Vendor COIs'!$G$4:$G$503,(_calc!$E$293-500)))=0,"",INDEX('Vendor COIs'!$G$4:$G$503,(_calc!$E$293-500))))=0,"","Additional insured: "&amp;IF(LEN(INDEX('Vendor COIs'!$G$4:$G$503,(_calc!$E$293-500)))=0,"",INDEX('Vendor COIs'!$G$4:$G$503,(_calc!$E$293-500)))&amp;". ")&amp;IF(LEN(IF(LEN(INDEX('Vendor COIs'!$M$4:$M$503,(_calc!$E$293-500)))=0,"",INDEX('Vendor COIs'!$M$4:$M$503,(_calc!$E$293-500))))=0,"","Vendor contact: "&amp;IF(LEN(INDEX('Vendor COIs'!$M$4:$M$503,(_calc!$E$293-500)))=0,"",INDEX('Vendor COIs'!$M$4:$M$503,(_calc!$E$293-500)))&amp;". ")&amp;IF(LEN(IF(LEN(INDEX('Vendor COIs'!$P$4:$P$503,(_calc!$E$293-500)))=0,"",INDEX('Vendor COIs'!$P$4:$P$503,(_calc!$E$293-500))))=0,"",IF(LEN(INDEX('Vendor COIs'!$P$4:$P$503,(_calc!$E$293-500)))=0,"",INDEX('Vendor COIs'!$P$4:$P$503,(_calc!$E$293-500)))))))</f>
        <v/>
      </c>
      <c r="G291" s="46">
        <f>IF(_calc!$E$293="","",IF(_calc!$E$293&lt;=500,IF(LEN(INDEX('Our policies'!$R$4:$R$503,_calc!$E$293))=0,"",INDEX('Our policies'!$R$4:$R$503,_calc!$E$293)),IF(LEN(INDEX('Vendor COIs'!$O$4:$O$503,(_calc!$E$293-500)))=0,"",INDEX('Vendor COIs'!$O$4:$O$503,(_calc!$E$293-500)))))</f>
        <v/>
      </c>
      <c r="H291" s="46">
        <f>IF(_calc!$E$293="","",IF(_calc!$E$293&lt;=500,IF(LEN(INDEX('Our policies'!$G$4:$G$503,_calc!$E$293))=0,"",INDEX('Our policies'!$G$4:$G$503,_calc!$E$293)),""))</f>
        <v/>
      </c>
      <c r="I291" s="46">
        <f>IF(_calc!$E$293="","",IF(_calc!$E$293&lt;=500,IF(LEN(INDEX('Our policies'!$H$4:$H$503,_calc!$E$293))=0,"",INDEX('Our policies'!$H$4:$H$503,_calc!$E$293)),""))</f>
        <v/>
      </c>
      <c r="K291" s="46">
        <f>IF(_calc!$E$293="","",IF(_calc!$E$293&lt;=500,IF(LEN(INDEX('Our policies'!$P$4:$P$503,_calc!$E$293))=0,"",INDEX('Our policies'!$P$4:$P$503,_calc!$E$293)),IF(LEN(INDEX('Vendor COIs'!$N$4:$N$503,(_calc!$E$293-500)))=0,"",INDEX('Vendor COIs'!$N$4:$N$503,(_calc!$E$293-500)))))</f>
        <v/>
      </c>
    </row>
    <row r="292">
      <c r="A292" s="46">
        <f>IF(_calc!$E$294="","",IF(_calc!$E$294&lt;=500,IF(LEN(INDEX('Our policies'!$A$4:$A$503,_calc!$E$294))=0,"",INDEX('Our policies'!$A$4:$A$503,_calc!$E$294)),"COI – "&amp;IF(LEN(INDEX('Vendor COIs'!$A$4:$A$503,(_calc!$E$294-500)))=0,"",INDEX('Vendor COIs'!$A$4:$A$503,(_calc!$E$294-500)))&amp;" – "&amp;IF(LEN(INDEX('Vendor COIs'!$B$4:$B$503,(_calc!$E$294-500)))=0,"",INDEX('Vendor COIs'!$B$4:$B$503,(_calc!$E$294-500)))))</f>
        <v/>
      </c>
      <c r="B292" s="46">
        <f>IF(_calc!$E$294="","",IF(_calc!$E$294&lt;=500,IF(ISNUMBER(INDEX('Our policies'!$J$4:$J$503,_calc!$E$294)),TEXT(INDEX('Our policies'!$J$4:$J$503,_calc!$E$294),"yyyy-mm-dd"),""),IF(ISNUMBER(INDEX('Vendor COIs'!$H$4:$H$503,(_calc!$E$294-500))),TEXT(INDEX('Vendor COIs'!$H$4:$H$503,(_calc!$E$294-500)),"yyyy-mm-dd"),"")))</f>
        <v/>
      </c>
      <c r="C292" s="46">
        <f>IF(_calc!$E$294="","",IF(_calc!$E$294&lt;=500,"Insurance","Certificate of insurance"))</f>
        <v/>
      </c>
      <c r="D292" s="46">
        <f>IF(_calc!$E$294="","",IF(_calc!$E$294&lt;=500,IF(ISNUMBER(INDEX('Our policies'!$I$4:$I$503,_calc!$E$294)),TEXT(INDEX('Our policies'!$I$4:$I$503,_calc!$E$294),"yyyy-mm-dd"),""),""))</f>
        <v/>
      </c>
      <c r="E292" s="46">
        <f>IF(_calc!$E$294="","",IF(_calc!$E$294&lt;=500,IF(LEN(INDEX('Our policies'!$Q$4:$Q$503,_calc!$E$294))=0,"",INDEX('Our policies'!$Q$4:$Q$503,_calc!$E$294)),"Medium"))</f>
        <v/>
      </c>
      <c r="F292" s="46">
        <f>IF(_calc!$E$294="","",IF(_calc!$E$294&lt;=500,TRIM(IF(LEN(IF(LEN(INDEX('Our policies'!$B$4:$B$503,_calc!$E$294))=0,"",INDEX('Our policies'!$B$4:$B$503,_calc!$E$294)))=0,"","Cover: "&amp;IF(LEN(INDEX('Our policies'!$B$4:$B$503,_calc!$E$294))=0,"",INDEX('Our policies'!$B$4:$B$503,_calc!$E$294))&amp;". ")&amp;IF(LEN(IF(LEN(INDEX('Our policies'!$C$4:$C$503,_calc!$E$294))=0,"",INDEX('Our policies'!$C$4:$C$503,_calc!$E$294)))=0,"","Insurer: "&amp;IF(LEN(INDEX('Our policies'!$C$4:$C$503,_calc!$E$294))=0,"",INDEX('Our policies'!$C$4:$C$503,_calc!$E$294))&amp;". ")&amp;IF(LEN(IF(LEN(INDEX('Our policies'!$D$4:$D$503,_calc!$E$294))=0,"",INDEX('Our policies'!$D$4:$D$503,_calc!$E$294)))=0,"","Broker: "&amp;IF(LEN(INDEX('Our policies'!$D$4:$D$503,_calc!$E$294))=0,"",INDEX('Our policies'!$D$4:$D$503,_calc!$E$294))&amp;". ")&amp;IF(LEN(IF(LEN(INDEX('Our policies'!$E$4:$E$503,_calc!$E$294))=0,"",INDEX('Our policies'!$E$4:$E$503,_calc!$E$294)))=0,"","Policy no.: "&amp;IF(LEN(INDEX('Our policies'!$E$4:$E$503,_calc!$E$294))=0,"",INDEX('Our policies'!$E$4:$E$503,_calc!$E$294))&amp;". ")&amp;IF(LEN(IF(LEN(INDEX('Our policies'!$S$4:$S$503,_calc!$E$294))=0,"",INDEX('Our policies'!$S$4:$S$503,_calc!$E$294)))=0,"",IF(LEN(INDEX('Our policies'!$S$4:$S$503,_calc!$E$294))=0,"",INDEX('Our policies'!$S$4:$S$503,_calc!$E$294)))),TRIM(IF(LEN(IF(LEN(INDEX('Vendor COIs'!$C$4:$C$503,(_calc!$E$294-500)))=0,"",INDEX('Vendor COIs'!$C$4:$C$503,(_calc!$E$294-500))))=0,"","Insurer: "&amp;IF(LEN(INDEX('Vendor COIs'!$C$4:$C$503,(_calc!$E$294-500)))=0,"",INDEX('Vendor COIs'!$C$4:$C$503,(_calc!$E$294-500)))&amp;". ")&amp;IF(LEN(IF(LEN(INDEX('Vendor COIs'!$D$4:$D$503,(_calc!$E$294-500)))=0,"",INDEX('Vendor COIs'!$D$4:$D$503,(_calc!$E$294-500))))=0,"","Policy no.: "&amp;IF(LEN(INDEX('Vendor COIs'!$D$4:$D$503,(_calc!$E$294-500)))=0,"",INDEX('Vendor COIs'!$D$4:$D$503,(_calc!$E$294-500)))&amp;". ")&amp;IF(LEN(IF(LEN(INDEX('Vendor COIs'!$F$4:$F$503,(_calc!$E$294-500)))=0,"",INDEX('Vendor COIs'!$F$4:$F$503,(_calc!$E$294-500))))=0,"","Meets minimum: "&amp;IF(LEN(INDEX('Vendor COIs'!$F$4:$F$503,(_calc!$E$294-500)))=0,"",INDEX('Vendor COIs'!$F$4:$F$503,(_calc!$E$294-500)))&amp;". ")&amp;IF(LEN(IF(LEN(INDEX('Vendor COIs'!$G$4:$G$503,(_calc!$E$294-500)))=0,"",INDEX('Vendor COIs'!$G$4:$G$503,(_calc!$E$294-500))))=0,"","Additional insured: "&amp;IF(LEN(INDEX('Vendor COIs'!$G$4:$G$503,(_calc!$E$294-500)))=0,"",INDEX('Vendor COIs'!$G$4:$G$503,(_calc!$E$294-500)))&amp;". ")&amp;IF(LEN(IF(LEN(INDEX('Vendor COIs'!$M$4:$M$503,(_calc!$E$294-500)))=0,"",INDEX('Vendor COIs'!$M$4:$M$503,(_calc!$E$294-500))))=0,"","Vendor contact: "&amp;IF(LEN(INDEX('Vendor COIs'!$M$4:$M$503,(_calc!$E$294-500)))=0,"",INDEX('Vendor COIs'!$M$4:$M$503,(_calc!$E$294-500)))&amp;". ")&amp;IF(LEN(IF(LEN(INDEX('Vendor COIs'!$P$4:$P$503,(_calc!$E$294-500)))=0,"",INDEX('Vendor COIs'!$P$4:$P$503,(_calc!$E$294-500))))=0,"",IF(LEN(INDEX('Vendor COIs'!$P$4:$P$503,(_calc!$E$294-500)))=0,"",INDEX('Vendor COIs'!$P$4:$P$503,(_calc!$E$294-500)))))))</f>
        <v/>
      </c>
      <c r="G292" s="46">
        <f>IF(_calc!$E$294="","",IF(_calc!$E$294&lt;=500,IF(LEN(INDEX('Our policies'!$R$4:$R$503,_calc!$E$294))=0,"",INDEX('Our policies'!$R$4:$R$503,_calc!$E$294)),IF(LEN(INDEX('Vendor COIs'!$O$4:$O$503,(_calc!$E$294-500)))=0,"",INDEX('Vendor COIs'!$O$4:$O$503,(_calc!$E$294-500)))))</f>
        <v/>
      </c>
      <c r="H292" s="46">
        <f>IF(_calc!$E$294="","",IF(_calc!$E$294&lt;=500,IF(LEN(INDEX('Our policies'!$G$4:$G$503,_calc!$E$294))=0,"",INDEX('Our policies'!$G$4:$G$503,_calc!$E$294)),""))</f>
        <v/>
      </c>
      <c r="I292" s="46">
        <f>IF(_calc!$E$294="","",IF(_calc!$E$294&lt;=500,IF(LEN(INDEX('Our policies'!$H$4:$H$503,_calc!$E$294))=0,"",INDEX('Our policies'!$H$4:$H$503,_calc!$E$294)),""))</f>
        <v/>
      </c>
      <c r="K292" s="46">
        <f>IF(_calc!$E$294="","",IF(_calc!$E$294&lt;=500,IF(LEN(INDEX('Our policies'!$P$4:$P$503,_calc!$E$294))=0,"",INDEX('Our policies'!$P$4:$P$503,_calc!$E$294)),IF(LEN(INDEX('Vendor COIs'!$N$4:$N$503,(_calc!$E$294-500)))=0,"",INDEX('Vendor COIs'!$N$4:$N$503,(_calc!$E$294-500)))))</f>
        <v/>
      </c>
    </row>
    <row r="293">
      <c r="A293" s="46">
        <f>IF(_calc!$E$295="","",IF(_calc!$E$295&lt;=500,IF(LEN(INDEX('Our policies'!$A$4:$A$503,_calc!$E$295))=0,"",INDEX('Our policies'!$A$4:$A$503,_calc!$E$295)),"COI – "&amp;IF(LEN(INDEX('Vendor COIs'!$A$4:$A$503,(_calc!$E$295-500)))=0,"",INDEX('Vendor COIs'!$A$4:$A$503,(_calc!$E$295-500)))&amp;" – "&amp;IF(LEN(INDEX('Vendor COIs'!$B$4:$B$503,(_calc!$E$295-500)))=0,"",INDEX('Vendor COIs'!$B$4:$B$503,(_calc!$E$295-500)))))</f>
        <v/>
      </c>
      <c r="B293" s="46">
        <f>IF(_calc!$E$295="","",IF(_calc!$E$295&lt;=500,IF(ISNUMBER(INDEX('Our policies'!$J$4:$J$503,_calc!$E$295)),TEXT(INDEX('Our policies'!$J$4:$J$503,_calc!$E$295),"yyyy-mm-dd"),""),IF(ISNUMBER(INDEX('Vendor COIs'!$H$4:$H$503,(_calc!$E$295-500))),TEXT(INDEX('Vendor COIs'!$H$4:$H$503,(_calc!$E$295-500)),"yyyy-mm-dd"),"")))</f>
        <v/>
      </c>
      <c r="C293" s="46">
        <f>IF(_calc!$E$295="","",IF(_calc!$E$295&lt;=500,"Insurance","Certificate of insurance"))</f>
        <v/>
      </c>
      <c r="D293" s="46">
        <f>IF(_calc!$E$295="","",IF(_calc!$E$295&lt;=500,IF(ISNUMBER(INDEX('Our policies'!$I$4:$I$503,_calc!$E$295)),TEXT(INDEX('Our policies'!$I$4:$I$503,_calc!$E$295),"yyyy-mm-dd"),""),""))</f>
        <v/>
      </c>
      <c r="E293" s="46">
        <f>IF(_calc!$E$295="","",IF(_calc!$E$295&lt;=500,IF(LEN(INDEX('Our policies'!$Q$4:$Q$503,_calc!$E$295))=0,"",INDEX('Our policies'!$Q$4:$Q$503,_calc!$E$295)),"Medium"))</f>
        <v/>
      </c>
      <c r="F293" s="46">
        <f>IF(_calc!$E$295="","",IF(_calc!$E$295&lt;=500,TRIM(IF(LEN(IF(LEN(INDEX('Our policies'!$B$4:$B$503,_calc!$E$295))=0,"",INDEX('Our policies'!$B$4:$B$503,_calc!$E$295)))=0,"","Cover: "&amp;IF(LEN(INDEX('Our policies'!$B$4:$B$503,_calc!$E$295))=0,"",INDEX('Our policies'!$B$4:$B$503,_calc!$E$295))&amp;". ")&amp;IF(LEN(IF(LEN(INDEX('Our policies'!$C$4:$C$503,_calc!$E$295))=0,"",INDEX('Our policies'!$C$4:$C$503,_calc!$E$295)))=0,"","Insurer: "&amp;IF(LEN(INDEX('Our policies'!$C$4:$C$503,_calc!$E$295))=0,"",INDEX('Our policies'!$C$4:$C$503,_calc!$E$295))&amp;". ")&amp;IF(LEN(IF(LEN(INDEX('Our policies'!$D$4:$D$503,_calc!$E$295))=0,"",INDEX('Our policies'!$D$4:$D$503,_calc!$E$295)))=0,"","Broker: "&amp;IF(LEN(INDEX('Our policies'!$D$4:$D$503,_calc!$E$295))=0,"",INDEX('Our policies'!$D$4:$D$503,_calc!$E$295))&amp;". ")&amp;IF(LEN(IF(LEN(INDEX('Our policies'!$E$4:$E$503,_calc!$E$295))=0,"",INDEX('Our policies'!$E$4:$E$503,_calc!$E$295)))=0,"","Policy no.: "&amp;IF(LEN(INDEX('Our policies'!$E$4:$E$503,_calc!$E$295))=0,"",INDEX('Our policies'!$E$4:$E$503,_calc!$E$295))&amp;". ")&amp;IF(LEN(IF(LEN(INDEX('Our policies'!$S$4:$S$503,_calc!$E$295))=0,"",INDEX('Our policies'!$S$4:$S$503,_calc!$E$295)))=0,"",IF(LEN(INDEX('Our policies'!$S$4:$S$503,_calc!$E$295))=0,"",INDEX('Our policies'!$S$4:$S$503,_calc!$E$295)))),TRIM(IF(LEN(IF(LEN(INDEX('Vendor COIs'!$C$4:$C$503,(_calc!$E$295-500)))=0,"",INDEX('Vendor COIs'!$C$4:$C$503,(_calc!$E$295-500))))=0,"","Insurer: "&amp;IF(LEN(INDEX('Vendor COIs'!$C$4:$C$503,(_calc!$E$295-500)))=0,"",INDEX('Vendor COIs'!$C$4:$C$503,(_calc!$E$295-500)))&amp;". ")&amp;IF(LEN(IF(LEN(INDEX('Vendor COIs'!$D$4:$D$503,(_calc!$E$295-500)))=0,"",INDEX('Vendor COIs'!$D$4:$D$503,(_calc!$E$295-500))))=0,"","Policy no.: "&amp;IF(LEN(INDEX('Vendor COIs'!$D$4:$D$503,(_calc!$E$295-500)))=0,"",INDEX('Vendor COIs'!$D$4:$D$503,(_calc!$E$295-500)))&amp;". ")&amp;IF(LEN(IF(LEN(INDEX('Vendor COIs'!$F$4:$F$503,(_calc!$E$295-500)))=0,"",INDEX('Vendor COIs'!$F$4:$F$503,(_calc!$E$295-500))))=0,"","Meets minimum: "&amp;IF(LEN(INDEX('Vendor COIs'!$F$4:$F$503,(_calc!$E$295-500)))=0,"",INDEX('Vendor COIs'!$F$4:$F$503,(_calc!$E$295-500)))&amp;". ")&amp;IF(LEN(IF(LEN(INDEX('Vendor COIs'!$G$4:$G$503,(_calc!$E$295-500)))=0,"",INDEX('Vendor COIs'!$G$4:$G$503,(_calc!$E$295-500))))=0,"","Additional insured: "&amp;IF(LEN(INDEX('Vendor COIs'!$G$4:$G$503,(_calc!$E$295-500)))=0,"",INDEX('Vendor COIs'!$G$4:$G$503,(_calc!$E$295-500)))&amp;". ")&amp;IF(LEN(IF(LEN(INDEX('Vendor COIs'!$M$4:$M$503,(_calc!$E$295-500)))=0,"",INDEX('Vendor COIs'!$M$4:$M$503,(_calc!$E$295-500))))=0,"","Vendor contact: "&amp;IF(LEN(INDEX('Vendor COIs'!$M$4:$M$503,(_calc!$E$295-500)))=0,"",INDEX('Vendor COIs'!$M$4:$M$503,(_calc!$E$295-500)))&amp;". ")&amp;IF(LEN(IF(LEN(INDEX('Vendor COIs'!$P$4:$P$503,(_calc!$E$295-500)))=0,"",INDEX('Vendor COIs'!$P$4:$P$503,(_calc!$E$295-500))))=0,"",IF(LEN(INDEX('Vendor COIs'!$P$4:$P$503,(_calc!$E$295-500)))=0,"",INDEX('Vendor COIs'!$P$4:$P$503,(_calc!$E$295-500)))))))</f>
        <v/>
      </c>
      <c r="G293" s="46">
        <f>IF(_calc!$E$295="","",IF(_calc!$E$295&lt;=500,IF(LEN(INDEX('Our policies'!$R$4:$R$503,_calc!$E$295))=0,"",INDEX('Our policies'!$R$4:$R$503,_calc!$E$295)),IF(LEN(INDEX('Vendor COIs'!$O$4:$O$503,(_calc!$E$295-500)))=0,"",INDEX('Vendor COIs'!$O$4:$O$503,(_calc!$E$295-500)))))</f>
        <v/>
      </c>
      <c r="H293" s="46">
        <f>IF(_calc!$E$295="","",IF(_calc!$E$295&lt;=500,IF(LEN(INDEX('Our policies'!$G$4:$G$503,_calc!$E$295))=0,"",INDEX('Our policies'!$G$4:$G$503,_calc!$E$295)),""))</f>
        <v/>
      </c>
      <c r="I293" s="46">
        <f>IF(_calc!$E$295="","",IF(_calc!$E$295&lt;=500,IF(LEN(INDEX('Our policies'!$H$4:$H$503,_calc!$E$295))=0,"",INDEX('Our policies'!$H$4:$H$503,_calc!$E$295)),""))</f>
        <v/>
      </c>
      <c r="K293" s="46">
        <f>IF(_calc!$E$295="","",IF(_calc!$E$295&lt;=500,IF(LEN(INDEX('Our policies'!$P$4:$P$503,_calc!$E$295))=0,"",INDEX('Our policies'!$P$4:$P$503,_calc!$E$295)),IF(LEN(INDEX('Vendor COIs'!$N$4:$N$503,(_calc!$E$295-500)))=0,"",INDEX('Vendor COIs'!$N$4:$N$503,(_calc!$E$295-500)))))</f>
        <v/>
      </c>
    </row>
    <row r="294">
      <c r="A294" s="46">
        <f>IF(_calc!$E$296="","",IF(_calc!$E$296&lt;=500,IF(LEN(INDEX('Our policies'!$A$4:$A$503,_calc!$E$296))=0,"",INDEX('Our policies'!$A$4:$A$503,_calc!$E$296)),"COI – "&amp;IF(LEN(INDEX('Vendor COIs'!$A$4:$A$503,(_calc!$E$296-500)))=0,"",INDEX('Vendor COIs'!$A$4:$A$503,(_calc!$E$296-500)))&amp;" – "&amp;IF(LEN(INDEX('Vendor COIs'!$B$4:$B$503,(_calc!$E$296-500)))=0,"",INDEX('Vendor COIs'!$B$4:$B$503,(_calc!$E$296-500)))))</f>
        <v/>
      </c>
      <c r="B294" s="46">
        <f>IF(_calc!$E$296="","",IF(_calc!$E$296&lt;=500,IF(ISNUMBER(INDEX('Our policies'!$J$4:$J$503,_calc!$E$296)),TEXT(INDEX('Our policies'!$J$4:$J$503,_calc!$E$296),"yyyy-mm-dd"),""),IF(ISNUMBER(INDEX('Vendor COIs'!$H$4:$H$503,(_calc!$E$296-500))),TEXT(INDEX('Vendor COIs'!$H$4:$H$503,(_calc!$E$296-500)),"yyyy-mm-dd"),"")))</f>
        <v/>
      </c>
      <c r="C294" s="46">
        <f>IF(_calc!$E$296="","",IF(_calc!$E$296&lt;=500,"Insurance","Certificate of insurance"))</f>
        <v/>
      </c>
      <c r="D294" s="46">
        <f>IF(_calc!$E$296="","",IF(_calc!$E$296&lt;=500,IF(ISNUMBER(INDEX('Our policies'!$I$4:$I$503,_calc!$E$296)),TEXT(INDEX('Our policies'!$I$4:$I$503,_calc!$E$296),"yyyy-mm-dd"),""),""))</f>
        <v/>
      </c>
      <c r="E294" s="46">
        <f>IF(_calc!$E$296="","",IF(_calc!$E$296&lt;=500,IF(LEN(INDEX('Our policies'!$Q$4:$Q$503,_calc!$E$296))=0,"",INDEX('Our policies'!$Q$4:$Q$503,_calc!$E$296)),"Medium"))</f>
        <v/>
      </c>
      <c r="F294" s="46">
        <f>IF(_calc!$E$296="","",IF(_calc!$E$296&lt;=500,TRIM(IF(LEN(IF(LEN(INDEX('Our policies'!$B$4:$B$503,_calc!$E$296))=0,"",INDEX('Our policies'!$B$4:$B$503,_calc!$E$296)))=0,"","Cover: "&amp;IF(LEN(INDEX('Our policies'!$B$4:$B$503,_calc!$E$296))=0,"",INDEX('Our policies'!$B$4:$B$503,_calc!$E$296))&amp;". ")&amp;IF(LEN(IF(LEN(INDEX('Our policies'!$C$4:$C$503,_calc!$E$296))=0,"",INDEX('Our policies'!$C$4:$C$503,_calc!$E$296)))=0,"","Insurer: "&amp;IF(LEN(INDEX('Our policies'!$C$4:$C$503,_calc!$E$296))=0,"",INDEX('Our policies'!$C$4:$C$503,_calc!$E$296))&amp;". ")&amp;IF(LEN(IF(LEN(INDEX('Our policies'!$D$4:$D$503,_calc!$E$296))=0,"",INDEX('Our policies'!$D$4:$D$503,_calc!$E$296)))=0,"","Broker: "&amp;IF(LEN(INDEX('Our policies'!$D$4:$D$503,_calc!$E$296))=0,"",INDEX('Our policies'!$D$4:$D$503,_calc!$E$296))&amp;". ")&amp;IF(LEN(IF(LEN(INDEX('Our policies'!$E$4:$E$503,_calc!$E$296))=0,"",INDEX('Our policies'!$E$4:$E$503,_calc!$E$296)))=0,"","Policy no.: "&amp;IF(LEN(INDEX('Our policies'!$E$4:$E$503,_calc!$E$296))=0,"",INDEX('Our policies'!$E$4:$E$503,_calc!$E$296))&amp;". ")&amp;IF(LEN(IF(LEN(INDEX('Our policies'!$S$4:$S$503,_calc!$E$296))=0,"",INDEX('Our policies'!$S$4:$S$503,_calc!$E$296)))=0,"",IF(LEN(INDEX('Our policies'!$S$4:$S$503,_calc!$E$296))=0,"",INDEX('Our policies'!$S$4:$S$503,_calc!$E$296)))),TRIM(IF(LEN(IF(LEN(INDEX('Vendor COIs'!$C$4:$C$503,(_calc!$E$296-500)))=0,"",INDEX('Vendor COIs'!$C$4:$C$503,(_calc!$E$296-500))))=0,"","Insurer: "&amp;IF(LEN(INDEX('Vendor COIs'!$C$4:$C$503,(_calc!$E$296-500)))=0,"",INDEX('Vendor COIs'!$C$4:$C$503,(_calc!$E$296-500)))&amp;". ")&amp;IF(LEN(IF(LEN(INDEX('Vendor COIs'!$D$4:$D$503,(_calc!$E$296-500)))=0,"",INDEX('Vendor COIs'!$D$4:$D$503,(_calc!$E$296-500))))=0,"","Policy no.: "&amp;IF(LEN(INDEX('Vendor COIs'!$D$4:$D$503,(_calc!$E$296-500)))=0,"",INDEX('Vendor COIs'!$D$4:$D$503,(_calc!$E$296-500)))&amp;". ")&amp;IF(LEN(IF(LEN(INDEX('Vendor COIs'!$F$4:$F$503,(_calc!$E$296-500)))=0,"",INDEX('Vendor COIs'!$F$4:$F$503,(_calc!$E$296-500))))=0,"","Meets minimum: "&amp;IF(LEN(INDEX('Vendor COIs'!$F$4:$F$503,(_calc!$E$296-500)))=0,"",INDEX('Vendor COIs'!$F$4:$F$503,(_calc!$E$296-500)))&amp;". ")&amp;IF(LEN(IF(LEN(INDEX('Vendor COIs'!$G$4:$G$503,(_calc!$E$296-500)))=0,"",INDEX('Vendor COIs'!$G$4:$G$503,(_calc!$E$296-500))))=0,"","Additional insured: "&amp;IF(LEN(INDEX('Vendor COIs'!$G$4:$G$503,(_calc!$E$296-500)))=0,"",INDEX('Vendor COIs'!$G$4:$G$503,(_calc!$E$296-500)))&amp;". ")&amp;IF(LEN(IF(LEN(INDEX('Vendor COIs'!$M$4:$M$503,(_calc!$E$296-500)))=0,"",INDEX('Vendor COIs'!$M$4:$M$503,(_calc!$E$296-500))))=0,"","Vendor contact: "&amp;IF(LEN(INDEX('Vendor COIs'!$M$4:$M$503,(_calc!$E$296-500)))=0,"",INDEX('Vendor COIs'!$M$4:$M$503,(_calc!$E$296-500)))&amp;". ")&amp;IF(LEN(IF(LEN(INDEX('Vendor COIs'!$P$4:$P$503,(_calc!$E$296-500)))=0,"",INDEX('Vendor COIs'!$P$4:$P$503,(_calc!$E$296-500))))=0,"",IF(LEN(INDEX('Vendor COIs'!$P$4:$P$503,(_calc!$E$296-500)))=0,"",INDEX('Vendor COIs'!$P$4:$P$503,(_calc!$E$296-500)))))))</f>
        <v/>
      </c>
      <c r="G294" s="46">
        <f>IF(_calc!$E$296="","",IF(_calc!$E$296&lt;=500,IF(LEN(INDEX('Our policies'!$R$4:$R$503,_calc!$E$296))=0,"",INDEX('Our policies'!$R$4:$R$503,_calc!$E$296)),IF(LEN(INDEX('Vendor COIs'!$O$4:$O$503,(_calc!$E$296-500)))=0,"",INDEX('Vendor COIs'!$O$4:$O$503,(_calc!$E$296-500)))))</f>
        <v/>
      </c>
      <c r="H294" s="46">
        <f>IF(_calc!$E$296="","",IF(_calc!$E$296&lt;=500,IF(LEN(INDEX('Our policies'!$G$4:$G$503,_calc!$E$296))=0,"",INDEX('Our policies'!$G$4:$G$503,_calc!$E$296)),""))</f>
        <v/>
      </c>
      <c r="I294" s="46">
        <f>IF(_calc!$E$296="","",IF(_calc!$E$296&lt;=500,IF(LEN(INDEX('Our policies'!$H$4:$H$503,_calc!$E$296))=0,"",INDEX('Our policies'!$H$4:$H$503,_calc!$E$296)),""))</f>
        <v/>
      </c>
      <c r="K294" s="46">
        <f>IF(_calc!$E$296="","",IF(_calc!$E$296&lt;=500,IF(LEN(INDEX('Our policies'!$P$4:$P$503,_calc!$E$296))=0,"",INDEX('Our policies'!$P$4:$P$503,_calc!$E$296)),IF(LEN(INDEX('Vendor COIs'!$N$4:$N$503,(_calc!$E$296-500)))=0,"",INDEX('Vendor COIs'!$N$4:$N$503,(_calc!$E$296-500)))))</f>
        <v/>
      </c>
    </row>
    <row r="295">
      <c r="A295" s="46">
        <f>IF(_calc!$E$297="","",IF(_calc!$E$297&lt;=500,IF(LEN(INDEX('Our policies'!$A$4:$A$503,_calc!$E$297))=0,"",INDEX('Our policies'!$A$4:$A$503,_calc!$E$297)),"COI – "&amp;IF(LEN(INDEX('Vendor COIs'!$A$4:$A$503,(_calc!$E$297-500)))=0,"",INDEX('Vendor COIs'!$A$4:$A$503,(_calc!$E$297-500)))&amp;" – "&amp;IF(LEN(INDEX('Vendor COIs'!$B$4:$B$503,(_calc!$E$297-500)))=0,"",INDEX('Vendor COIs'!$B$4:$B$503,(_calc!$E$297-500)))))</f>
        <v/>
      </c>
      <c r="B295" s="46">
        <f>IF(_calc!$E$297="","",IF(_calc!$E$297&lt;=500,IF(ISNUMBER(INDEX('Our policies'!$J$4:$J$503,_calc!$E$297)),TEXT(INDEX('Our policies'!$J$4:$J$503,_calc!$E$297),"yyyy-mm-dd"),""),IF(ISNUMBER(INDEX('Vendor COIs'!$H$4:$H$503,(_calc!$E$297-500))),TEXT(INDEX('Vendor COIs'!$H$4:$H$503,(_calc!$E$297-500)),"yyyy-mm-dd"),"")))</f>
        <v/>
      </c>
      <c r="C295" s="46">
        <f>IF(_calc!$E$297="","",IF(_calc!$E$297&lt;=500,"Insurance","Certificate of insurance"))</f>
        <v/>
      </c>
      <c r="D295" s="46">
        <f>IF(_calc!$E$297="","",IF(_calc!$E$297&lt;=500,IF(ISNUMBER(INDEX('Our policies'!$I$4:$I$503,_calc!$E$297)),TEXT(INDEX('Our policies'!$I$4:$I$503,_calc!$E$297),"yyyy-mm-dd"),""),""))</f>
        <v/>
      </c>
      <c r="E295" s="46">
        <f>IF(_calc!$E$297="","",IF(_calc!$E$297&lt;=500,IF(LEN(INDEX('Our policies'!$Q$4:$Q$503,_calc!$E$297))=0,"",INDEX('Our policies'!$Q$4:$Q$503,_calc!$E$297)),"Medium"))</f>
        <v/>
      </c>
      <c r="F295" s="46">
        <f>IF(_calc!$E$297="","",IF(_calc!$E$297&lt;=500,TRIM(IF(LEN(IF(LEN(INDEX('Our policies'!$B$4:$B$503,_calc!$E$297))=0,"",INDEX('Our policies'!$B$4:$B$503,_calc!$E$297)))=0,"","Cover: "&amp;IF(LEN(INDEX('Our policies'!$B$4:$B$503,_calc!$E$297))=0,"",INDEX('Our policies'!$B$4:$B$503,_calc!$E$297))&amp;". ")&amp;IF(LEN(IF(LEN(INDEX('Our policies'!$C$4:$C$503,_calc!$E$297))=0,"",INDEX('Our policies'!$C$4:$C$503,_calc!$E$297)))=0,"","Insurer: "&amp;IF(LEN(INDEX('Our policies'!$C$4:$C$503,_calc!$E$297))=0,"",INDEX('Our policies'!$C$4:$C$503,_calc!$E$297))&amp;". ")&amp;IF(LEN(IF(LEN(INDEX('Our policies'!$D$4:$D$503,_calc!$E$297))=0,"",INDEX('Our policies'!$D$4:$D$503,_calc!$E$297)))=0,"","Broker: "&amp;IF(LEN(INDEX('Our policies'!$D$4:$D$503,_calc!$E$297))=0,"",INDEX('Our policies'!$D$4:$D$503,_calc!$E$297))&amp;". ")&amp;IF(LEN(IF(LEN(INDEX('Our policies'!$E$4:$E$503,_calc!$E$297))=0,"",INDEX('Our policies'!$E$4:$E$503,_calc!$E$297)))=0,"","Policy no.: "&amp;IF(LEN(INDEX('Our policies'!$E$4:$E$503,_calc!$E$297))=0,"",INDEX('Our policies'!$E$4:$E$503,_calc!$E$297))&amp;". ")&amp;IF(LEN(IF(LEN(INDEX('Our policies'!$S$4:$S$503,_calc!$E$297))=0,"",INDEX('Our policies'!$S$4:$S$503,_calc!$E$297)))=0,"",IF(LEN(INDEX('Our policies'!$S$4:$S$503,_calc!$E$297))=0,"",INDEX('Our policies'!$S$4:$S$503,_calc!$E$297)))),TRIM(IF(LEN(IF(LEN(INDEX('Vendor COIs'!$C$4:$C$503,(_calc!$E$297-500)))=0,"",INDEX('Vendor COIs'!$C$4:$C$503,(_calc!$E$297-500))))=0,"","Insurer: "&amp;IF(LEN(INDEX('Vendor COIs'!$C$4:$C$503,(_calc!$E$297-500)))=0,"",INDEX('Vendor COIs'!$C$4:$C$503,(_calc!$E$297-500)))&amp;". ")&amp;IF(LEN(IF(LEN(INDEX('Vendor COIs'!$D$4:$D$503,(_calc!$E$297-500)))=0,"",INDEX('Vendor COIs'!$D$4:$D$503,(_calc!$E$297-500))))=0,"","Policy no.: "&amp;IF(LEN(INDEX('Vendor COIs'!$D$4:$D$503,(_calc!$E$297-500)))=0,"",INDEX('Vendor COIs'!$D$4:$D$503,(_calc!$E$297-500)))&amp;". ")&amp;IF(LEN(IF(LEN(INDEX('Vendor COIs'!$F$4:$F$503,(_calc!$E$297-500)))=0,"",INDEX('Vendor COIs'!$F$4:$F$503,(_calc!$E$297-500))))=0,"","Meets minimum: "&amp;IF(LEN(INDEX('Vendor COIs'!$F$4:$F$503,(_calc!$E$297-500)))=0,"",INDEX('Vendor COIs'!$F$4:$F$503,(_calc!$E$297-500)))&amp;". ")&amp;IF(LEN(IF(LEN(INDEX('Vendor COIs'!$G$4:$G$503,(_calc!$E$297-500)))=0,"",INDEX('Vendor COIs'!$G$4:$G$503,(_calc!$E$297-500))))=0,"","Additional insured: "&amp;IF(LEN(INDEX('Vendor COIs'!$G$4:$G$503,(_calc!$E$297-500)))=0,"",INDEX('Vendor COIs'!$G$4:$G$503,(_calc!$E$297-500)))&amp;". ")&amp;IF(LEN(IF(LEN(INDEX('Vendor COIs'!$M$4:$M$503,(_calc!$E$297-500)))=0,"",INDEX('Vendor COIs'!$M$4:$M$503,(_calc!$E$297-500))))=0,"","Vendor contact: "&amp;IF(LEN(INDEX('Vendor COIs'!$M$4:$M$503,(_calc!$E$297-500)))=0,"",INDEX('Vendor COIs'!$M$4:$M$503,(_calc!$E$297-500)))&amp;". ")&amp;IF(LEN(IF(LEN(INDEX('Vendor COIs'!$P$4:$P$503,(_calc!$E$297-500)))=0,"",INDEX('Vendor COIs'!$P$4:$P$503,(_calc!$E$297-500))))=0,"",IF(LEN(INDEX('Vendor COIs'!$P$4:$P$503,(_calc!$E$297-500)))=0,"",INDEX('Vendor COIs'!$P$4:$P$503,(_calc!$E$297-500)))))))</f>
        <v/>
      </c>
      <c r="G295" s="46">
        <f>IF(_calc!$E$297="","",IF(_calc!$E$297&lt;=500,IF(LEN(INDEX('Our policies'!$R$4:$R$503,_calc!$E$297))=0,"",INDEX('Our policies'!$R$4:$R$503,_calc!$E$297)),IF(LEN(INDEX('Vendor COIs'!$O$4:$O$503,(_calc!$E$297-500)))=0,"",INDEX('Vendor COIs'!$O$4:$O$503,(_calc!$E$297-500)))))</f>
        <v/>
      </c>
      <c r="H295" s="46">
        <f>IF(_calc!$E$297="","",IF(_calc!$E$297&lt;=500,IF(LEN(INDEX('Our policies'!$G$4:$G$503,_calc!$E$297))=0,"",INDEX('Our policies'!$G$4:$G$503,_calc!$E$297)),""))</f>
        <v/>
      </c>
      <c r="I295" s="46">
        <f>IF(_calc!$E$297="","",IF(_calc!$E$297&lt;=500,IF(LEN(INDEX('Our policies'!$H$4:$H$503,_calc!$E$297))=0,"",INDEX('Our policies'!$H$4:$H$503,_calc!$E$297)),""))</f>
        <v/>
      </c>
      <c r="K295" s="46">
        <f>IF(_calc!$E$297="","",IF(_calc!$E$297&lt;=500,IF(LEN(INDEX('Our policies'!$P$4:$P$503,_calc!$E$297))=0,"",INDEX('Our policies'!$P$4:$P$503,_calc!$E$297)),IF(LEN(INDEX('Vendor COIs'!$N$4:$N$503,(_calc!$E$297-500)))=0,"",INDEX('Vendor COIs'!$N$4:$N$503,(_calc!$E$297-500)))))</f>
        <v/>
      </c>
    </row>
    <row r="296">
      <c r="A296" s="46">
        <f>IF(_calc!$E$298="","",IF(_calc!$E$298&lt;=500,IF(LEN(INDEX('Our policies'!$A$4:$A$503,_calc!$E$298))=0,"",INDEX('Our policies'!$A$4:$A$503,_calc!$E$298)),"COI – "&amp;IF(LEN(INDEX('Vendor COIs'!$A$4:$A$503,(_calc!$E$298-500)))=0,"",INDEX('Vendor COIs'!$A$4:$A$503,(_calc!$E$298-500)))&amp;" – "&amp;IF(LEN(INDEX('Vendor COIs'!$B$4:$B$503,(_calc!$E$298-500)))=0,"",INDEX('Vendor COIs'!$B$4:$B$503,(_calc!$E$298-500)))))</f>
        <v/>
      </c>
      <c r="B296" s="46">
        <f>IF(_calc!$E$298="","",IF(_calc!$E$298&lt;=500,IF(ISNUMBER(INDEX('Our policies'!$J$4:$J$503,_calc!$E$298)),TEXT(INDEX('Our policies'!$J$4:$J$503,_calc!$E$298),"yyyy-mm-dd"),""),IF(ISNUMBER(INDEX('Vendor COIs'!$H$4:$H$503,(_calc!$E$298-500))),TEXT(INDEX('Vendor COIs'!$H$4:$H$503,(_calc!$E$298-500)),"yyyy-mm-dd"),"")))</f>
        <v/>
      </c>
      <c r="C296" s="46">
        <f>IF(_calc!$E$298="","",IF(_calc!$E$298&lt;=500,"Insurance","Certificate of insurance"))</f>
        <v/>
      </c>
      <c r="D296" s="46">
        <f>IF(_calc!$E$298="","",IF(_calc!$E$298&lt;=500,IF(ISNUMBER(INDEX('Our policies'!$I$4:$I$503,_calc!$E$298)),TEXT(INDEX('Our policies'!$I$4:$I$503,_calc!$E$298),"yyyy-mm-dd"),""),""))</f>
        <v/>
      </c>
      <c r="E296" s="46">
        <f>IF(_calc!$E$298="","",IF(_calc!$E$298&lt;=500,IF(LEN(INDEX('Our policies'!$Q$4:$Q$503,_calc!$E$298))=0,"",INDEX('Our policies'!$Q$4:$Q$503,_calc!$E$298)),"Medium"))</f>
        <v/>
      </c>
      <c r="F296" s="46">
        <f>IF(_calc!$E$298="","",IF(_calc!$E$298&lt;=500,TRIM(IF(LEN(IF(LEN(INDEX('Our policies'!$B$4:$B$503,_calc!$E$298))=0,"",INDEX('Our policies'!$B$4:$B$503,_calc!$E$298)))=0,"","Cover: "&amp;IF(LEN(INDEX('Our policies'!$B$4:$B$503,_calc!$E$298))=0,"",INDEX('Our policies'!$B$4:$B$503,_calc!$E$298))&amp;". ")&amp;IF(LEN(IF(LEN(INDEX('Our policies'!$C$4:$C$503,_calc!$E$298))=0,"",INDEX('Our policies'!$C$4:$C$503,_calc!$E$298)))=0,"","Insurer: "&amp;IF(LEN(INDEX('Our policies'!$C$4:$C$503,_calc!$E$298))=0,"",INDEX('Our policies'!$C$4:$C$503,_calc!$E$298))&amp;". ")&amp;IF(LEN(IF(LEN(INDEX('Our policies'!$D$4:$D$503,_calc!$E$298))=0,"",INDEX('Our policies'!$D$4:$D$503,_calc!$E$298)))=0,"","Broker: "&amp;IF(LEN(INDEX('Our policies'!$D$4:$D$503,_calc!$E$298))=0,"",INDEX('Our policies'!$D$4:$D$503,_calc!$E$298))&amp;". ")&amp;IF(LEN(IF(LEN(INDEX('Our policies'!$E$4:$E$503,_calc!$E$298))=0,"",INDEX('Our policies'!$E$4:$E$503,_calc!$E$298)))=0,"","Policy no.: "&amp;IF(LEN(INDEX('Our policies'!$E$4:$E$503,_calc!$E$298))=0,"",INDEX('Our policies'!$E$4:$E$503,_calc!$E$298))&amp;". ")&amp;IF(LEN(IF(LEN(INDEX('Our policies'!$S$4:$S$503,_calc!$E$298))=0,"",INDEX('Our policies'!$S$4:$S$503,_calc!$E$298)))=0,"",IF(LEN(INDEX('Our policies'!$S$4:$S$503,_calc!$E$298))=0,"",INDEX('Our policies'!$S$4:$S$503,_calc!$E$298)))),TRIM(IF(LEN(IF(LEN(INDEX('Vendor COIs'!$C$4:$C$503,(_calc!$E$298-500)))=0,"",INDEX('Vendor COIs'!$C$4:$C$503,(_calc!$E$298-500))))=0,"","Insurer: "&amp;IF(LEN(INDEX('Vendor COIs'!$C$4:$C$503,(_calc!$E$298-500)))=0,"",INDEX('Vendor COIs'!$C$4:$C$503,(_calc!$E$298-500)))&amp;". ")&amp;IF(LEN(IF(LEN(INDEX('Vendor COIs'!$D$4:$D$503,(_calc!$E$298-500)))=0,"",INDEX('Vendor COIs'!$D$4:$D$503,(_calc!$E$298-500))))=0,"","Policy no.: "&amp;IF(LEN(INDEX('Vendor COIs'!$D$4:$D$503,(_calc!$E$298-500)))=0,"",INDEX('Vendor COIs'!$D$4:$D$503,(_calc!$E$298-500)))&amp;". ")&amp;IF(LEN(IF(LEN(INDEX('Vendor COIs'!$F$4:$F$503,(_calc!$E$298-500)))=0,"",INDEX('Vendor COIs'!$F$4:$F$503,(_calc!$E$298-500))))=0,"","Meets minimum: "&amp;IF(LEN(INDEX('Vendor COIs'!$F$4:$F$503,(_calc!$E$298-500)))=0,"",INDEX('Vendor COIs'!$F$4:$F$503,(_calc!$E$298-500)))&amp;". ")&amp;IF(LEN(IF(LEN(INDEX('Vendor COIs'!$G$4:$G$503,(_calc!$E$298-500)))=0,"",INDEX('Vendor COIs'!$G$4:$G$503,(_calc!$E$298-500))))=0,"","Additional insured: "&amp;IF(LEN(INDEX('Vendor COIs'!$G$4:$G$503,(_calc!$E$298-500)))=0,"",INDEX('Vendor COIs'!$G$4:$G$503,(_calc!$E$298-500)))&amp;". ")&amp;IF(LEN(IF(LEN(INDEX('Vendor COIs'!$M$4:$M$503,(_calc!$E$298-500)))=0,"",INDEX('Vendor COIs'!$M$4:$M$503,(_calc!$E$298-500))))=0,"","Vendor contact: "&amp;IF(LEN(INDEX('Vendor COIs'!$M$4:$M$503,(_calc!$E$298-500)))=0,"",INDEX('Vendor COIs'!$M$4:$M$503,(_calc!$E$298-500)))&amp;". ")&amp;IF(LEN(IF(LEN(INDEX('Vendor COIs'!$P$4:$P$503,(_calc!$E$298-500)))=0,"",INDEX('Vendor COIs'!$P$4:$P$503,(_calc!$E$298-500))))=0,"",IF(LEN(INDEX('Vendor COIs'!$P$4:$P$503,(_calc!$E$298-500)))=0,"",INDEX('Vendor COIs'!$P$4:$P$503,(_calc!$E$298-500)))))))</f>
        <v/>
      </c>
      <c r="G296" s="46">
        <f>IF(_calc!$E$298="","",IF(_calc!$E$298&lt;=500,IF(LEN(INDEX('Our policies'!$R$4:$R$503,_calc!$E$298))=0,"",INDEX('Our policies'!$R$4:$R$503,_calc!$E$298)),IF(LEN(INDEX('Vendor COIs'!$O$4:$O$503,(_calc!$E$298-500)))=0,"",INDEX('Vendor COIs'!$O$4:$O$503,(_calc!$E$298-500)))))</f>
        <v/>
      </c>
      <c r="H296" s="46">
        <f>IF(_calc!$E$298="","",IF(_calc!$E$298&lt;=500,IF(LEN(INDEX('Our policies'!$G$4:$G$503,_calc!$E$298))=0,"",INDEX('Our policies'!$G$4:$G$503,_calc!$E$298)),""))</f>
        <v/>
      </c>
      <c r="I296" s="46">
        <f>IF(_calc!$E$298="","",IF(_calc!$E$298&lt;=500,IF(LEN(INDEX('Our policies'!$H$4:$H$503,_calc!$E$298))=0,"",INDEX('Our policies'!$H$4:$H$503,_calc!$E$298)),""))</f>
        <v/>
      </c>
      <c r="K296" s="46">
        <f>IF(_calc!$E$298="","",IF(_calc!$E$298&lt;=500,IF(LEN(INDEX('Our policies'!$P$4:$P$503,_calc!$E$298))=0,"",INDEX('Our policies'!$P$4:$P$503,_calc!$E$298)),IF(LEN(INDEX('Vendor COIs'!$N$4:$N$503,(_calc!$E$298-500)))=0,"",INDEX('Vendor COIs'!$N$4:$N$503,(_calc!$E$298-500)))))</f>
        <v/>
      </c>
    </row>
    <row r="297">
      <c r="A297" s="46">
        <f>IF(_calc!$E$299="","",IF(_calc!$E$299&lt;=500,IF(LEN(INDEX('Our policies'!$A$4:$A$503,_calc!$E$299))=0,"",INDEX('Our policies'!$A$4:$A$503,_calc!$E$299)),"COI – "&amp;IF(LEN(INDEX('Vendor COIs'!$A$4:$A$503,(_calc!$E$299-500)))=0,"",INDEX('Vendor COIs'!$A$4:$A$503,(_calc!$E$299-500)))&amp;" – "&amp;IF(LEN(INDEX('Vendor COIs'!$B$4:$B$503,(_calc!$E$299-500)))=0,"",INDEX('Vendor COIs'!$B$4:$B$503,(_calc!$E$299-500)))))</f>
        <v/>
      </c>
      <c r="B297" s="46">
        <f>IF(_calc!$E$299="","",IF(_calc!$E$299&lt;=500,IF(ISNUMBER(INDEX('Our policies'!$J$4:$J$503,_calc!$E$299)),TEXT(INDEX('Our policies'!$J$4:$J$503,_calc!$E$299),"yyyy-mm-dd"),""),IF(ISNUMBER(INDEX('Vendor COIs'!$H$4:$H$503,(_calc!$E$299-500))),TEXT(INDEX('Vendor COIs'!$H$4:$H$503,(_calc!$E$299-500)),"yyyy-mm-dd"),"")))</f>
        <v/>
      </c>
      <c r="C297" s="46">
        <f>IF(_calc!$E$299="","",IF(_calc!$E$299&lt;=500,"Insurance","Certificate of insurance"))</f>
        <v/>
      </c>
      <c r="D297" s="46">
        <f>IF(_calc!$E$299="","",IF(_calc!$E$299&lt;=500,IF(ISNUMBER(INDEX('Our policies'!$I$4:$I$503,_calc!$E$299)),TEXT(INDEX('Our policies'!$I$4:$I$503,_calc!$E$299),"yyyy-mm-dd"),""),""))</f>
        <v/>
      </c>
      <c r="E297" s="46">
        <f>IF(_calc!$E$299="","",IF(_calc!$E$299&lt;=500,IF(LEN(INDEX('Our policies'!$Q$4:$Q$503,_calc!$E$299))=0,"",INDEX('Our policies'!$Q$4:$Q$503,_calc!$E$299)),"Medium"))</f>
        <v/>
      </c>
      <c r="F297" s="46">
        <f>IF(_calc!$E$299="","",IF(_calc!$E$299&lt;=500,TRIM(IF(LEN(IF(LEN(INDEX('Our policies'!$B$4:$B$503,_calc!$E$299))=0,"",INDEX('Our policies'!$B$4:$B$503,_calc!$E$299)))=0,"","Cover: "&amp;IF(LEN(INDEX('Our policies'!$B$4:$B$503,_calc!$E$299))=0,"",INDEX('Our policies'!$B$4:$B$503,_calc!$E$299))&amp;". ")&amp;IF(LEN(IF(LEN(INDEX('Our policies'!$C$4:$C$503,_calc!$E$299))=0,"",INDEX('Our policies'!$C$4:$C$503,_calc!$E$299)))=0,"","Insurer: "&amp;IF(LEN(INDEX('Our policies'!$C$4:$C$503,_calc!$E$299))=0,"",INDEX('Our policies'!$C$4:$C$503,_calc!$E$299))&amp;". ")&amp;IF(LEN(IF(LEN(INDEX('Our policies'!$D$4:$D$503,_calc!$E$299))=0,"",INDEX('Our policies'!$D$4:$D$503,_calc!$E$299)))=0,"","Broker: "&amp;IF(LEN(INDEX('Our policies'!$D$4:$D$503,_calc!$E$299))=0,"",INDEX('Our policies'!$D$4:$D$503,_calc!$E$299))&amp;". ")&amp;IF(LEN(IF(LEN(INDEX('Our policies'!$E$4:$E$503,_calc!$E$299))=0,"",INDEX('Our policies'!$E$4:$E$503,_calc!$E$299)))=0,"","Policy no.: "&amp;IF(LEN(INDEX('Our policies'!$E$4:$E$503,_calc!$E$299))=0,"",INDEX('Our policies'!$E$4:$E$503,_calc!$E$299))&amp;". ")&amp;IF(LEN(IF(LEN(INDEX('Our policies'!$S$4:$S$503,_calc!$E$299))=0,"",INDEX('Our policies'!$S$4:$S$503,_calc!$E$299)))=0,"",IF(LEN(INDEX('Our policies'!$S$4:$S$503,_calc!$E$299))=0,"",INDEX('Our policies'!$S$4:$S$503,_calc!$E$299)))),TRIM(IF(LEN(IF(LEN(INDEX('Vendor COIs'!$C$4:$C$503,(_calc!$E$299-500)))=0,"",INDEX('Vendor COIs'!$C$4:$C$503,(_calc!$E$299-500))))=0,"","Insurer: "&amp;IF(LEN(INDEX('Vendor COIs'!$C$4:$C$503,(_calc!$E$299-500)))=0,"",INDEX('Vendor COIs'!$C$4:$C$503,(_calc!$E$299-500)))&amp;". ")&amp;IF(LEN(IF(LEN(INDEX('Vendor COIs'!$D$4:$D$503,(_calc!$E$299-500)))=0,"",INDEX('Vendor COIs'!$D$4:$D$503,(_calc!$E$299-500))))=0,"","Policy no.: "&amp;IF(LEN(INDEX('Vendor COIs'!$D$4:$D$503,(_calc!$E$299-500)))=0,"",INDEX('Vendor COIs'!$D$4:$D$503,(_calc!$E$299-500)))&amp;". ")&amp;IF(LEN(IF(LEN(INDEX('Vendor COIs'!$F$4:$F$503,(_calc!$E$299-500)))=0,"",INDEX('Vendor COIs'!$F$4:$F$503,(_calc!$E$299-500))))=0,"","Meets minimum: "&amp;IF(LEN(INDEX('Vendor COIs'!$F$4:$F$503,(_calc!$E$299-500)))=0,"",INDEX('Vendor COIs'!$F$4:$F$503,(_calc!$E$299-500)))&amp;". ")&amp;IF(LEN(IF(LEN(INDEX('Vendor COIs'!$G$4:$G$503,(_calc!$E$299-500)))=0,"",INDEX('Vendor COIs'!$G$4:$G$503,(_calc!$E$299-500))))=0,"","Additional insured: "&amp;IF(LEN(INDEX('Vendor COIs'!$G$4:$G$503,(_calc!$E$299-500)))=0,"",INDEX('Vendor COIs'!$G$4:$G$503,(_calc!$E$299-500)))&amp;". ")&amp;IF(LEN(IF(LEN(INDEX('Vendor COIs'!$M$4:$M$503,(_calc!$E$299-500)))=0,"",INDEX('Vendor COIs'!$M$4:$M$503,(_calc!$E$299-500))))=0,"","Vendor contact: "&amp;IF(LEN(INDEX('Vendor COIs'!$M$4:$M$503,(_calc!$E$299-500)))=0,"",INDEX('Vendor COIs'!$M$4:$M$503,(_calc!$E$299-500)))&amp;". ")&amp;IF(LEN(IF(LEN(INDEX('Vendor COIs'!$P$4:$P$503,(_calc!$E$299-500)))=0,"",INDEX('Vendor COIs'!$P$4:$P$503,(_calc!$E$299-500))))=0,"",IF(LEN(INDEX('Vendor COIs'!$P$4:$P$503,(_calc!$E$299-500)))=0,"",INDEX('Vendor COIs'!$P$4:$P$503,(_calc!$E$299-500)))))))</f>
        <v/>
      </c>
      <c r="G297" s="46">
        <f>IF(_calc!$E$299="","",IF(_calc!$E$299&lt;=500,IF(LEN(INDEX('Our policies'!$R$4:$R$503,_calc!$E$299))=0,"",INDEX('Our policies'!$R$4:$R$503,_calc!$E$299)),IF(LEN(INDEX('Vendor COIs'!$O$4:$O$503,(_calc!$E$299-500)))=0,"",INDEX('Vendor COIs'!$O$4:$O$503,(_calc!$E$299-500)))))</f>
        <v/>
      </c>
      <c r="H297" s="46">
        <f>IF(_calc!$E$299="","",IF(_calc!$E$299&lt;=500,IF(LEN(INDEX('Our policies'!$G$4:$G$503,_calc!$E$299))=0,"",INDEX('Our policies'!$G$4:$G$503,_calc!$E$299)),""))</f>
        <v/>
      </c>
      <c r="I297" s="46">
        <f>IF(_calc!$E$299="","",IF(_calc!$E$299&lt;=500,IF(LEN(INDEX('Our policies'!$H$4:$H$503,_calc!$E$299))=0,"",INDEX('Our policies'!$H$4:$H$503,_calc!$E$299)),""))</f>
        <v/>
      </c>
      <c r="K297" s="46">
        <f>IF(_calc!$E$299="","",IF(_calc!$E$299&lt;=500,IF(LEN(INDEX('Our policies'!$P$4:$P$503,_calc!$E$299))=0,"",INDEX('Our policies'!$P$4:$P$503,_calc!$E$299)),IF(LEN(INDEX('Vendor COIs'!$N$4:$N$503,(_calc!$E$299-500)))=0,"",INDEX('Vendor COIs'!$N$4:$N$503,(_calc!$E$299-500)))))</f>
        <v/>
      </c>
    </row>
    <row r="298">
      <c r="A298" s="46">
        <f>IF(_calc!$E$300="","",IF(_calc!$E$300&lt;=500,IF(LEN(INDEX('Our policies'!$A$4:$A$503,_calc!$E$300))=0,"",INDEX('Our policies'!$A$4:$A$503,_calc!$E$300)),"COI – "&amp;IF(LEN(INDEX('Vendor COIs'!$A$4:$A$503,(_calc!$E$300-500)))=0,"",INDEX('Vendor COIs'!$A$4:$A$503,(_calc!$E$300-500)))&amp;" – "&amp;IF(LEN(INDEX('Vendor COIs'!$B$4:$B$503,(_calc!$E$300-500)))=0,"",INDEX('Vendor COIs'!$B$4:$B$503,(_calc!$E$300-500)))))</f>
        <v/>
      </c>
      <c r="B298" s="46">
        <f>IF(_calc!$E$300="","",IF(_calc!$E$300&lt;=500,IF(ISNUMBER(INDEX('Our policies'!$J$4:$J$503,_calc!$E$300)),TEXT(INDEX('Our policies'!$J$4:$J$503,_calc!$E$300),"yyyy-mm-dd"),""),IF(ISNUMBER(INDEX('Vendor COIs'!$H$4:$H$503,(_calc!$E$300-500))),TEXT(INDEX('Vendor COIs'!$H$4:$H$503,(_calc!$E$300-500)),"yyyy-mm-dd"),"")))</f>
        <v/>
      </c>
      <c r="C298" s="46">
        <f>IF(_calc!$E$300="","",IF(_calc!$E$300&lt;=500,"Insurance","Certificate of insurance"))</f>
        <v/>
      </c>
      <c r="D298" s="46">
        <f>IF(_calc!$E$300="","",IF(_calc!$E$300&lt;=500,IF(ISNUMBER(INDEX('Our policies'!$I$4:$I$503,_calc!$E$300)),TEXT(INDEX('Our policies'!$I$4:$I$503,_calc!$E$300),"yyyy-mm-dd"),""),""))</f>
        <v/>
      </c>
      <c r="E298" s="46">
        <f>IF(_calc!$E$300="","",IF(_calc!$E$300&lt;=500,IF(LEN(INDEX('Our policies'!$Q$4:$Q$503,_calc!$E$300))=0,"",INDEX('Our policies'!$Q$4:$Q$503,_calc!$E$300)),"Medium"))</f>
        <v/>
      </c>
      <c r="F298" s="46">
        <f>IF(_calc!$E$300="","",IF(_calc!$E$300&lt;=500,TRIM(IF(LEN(IF(LEN(INDEX('Our policies'!$B$4:$B$503,_calc!$E$300))=0,"",INDEX('Our policies'!$B$4:$B$503,_calc!$E$300)))=0,"","Cover: "&amp;IF(LEN(INDEX('Our policies'!$B$4:$B$503,_calc!$E$300))=0,"",INDEX('Our policies'!$B$4:$B$503,_calc!$E$300))&amp;". ")&amp;IF(LEN(IF(LEN(INDEX('Our policies'!$C$4:$C$503,_calc!$E$300))=0,"",INDEX('Our policies'!$C$4:$C$503,_calc!$E$300)))=0,"","Insurer: "&amp;IF(LEN(INDEX('Our policies'!$C$4:$C$503,_calc!$E$300))=0,"",INDEX('Our policies'!$C$4:$C$503,_calc!$E$300))&amp;". ")&amp;IF(LEN(IF(LEN(INDEX('Our policies'!$D$4:$D$503,_calc!$E$300))=0,"",INDEX('Our policies'!$D$4:$D$503,_calc!$E$300)))=0,"","Broker: "&amp;IF(LEN(INDEX('Our policies'!$D$4:$D$503,_calc!$E$300))=0,"",INDEX('Our policies'!$D$4:$D$503,_calc!$E$300))&amp;". ")&amp;IF(LEN(IF(LEN(INDEX('Our policies'!$E$4:$E$503,_calc!$E$300))=0,"",INDEX('Our policies'!$E$4:$E$503,_calc!$E$300)))=0,"","Policy no.: "&amp;IF(LEN(INDEX('Our policies'!$E$4:$E$503,_calc!$E$300))=0,"",INDEX('Our policies'!$E$4:$E$503,_calc!$E$300))&amp;". ")&amp;IF(LEN(IF(LEN(INDEX('Our policies'!$S$4:$S$503,_calc!$E$300))=0,"",INDEX('Our policies'!$S$4:$S$503,_calc!$E$300)))=0,"",IF(LEN(INDEX('Our policies'!$S$4:$S$503,_calc!$E$300))=0,"",INDEX('Our policies'!$S$4:$S$503,_calc!$E$300)))),TRIM(IF(LEN(IF(LEN(INDEX('Vendor COIs'!$C$4:$C$503,(_calc!$E$300-500)))=0,"",INDEX('Vendor COIs'!$C$4:$C$503,(_calc!$E$300-500))))=0,"","Insurer: "&amp;IF(LEN(INDEX('Vendor COIs'!$C$4:$C$503,(_calc!$E$300-500)))=0,"",INDEX('Vendor COIs'!$C$4:$C$503,(_calc!$E$300-500)))&amp;". ")&amp;IF(LEN(IF(LEN(INDEX('Vendor COIs'!$D$4:$D$503,(_calc!$E$300-500)))=0,"",INDEX('Vendor COIs'!$D$4:$D$503,(_calc!$E$300-500))))=0,"","Policy no.: "&amp;IF(LEN(INDEX('Vendor COIs'!$D$4:$D$503,(_calc!$E$300-500)))=0,"",INDEX('Vendor COIs'!$D$4:$D$503,(_calc!$E$300-500)))&amp;". ")&amp;IF(LEN(IF(LEN(INDEX('Vendor COIs'!$F$4:$F$503,(_calc!$E$300-500)))=0,"",INDEX('Vendor COIs'!$F$4:$F$503,(_calc!$E$300-500))))=0,"","Meets minimum: "&amp;IF(LEN(INDEX('Vendor COIs'!$F$4:$F$503,(_calc!$E$300-500)))=0,"",INDEX('Vendor COIs'!$F$4:$F$503,(_calc!$E$300-500)))&amp;". ")&amp;IF(LEN(IF(LEN(INDEX('Vendor COIs'!$G$4:$G$503,(_calc!$E$300-500)))=0,"",INDEX('Vendor COIs'!$G$4:$G$503,(_calc!$E$300-500))))=0,"","Additional insured: "&amp;IF(LEN(INDEX('Vendor COIs'!$G$4:$G$503,(_calc!$E$300-500)))=0,"",INDEX('Vendor COIs'!$G$4:$G$503,(_calc!$E$300-500)))&amp;". ")&amp;IF(LEN(IF(LEN(INDEX('Vendor COIs'!$M$4:$M$503,(_calc!$E$300-500)))=0,"",INDEX('Vendor COIs'!$M$4:$M$503,(_calc!$E$300-500))))=0,"","Vendor contact: "&amp;IF(LEN(INDEX('Vendor COIs'!$M$4:$M$503,(_calc!$E$300-500)))=0,"",INDEX('Vendor COIs'!$M$4:$M$503,(_calc!$E$300-500)))&amp;". ")&amp;IF(LEN(IF(LEN(INDEX('Vendor COIs'!$P$4:$P$503,(_calc!$E$300-500)))=0,"",INDEX('Vendor COIs'!$P$4:$P$503,(_calc!$E$300-500))))=0,"",IF(LEN(INDEX('Vendor COIs'!$P$4:$P$503,(_calc!$E$300-500)))=0,"",INDEX('Vendor COIs'!$P$4:$P$503,(_calc!$E$300-500)))))))</f>
        <v/>
      </c>
      <c r="G298" s="46">
        <f>IF(_calc!$E$300="","",IF(_calc!$E$300&lt;=500,IF(LEN(INDEX('Our policies'!$R$4:$R$503,_calc!$E$300))=0,"",INDEX('Our policies'!$R$4:$R$503,_calc!$E$300)),IF(LEN(INDEX('Vendor COIs'!$O$4:$O$503,(_calc!$E$300-500)))=0,"",INDEX('Vendor COIs'!$O$4:$O$503,(_calc!$E$300-500)))))</f>
        <v/>
      </c>
      <c r="H298" s="46">
        <f>IF(_calc!$E$300="","",IF(_calc!$E$300&lt;=500,IF(LEN(INDEX('Our policies'!$G$4:$G$503,_calc!$E$300))=0,"",INDEX('Our policies'!$G$4:$G$503,_calc!$E$300)),""))</f>
        <v/>
      </c>
      <c r="I298" s="46">
        <f>IF(_calc!$E$300="","",IF(_calc!$E$300&lt;=500,IF(LEN(INDEX('Our policies'!$H$4:$H$503,_calc!$E$300))=0,"",INDEX('Our policies'!$H$4:$H$503,_calc!$E$300)),""))</f>
        <v/>
      </c>
      <c r="K298" s="46">
        <f>IF(_calc!$E$300="","",IF(_calc!$E$300&lt;=500,IF(LEN(INDEX('Our policies'!$P$4:$P$503,_calc!$E$300))=0,"",INDEX('Our policies'!$P$4:$P$503,_calc!$E$300)),IF(LEN(INDEX('Vendor COIs'!$N$4:$N$503,(_calc!$E$300-500)))=0,"",INDEX('Vendor COIs'!$N$4:$N$503,(_calc!$E$300-500)))))</f>
        <v/>
      </c>
    </row>
    <row r="299">
      <c r="A299" s="46">
        <f>IF(_calc!$E$301="","",IF(_calc!$E$301&lt;=500,IF(LEN(INDEX('Our policies'!$A$4:$A$503,_calc!$E$301))=0,"",INDEX('Our policies'!$A$4:$A$503,_calc!$E$301)),"COI – "&amp;IF(LEN(INDEX('Vendor COIs'!$A$4:$A$503,(_calc!$E$301-500)))=0,"",INDEX('Vendor COIs'!$A$4:$A$503,(_calc!$E$301-500)))&amp;" – "&amp;IF(LEN(INDEX('Vendor COIs'!$B$4:$B$503,(_calc!$E$301-500)))=0,"",INDEX('Vendor COIs'!$B$4:$B$503,(_calc!$E$301-500)))))</f>
        <v/>
      </c>
      <c r="B299" s="46">
        <f>IF(_calc!$E$301="","",IF(_calc!$E$301&lt;=500,IF(ISNUMBER(INDEX('Our policies'!$J$4:$J$503,_calc!$E$301)),TEXT(INDEX('Our policies'!$J$4:$J$503,_calc!$E$301),"yyyy-mm-dd"),""),IF(ISNUMBER(INDEX('Vendor COIs'!$H$4:$H$503,(_calc!$E$301-500))),TEXT(INDEX('Vendor COIs'!$H$4:$H$503,(_calc!$E$301-500)),"yyyy-mm-dd"),"")))</f>
        <v/>
      </c>
      <c r="C299" s="46">
        <f>IF(_calc!$E$301="","",IF(_calc!$E$301&lt;=500,"Insurance","Certificate of insurance"))</f>
        <v/>
      </c>
      <c r="D299" s="46">
        <f>IF(_calc!$E$301="","",IF(_calc!$E$301&lt;=500,IF(ISNUMBER(INDEX('Our policies'!$I$4:$I$503,_calc!$E$301)),TEXT(INDEX('Our policies'!$I$4:$I$503,_calc!$E$301),"yyyy-mm-dd"),""),""))</f>
        <v/>
      </c>
      <c r="E299" s="46">
        <f>IF(_calc!$E$301="","",IF(_calc!$E$301&lt;=500,IF(LEN(INDEX('Our policies'!$Q$4:$Q$503,_calc!$E$301))=0,"",INDEX('Our policies'!$Q$4:$Q$503,_calc!$E$301)),"Medium"))</f>
        <v/>
      </c>
      <c r="F299" s="46">
        <f>IF(_calc!$E$301="","",IF(_calc!$E$301&lt;=500,TRIM(IF(LEN(IF(LEN(INDEX('Our policies'!$B$4:$B$503,_calc!$E$301))=0,"",INDEX('Our policies'!$B$4:$B$503,_calc!$E$301)))=0,"","Cover: "&amp;IF(LEN(INDEX('Our policies'!$B$4:$B$503,_calc!$E$301))=0,"",INDEX('Our policies'!$B$4:$B$503,_calc!$E$301))&amp;". ")&amp;IF(LEN(IF(LEN(INDEX('Our policies'!$C$4:$C$503,_calc!$E$301))=0,"",INDEX('Our policies'!$C$4:$C$503,_calc!$E$301)))=0,"","Insurer: "&amp;IF(LEN(INDEX('Our policies'!$C$4:$C$503,_calc!$E$301))=0,"",INDEX('Our policies'!$C$4:$C$503,_calc!$E$301))&amp;". ")&amp;IF(LEN(IF(LEN(INDEX('Our policies'!$D$4:$D$503,_calc!$E$301))=0,"",INDEX('Our policies'!$D$4:$D$503,_calc!$E$301)))=0,"","Broker: "&amp;IF(LEN(INDEX('Our policies'!$D$4:$D$503,_calc!$E$301))=0,"",INDEX('Our policies'!$D$4:$D$503,_calc!$E$301))&amp;". ")&amp;IF(LEN(IF(LEN(INDEX('Our policies'!$E$4:$E$503,_calc!$E$301))=0,"",INDEX('Our policies'!$E$4:$E$503,_calc!$E$301)))=0,"","Policy no.: "&amp;IF(LEN(INDEX('Our policies'!$E$4:$E$503,_calc!$E$301))=0,"",INDEX('Our policies'!$E$4:$E$503,_calc!$E$301))&amp;". ")&amp;IF(LEN(IF(LEN(INDEX('Our policies'!$S$4:$S$503,_calc!$E$301))=0,"",INDEX('Our policies'!$S$4:$S$503,_calc!$E$301)))=0,"",IF(LEN(INDEX('Our policies'!$S$4:$S$503,_calc!$E$301))=0,"",INDEX('Our policies'!$S$4:$S$503,_calc!$E$301)))),TRIM(IF(LEN(IF(LEN(INDEX('Vendor COIs'!$C$4:$C$503,(_calc!$E$301-500)))=0,"",INDEX('Vendor COIs'!$C$4:$C$503,(_calc!$E$301-500))))=0,"","Insurer: "&amp;IF(LEN(INDEX('Vendor COIs'!$C$4:$C$503,(_calc!$E$301-500)))=0,"",INDEX('Vendor COIs'!$C$4:$C$503,(_calc!$E$301-500)))&amp;". ")&amp;IF(LEN(IF(LEN(INDEX('Vendor COIs'!$D$4:$D$503,(_calc!$E$301-500)))=0,"",INDEX('Vendor COIs'!$D$4:$D$503,(_calc!$E$301-500))))=0,"","Policy no.: "&amp;IF(LEN(INDEX('Vendor COIs'!$D$4:$D$503,(_calc!$E$301-500)))=0,"",INDEX('Vendor COIs'!$D$4:$D$503,(_calc!$E$301-500)))&amp;". ")&amp;IF(LEN(IF(LEN(INDEX('Vendor COIs'!$F$4:$F$503,(_calc!$E$301-500)))=0,"",INDEX('Vendor COIs'!$F$4:$F$503,(_calc!$E$301-500))))=0,"","Meets minimum: "&amp;IF(LEN(INDEX('Vendor COIs'!$F$4:$F$503,(_calc!$E$301-500)))=0,"",INDEX('Vendor COIs'!$F$4:$F$503,(_calc!$E$301-500)))&amp;". ")&amp;IF(LEN(IF(LEN(INDEX('Vendor COIs'!$G$4:$G$503,(_calc!$E$301-500)))=0,"",INDEX('Vendor COIs'!$G$4:$G$503,(_calc!$E$301-500))))=0,"","Additional insured: "&amp;IF(LEN(INDEX('Vendor COIs'!$G$4:$G$503,(_calc!$E$301-500)))=0,"",INDEX('Vendor COIs'!$G$4:$G$503,(_calc!$E$301-500)))&amp;". ")&amp;IF(LEN(IF(LEN(INDEX('Vendor COIs'!$M$4:$M$503,(_calc!$E$301-500)))=0,"",INDEX('Vendor COIs'!$M$4:$M$503,(_calc!$E$301-500))))=0,"","Vendor contact: "&amp;IF(LEN(INDEX('Vendor COIs'!$M$4:$M$503,(_calc!$E$301-500)))=0,"",INDEX('Vendor COIs'!$M$4:$M$503,(_calc!$E$301-500)))&amp;". ")&amp;IF(LEN(IF(LEN(INDEX('Vendor COIs'!$P$4:$P$503,(_calc!$E$301-500)))=0,"",INDEX('Vendor COIs'!$P$4:$P$503,(_calc!$E$301-500))))=0,"",IF(LEN(INDEX('Vendor COIs'!$P$4:$P$503,(_calc!$E$301-500)))=0,"",INDEX('Vendor COIs'!$P$4:$P$503,(_calc!$E$301-500)))))))</f>
        <v/>
      </c>
      <c r="G299" s="46">
        <f>IF(_calc!$E$301="","",IF(_calc!$E$301&lt;=500,IF(LEN(INDEX('Our policies'!$R$4:$R$503,_calc!$E$301))=0,"",INDEX('Our policies'!$R$4:$R$503,_calc!$E$301)),IF(LEN(INDEX('Vendor COIs'!$O$4:$O$503,(_calc!$E$301-500)))=0,"",INDEX('Vendor COIs'!$O$4:$O$503,(_calc!$E$301-500)))))</f>
        <v/>
      </c>
      <c r="H299" s="46">
        <f>IF(_calc!$E$301="","",IF(_calc!$E$301&lt;=500,IF(LEN(INDEX('Our policies'!$G$4:$G$503,_calc!$E$301))=0,"",INDEX('Our policies'!$G$4:$G$503,_calc!$E$301)),""))</f>
        <v/>
      </c>
      <c r="I299" s="46">
        <f>IF(_calc!$E$301="","",IF(_calc!$E$301&lt;=500,IF(LEN(INDEX('Our policies'!$H$4:$H$503,_calc!$E$301))=0,"",INDEX('Our policies'!$H$4:$H$503,_calc!$E$301)),""))</f>
        <v/>
      </c>
      <c r="K299" s="46">
        <f>IF(_calc!$E$301="","",IF(_calc!$E$301&lt;=500,IF(LEN(INDEX('Our policies'!$P$4:$P$503,_calc!$E$301))=0,"",INDEX('Our policies'!$P$4:$P$503,_calc!$E$301)),IF(LEN(INDEX('Vendor COIs'!$N$4:$N$503,(_calc!$E$301-500)))=0,"",INDEX('Vendor COIs'!$N$4:$N$503,(_calc!$E$301-500)))))</f>
        <v/>
      </c>
    </row>
    <row r="300">
      <c r="A300" s="46">
        <f>IF(_calc!$E$302="","",IF(_calc!$E$302&lt;=500,IF(LEN(INDEX('Our policies'!$A$4:$A$503,_calc!$E$302))=0,"",INDEX('Our policies'!$A$4:$A$503,_calc!$E$302)),"COI – "&amp;IF(LEN(INDEX('Vendor COIs'!$A$4:$A$503,(_calc!$E$302-500)))=0,"",INDEX('Vendor COIs'!$A$4:$A$503,(_calc!$E$302-500)))&amp;" – "&amp;IF(LEN(INDEX('Vendor COIs'!$B$4:$B$503,(_calc!$E$302-500)))=0,"",INDEX('Vendor COIs'!$B$4:$B$503,(_calc!$E$302-500)))))</f>
        <v/>
      </c>
      <c r="B300" s="46">
        <f>IF(_calc!$E$302="","",IF(_calc!$E$302&lt;=500,IF(ISNUMBER(INDEX('Our policies'!$J$4:$J$503,_calc!$E$302)),TEXT(INDEX('Our policies'!$J$4:$J$503,_calc!$E$302),"yyyy-mm-dd"),""),IF(ISNUMBER(INDEX('Vendor COIs'!$H$4:$H$503,(_calc!$E$302-500))),TEXT(INDEX('Vendor COIs'!$H$4:$H$503,(_calc!$E$302-500)),"yyyy-mm-dd"),"")))</f>
        <v/>
      </c>
      <c r="C300" s="46">
        <f>IF(_calc!$E$302="","",IF(_calc!$E$302&lt;=500,"Insurance","Certificate of insurance"))</f>
        <v/>
      </c>
      <c r="D300" s="46">
        <f>IF(_calc!$E$302="","",IF(_calc!$E$302&lt;=500,IF(ISNUMBER(INDEX('Our policies'!$I$4:$I$503,_calc!$E$302)),TEXT(INDEX('Our policies'!$I$4:$I$503,_calc!$E$302),"yyyy-mm-dd"),""),""))</f>
        <v/>
      </c>
      <c r="E300" s="46">
        <f>IF(_calc!$E$302="","",IF(_calc!$E$302&lt;=500,IF(LEN(INDEX('Our policies'!$Q$4:$Q$503,_calc!$E$302))=0,"",INDEX('Our policies'!$Q$4:$Q$503,_calc!$E$302)),"Medium"))</f>
        <v/>
      </c>
      <c r="F300" s="46">
        <f>IF(_calc!$E$302="","",IF(_calc!$E$302&lt;=500,TRIM(IF(LEN(IF(LEN(INDEX('Our policies'!$B$4:$B$503,_calc!$E$302))=0,"",INDEX('Our policies'!$B$4:$B$503,_calc!$E$302)))=0,"","Cover: "&amp;IF(LEN(INDEX('Our policies'!$B$4:$B$503,_calc!$E$302))=0,"",INDEX('Our policies'!$B$4:$B$503,_calc!$E$302))&amp;". ")&amp;IF(LEN(IF(LEN(INDEX('Our policies'!$C$4:$C$503,_calc!$E$302))=0,"",INDEX('Our policies'!$C$4:$C$503,_calc!$E$302)))=0,"","Insurer: "&amp;IF(LEN(INDEX('Our policies'!$C$4:$C$503,_calc!$E$302))=0,"",INDEX('Our policies'!$C$4:$C$503,_calc!$E$302))&amp;". ")&amp;IF(LEN(IF(LEN(INDEX('Our policies'!$D$4:$D$503,_calc!$E$302))=0,"",INDEX('Our policies'!$D$4:$D$503,_calc!$E$302)))=0,"","Broker: "&amp;IF(LEN(INDEX('Our policies'!$D$4:$D$503,_calc!$E$302))=0,"",INDEX('Our policies'!$D$4:$D$503,_calc!$E$302))&amp;". ")&amp;IF(LEN(IF(LEN(INDEX('Our policies'!$E$4:$E$503,_calc!$E$302))=0,"",INDEX('Our policies'!$E$4:$E$503,_calc!$E$302)))=0,"","Policy no.: "&amp;IF(LEN(INDEX('Our policies'!$E$4:$E$503,_calc!$E$302))=0,"",INDEX('Our policies'!$E$4:$E$503,_calc!$E$302))&amp;". ")&amp;IF(LEN(IF(LEN(INDEX('Our policies'!$S$4:$S$503,_calc!$E$302))=0,"",INDEX('Our policies'!$S$4:$S$503,_calc!$E$302)))=0,"",IF(LEN(INDEX('Our policies'!$S$4:$S$503,_calc!$E$302))=0,"",INDEX('Our policies'!$S$4:$S$503,_calc!$E$302)))),TRIM(IF(LEN(IF(LEN(INDEX('Vendor COIs'!$C$4:$C$503,(_calc!$E$302-500)))=0,"",INDEX('Vendor COIs'!$C$4:$C$503,(_calc!$E$302-500))))=0,"","Insurer: "&amp;IF(LEN(INDEX('Vendor COIs'!$C$4:$C$503,(_calc!$E$302-500)))=0,"",INDEX('Vendor COIs'!$C$4:$C$503,(_calc!$E$302-500)))&amp;". ")&amp;IF(LEN(IF(LEN(INDEX('Vendor COIs'!$D$4:$D$503,(_calc!$E$302-500)))=0,"",INDEX('Vendor COIs'!$D$4:$D$503,(_calc!$E$302-500))))=0,"","Policy no.: "&amp;IF(LEN(INDEX('Vendor COIs'!$D$4:$D$503,(_calc!$E$302-500)))=0,"",INDEX('Vendor COIs'!$D$4:$D$503,(_calc!$E$302-500)))&amp;". ")&amp;IF(LEN(IF(LEN(INDEX('Vendor COIs'!$F$4:$F$503,(_calc!$E$302-500)))=0,"",INDEX('Vendor COIs'!$F$4:$F$503,(_calc!$E$302-500))))=0,"","Meets minimum: "&amp;IF(LEN(INDEX('Vendor COIs'!$F$4:$F$503,(_calc!$E$302-500)))=0,"",INDEX('Vendor COIs'!$F$4:$F$503,(_calc!$E$302-500)))&amp;". ")&amp;IF(LEN(IF(LEN(INDEX('Vendor COIs'!$G$4:$G$503,(_calc!$E$302-500)))=0,"",INDEX('Vendor COIs'!$G$4:$G$503,(_calc!$E$302-500))))=0,"","Additional insured: "&amp;IF(LEN(INDEX('Vendor COIs'!$G$4:$G$503,(_calc!$E$302-500)))=0,"",INDEX('Vendor COIs'!$G$4:$G$503,(_calc!$E$302-500)))&amp;". ")&amp;IF(LEN(IF(LEN(INDEX('Vendor COIs'!$M$4:$M$503,(_calc!$E$302-500)))=0,"",INDEX('Vendor COIs'!$M$4:$M$503,(_calc!$E$302-500))))=0,"","Vendor contact: "&amp;IF(LEN(INDEX('Vendor COIs'!$M$4:$M$503,(_calc!$E$302-500)))=0,"",INDEX('Vendor COIs'!$M$4:$M$503,(_calc!$E$302-500)))&amp;". ")&amp;IF(LEN(IF(LEN(INDEX('Vendor COIs'!$P$4:$P$503,(_calc!$E$302-500)))=0,"",INDEX('Vendor COIs'!$P$4:$P$503,(_calc!$E$302-500))))=0,"",IF(LEN(INDEX('Vendor COIs'!$P$4:$P$503,(_calc!$E$302-500)))=0,"",INDEX('Vendor COIs'!$P$4:$P$503,(_calc!$E$302-500)))))))</f>
        <v/>
      </c>
      <c r="G300" s="46">
        <f>IF(_calc!$E$302="","",IF(_calc!$E$302&lt;=500,IF(LEN(INDEX('Our policies'!$R$4:$R$503,_calc!$E$302))=0,"",INDEX('Our policies'!$R$4:$R$503,_calc!$E$302)),IF(LEN(INDEX('Vendor COIs'!$O$4:$O$503,(_calc!$E$302-500)))=0,"",INDEX('Vendor COIs'!$O$4:$O$503,(_calc!$E$302-500)))))</f>
        <v/>
      </c>
      <c r="H300" s="46">
        <f>IF(_calc!$E$302="","",IF(_calc!$E$302&lt;=500,IF(LEN(INDEX('Our policies'!$G$4:$G$503,_calc!$E$302))=0,"",INDEX('Our policies'!$G$4:$G$503,_calc!$E$302)),""))</f>
        <v/>
      </c>
      <c r="I300" s="46">
        <f>IF(_calc!$E$302="","",IF(_calc!$E$302&lt;=500,IF(LEN(INDEX('Our policies'!$H$4:$H$503,_calc!$E$302))=0,"",INDEX('Our policies'!$H$4:$H$503,_calc!$E$302)),""))</f>
        <v/>
      </c>
      <c r="K300" s="46">
        <f>IF(_calc!$E$302="","",IF(_calc!$E$302&lt;=500,IF(LEN(INDEX('Our policies'!$P$4:$P$503,_calc!$E$302))=0,"",INDEX('Our policies'!$P$4:$P$503,_calc!$E$302)),IF(LEN(INDEX('Vendor COIs'!$N$4:$N$503,(_calc!$E$302-500)))=0,"",INDEX('Vendor COIs'!$N$4:$N$503,(_calc!$E$302-500)))))</f>
        <v/>
      </c>
    </row>
    <row r="301">
      <c r="A301" s="46">
        <f>IF(_calc!$E$303="","",IF(_calc!$E$303&lt;=500,IF(LEN(INDEX('Our policies'!$A$4:$A$503,_calc!$E$303))=0,"",INDEX('Our policies'!$A$4:$A$503,_calc!$E$303)),"COI – "&amp;IF(LEN(INDEX('Vendor COIs'!$A$4:$A$503,(_calc!$E$303-500)))=0,"",INDEX('Vendor COIs'!$A$4:$A$503,(_calc!$E$303-500)))&amp;" – "&amp;IF(LEN(INDEX('Vendor COIs'!$B$4:$B$503,(_calc!$E$303-500)))=0,"",INDEX('Vendor COIs'!$B$4:$B$503,(_calc!$E$303-500)))))</f>
        <v/>
      </c>
      <c r="B301" s="46">
        <f>IF(_calc!$E$303="","",IF(_calc!$E$303&lt;=500,IF(ISNUMBER(INDEX('Our policies'!$J$4:$J$503,_calc!$E$303)),TEXT(INDEX('Our policies'!$J$4:$J$503,_calc!$E$303),"yyyy-mm-dd"),""),IF(ISNUMBER(INDEX('Vendor COIs'!$H$4:$H$503,(_calc!$E$303-500))),TEXT(INDEX('Vendor COIs'!$H$4:$H$503,(_calc!$E$303-500)),"yyyy-mm-dd"),"")))</f>
        <v/>
      </c>
      <c r="C301" s="46">
        <f>IF(_calc!$E$303="","",IF(_calc!$E$303&lt;=500,"Insurance","Certificate of insurance"))</f>
        <v/>
      </c>
      <c r="D301" s="46">
        <f>IF(_calc!$E$303="","",IF(_calc!$E$303&lt;=500,IF(ISNUMBER(INDEX('Our policies'!$I$4:$I$503,_calc!$E$303)),TEXT(INDEX('Our policies'!$I$4:$I$503,_calc!$E$303),"yyyy-mm-dd"),""),""))</f>
        <v/>
      </c>
      <c r="E301" s="46">
        <f>IF(_calc!$E$303="","",IF(_calc!$E$303&lt;=500,IF(LEN(INDEX('Our policies'!$Q$4:$Q$503,_calc!$E$303))=0,"",INDEX('Our policies'!$Q$4:$Q$503,_calc!$E$303)),"Medium"))</f>
        <v/>
      </c>
      <c r="F301" s="46">
        <f>IF(_calc!$E$303="","",IF(_calc!$E$303&lt;=500,TRIM(IF(LEN(IF(LEN(INDEX('Our policies'!$B$4:$B$503,_calc!$E$303))=0,"",INDEX('Our policies'!$B$4:$B$503,_calc!$E$303)))=0,"","Cover: "&amp;IF(LEN(INDEX('Our policies'!$B$4:$B$503,_calc!$E$303))=0,"",INDEX('Our policies'!$B$4:$B$503,_calc!$E$303))&amp;". ")&amp;IF(LEN(IF(LEN(INDEX('Our policies'!$C$4:$C$503,_calc!$E$303))=0,"",INDEX('Our policies'!$C$4:$C$503,_calc!$E$303)))=0,"","Insurer: "&amp;IF(LEN(INDEX('Our policies'!$C$4:$C$503,_calc!$E$303))=0,"",INDEX('Our policies'!$C$4:$C$503,_calc!$E$303))&amp;". ")&amp;IF(LEN(IF(LEN(INDEX('Our policies'!$D$4:$D$503,_calc!$E$303))=0,"",INDEX('Our policies'!$D$4:$D$503,_calc!$E$303)))=0,"","Broker: "&amp;IF(LEN(INDEX('Our policies'!$D$4:$D$503,_calc!$E$303))=0,"",INDEX('Our policies'!$D$4:$D$503,_calc!$E$303))&amp;". ")&amp;IF(LEN(IF(LEN(INDEX('Our policies'!$E$4:$E$503,_calc!$E$303))=0,"",INDEX('Our policies'!$E$4:$E$503,_calc!$E$303)))=0,"","Policy no.: "&amp;IF(LEN(INDEX('Our policies'!$E$4:$E$503,_calc!$E$303))=0,"",INDEX('Our policies'!$E$4:$E$503,_calc!$E$303))&amp;". ")&amp;IF(LEN(IF(LEN(INDEX('Our policies'!$S$4:$S$503,_calc!$E$303))=0,"",INDEX('Our policies'!$S$4:$S$503,_calc!$E$303)))=0,"",IF(LEN(INDEX('Our policies'!$S$4:$S$503,_calc!$E$303))=0,"",INDEX('Our policies'!$S$4:$S$503,_calc!$E$303)))),TRIM(IF(LEN(IF(LEN(INDEX('Vendor COIs'!$C$4:$C$503,(_calc!$E$303-500)))=0,"",INDEX('Vendor COIs'!$C$4:$C$503,(_calc!$E$303-500))))=0,"","Insurer: "&amp;IF(LEN(INDEX('Vendor COIs'!$C$4:$C$503,(_calc!$E$303-500)))=0,"",INDEX('Vendor COIs'!$C$4:$C$503,(_calc!$E$303-500)))&amp;". ")&amp;IF(LEN(IF(LEN(INDEX('Vendor COIs'!$D$4:$D$503,(_calc!$E$303-500)))=0,"",INDEX('Vendor COIs'!$D$4:$D$503,(_calc!$E$303-500))))=0,"","Policy no.: "&amp;IF(LEN(INDEX('Vendor COIs'!$D$4:$D$503,(_calc!$E$303-500)))=0,"",INDEX('Vendor COIs'!$D$4:$D$503,(_calc!$E$303-500)))&amp;". ")&amp;IF(LEN(IF(LEN(INDEX('Vendor COIs'!$F$4:$F$503,(_calc!$E$303-500)))=0,"",INDEX('Vendor COIs'!$F$4:$F$503,(_calc!$E$303-500))))=0,"","Meets minimum: "&amp;IF(LEN(INDEX('Vendor COIs'!$F$4:$F$503,(_calc!$E$303-500)))=0,"",INDEX('Vendor COIs'!$F$4:$F$503,(_calc!$E$303-500)))&amp;". ")&amp;IF(LEN(IF(LEN(INDEX('Vendor COIs'!$G$4:$G$503,(_calc!$E$303-500)))=0,"",INDEX('Vendor COIs'!$G$4:$G$503,(_calc!$E$303-500))))=0,"","Additional insured: "&amp;IF(LEN(INDEX('Vendor COIs'!$G$4:$G$503,(_calc!$E$303-500)))=0,"",INDEX('Vendor COIs'!$G$4:$G$503,(_calc!$E$303-500)))&amp;". ")&amp;IF(LEN(IF(LEN(INDEX('Vendor COIs'!$M$4:$M$503,(_calc!$E$303-500)))=0,"",INDEX('Vendor COIs'!$M$4:$M$503,(_calc!$E$303-500))))=0,"","Vendor contact: "&amp;IF(LEN(INDEX('Vendor COIs'!$M$4:$M$503,(_calc!$E$303-500)))=0,"",INDEX('Vendor COIs'!$M$4:$M$503,(_calc!$E$303-500)))&amp;". ")&amp;IF(LEN(IF(LEN(INDEX('Vendor COIs'!$P$4:$P$503,(_calc!$E$303-500)))=0,"",INDEX('Vendor COIs'!$P$4:$P$503,(_calc!$E$303-500))))=0,"",IF(LEN(INDEX('Vendor COIs'!$P$4:$P$503,(_calc!$E$303-500)))=0,"",INDEX('Vendor COIs'!$P$4:$P$503,(_calc!$E$303-500)))))))</f>
        <v/>
      </c>
      <c r="G301" s="46">
        <f>IF(_calc!$E$303="","",IF(_calc!$E$303&lt;=500,IF(LEN(INDEX('Our policies'!$R$4:$R$503,_calc!$E$303))=0,"",INDEX('Our policies'!$R$4:$R$503,_calc!$E$303)),IF(LEN(INDEX('Vendor COIs'!$O$4:$O$503,(_calc!$E$303-500)))=0,"",INDEX('Vendor COIs'!$O$4:$O$503,(_calc!$E$303-500)))))</f>
        <v/>
      </c>
      <c r="H301" s="46">
        <f>IF(_calc!$E$303="","",IF(_calc!$E$303&lt;=500,IF(LEN(INDEX('Our policies'!$G$4:$G$503,_calc!$E$303))=0,"",INDEX('Our policies'!$G$4:$G$503,_calc!$E$303)),""))</f>
        <v/>
      </c>
      <c r="I301" s="46">
        <f>IF(_calc!$E$303="","",IF(_calc!$E$303&lt;=500,IF(LEN(INDEX('Our policies'!$H$4:$H$503,_calc!$E$303))=0,"",INDEX('Our policies'!$H$4:$H$503,_calc!$E$303)),""))</f>
        <v/>
      </c>
      <c r="K301" s="46">
        <f>IF(_calc!$E$303="","",IF(_calc!$E$303&lt;=500,IF(LEN(INDEX('Our policies'!$P$4:$P$503,_calc!$E$303))=0,"",INDEX('Our policies'!$P$4:$P$503,_calc!$E$303)),IF(LEN(INDEX('Vendor COIs'!$N$4:$N$503,(_calc!$E$303-500)))=0,"",INDEX('Vendor COIs'!$N$4:$N$503,(_calc!$E$303-500)))))</f>
        <v/>
      </c>
    </row>
    <row r="302">
      <c r="A302" s="46">
        <f>IF(_calc!$E$304="","",IF(_calc!$E$304&lt;=500,IF(LEN(INDEX('Our policies'!$A$4:$A$503,_calc!$E$304))=0,"",INDEX('Our policies'!$A$4:$A$503,_calc!$E$304)),"COI – "&amp;IF(LEN(INDEX('Vendor COIs'!$A$4:$A$503,(_calc!$E$304-500)))=0,"",INDEX('Vendor COIs'!$A$4:$A$503,(_calc!$E$304-500)))&amp;" – "&amp;IF(LEN(INDEX('Vendor COIs'!$B$4:$B$503,(_calc!$E$304-500)))=0,"",INDEX('Vendor COIs'!$B$4:$B$503,(_calc!$E$304-500)))))</f>
        <v/>
      </c>
      <c r="B302" s="46">
        <f>IF(_calc!$E$304="","",IF(_calc!$E$304&lt;=500,IF(ISNUMBER(INDEX('Our policies'!$J$4:$J$503,_calc!$E$304)),TEXT(INDEX('Our policies'!$J$4:$J$503,_calc!$E$304),"yyyy-mm-dd"),""),IF(ISNUMBER(INDEX('Vendor COIs'!$H$4:$H$503,(_calc!$E$304-500))),TEXT(INDEX('Vendor COIs'!$H$4:$H$503,(_calc!$E$304-500)),"yyyy-mm-dd"),"")))</f>
        <v/>
      </c>
      <c r="C302" s="46">
        <f>IF(_calc!$E$304="","",IF(_calc!$E$304&lt;=500,"Insurance","Certificate of insurance"))</f>
        <v/>
      </c>
      <c r="D302" s="46">
        <f>IF(_calc!$E$304="","",IF(_calc!$E$304&lt;=500,IF(ISNUMBER(INDEX('Our policies'!$I$4:$I$503,_calc!$E$304)),TEXT(INDEX('Our policies'!$I$4:$I$503,_calc!$E$304),"yyyy-mm-dd"),""),""))</f>
        <v/>
      </c>
      <c r="E302" s="46">
        <f>IF(_calc!$E$304="","",IF(_calc!$E$304&lt;=500,IF(LEN(INDEX('Our policies'!$Q$4:$Q$503,_calc!$E$304))=0,"",INDEX('Our policies'!$Q$4:$Q$503,_calc!$E$304)),"Medium"))</f>
        <v/>
      </c>
      <c r="F302" s="46">
        <f>IF(_calc!$E$304="","",IF(_calc!$E$304&lt;=500,TRIM(IF(LEN(IF(LEN(INDEX('Our policies'!$B$4:$B$503,_calc!$E$304))=0,"",INDEX('Our policies'!$B$4:$B$503,_calc!$E$304)))=0,"","Cover: "&amp;IF(LEN(INDEX('Our policies'!$B$4:$B$503,_calc!$E$304))=0,"",INDEX('Our policies'!$B$4:$B$503,_calc!$E$304))&amp;". ")&amp;IF(LEN(IF(LEN(INDEX('Our policies'!$C$4:$C$503,_calc!$E$304))=0,"",INDEX('Our policies'!$C$4:$C$503,_calc!$E$304)))=0,"","Insurer: "&amp;IF(LEN(INDEX('Our policies'!$C$4:$C$503,_calc!$E$304))=0,"",INDEX('Our policies'!$C$4:$C$503,_calc!$E$304))&amp;". ")&amp;IF(LEN(IF(LEN(INDEX('Our policies'!$D$4:$D$503,_calc!$E$304))=0,"",INDEX('Our policies'!$D$4:$D$503,_calc!$E$304)))=0,"","Broker: "&amp;IF(LEN(INDEX('Our policies'!$D$4:$D$503,_calc!$E$304))=0,"",INDEX('Our policies'!$D$4:$D$503,_calc!$E$304))&amp;". ")&amp;IF(LEN(IF(LEN(INDEX('Our policies'!$E$4:$E$503,_calc!$E$304))=0,"",INDEX('Our policies'!$E$4:$E$503,_calc!$E$304)))=0,"","Policy no.: "&amp;IF(LEN(INDEX('Our policies'!$E$4:$E$503,_calc!$E$304))=0,"",INDEX('Our policies'!$E$4:$E$503,_calc!$E$304))&amp;". ")&amp;IF(LEN(IF(LEN(INDEX('Our policies'!$S$4:$S$503,_calc!$E$304))=0,"",INDEX('Our policies'!$S$4:$S$503,_calc!$E$304)))=0,"",IF(LEN(INDEX('Our policies'!$S$4:$S$503,_calc!$E$304))=0,"",INDEX('Our policies'!$S$4:$S$503,_calc!$E$304)))),TRIM(IF(LEN(IF(LEN(INDEX('Vendor COIs'!$C$4:$C$503,(_calc!$E$304-500)))=0,"",INDEX('Vendor COIs'!$C$4:$C$503,(_calc!$E$304-500))))=0,"","Insurer: "&amp;IF(LEN(INDEX('Vendor COIs'!$C$4:$C$503,(_calc!$E$304-500)))=0,"",INDEX('Vendor COIs'!$C$4:$C$503,(_calc!$E$304-500)))&amp;". ")&amp;IF(LEN(IF(LEN(INDEX('Vendor COIs'!$D$4:$D$503,(_calc!$E$304-500)))=0,"",INDEX('Vendor COIs'!$D$4:$D$503,(_calc!$E$304-500))))=0,"","Policy no.: "&amp;IF(LEN(INDEX('Vendor COIs'!$D$4:$D$503,(_calc!$E$304-500)))=0,"",INDEX('Vendor COIs'!$D$4:$D$503,(_calc!$E$304-500)))&amp;". ")&amp;IF(LEN(IF(LEN(INDEX('Vendor COIs'!$F$4:$F$503,(_calc!$E$304-500)))=0,"",INDEX('Vendor COIs'!$F$4:$F$503,(_calc!$E$304-500))))=0,"","Meets minimum: "&amp;IF(LEN(INDEX('Vendor COIs'!$F$4:$F$503,(_calc!$E$304-500)))=0,"",INDEX('Vendor COIs'!$F$4:$F$503,(_calc!$E$304-500)))&amp;". ")&amp;IF(LEN(IF(LEN(INDEX('Vendor COIs'!$G$4:$G$503,(_calc!$E$304-500)))=0,"",INDEX('Vendor COIs'!$G$4:$G$503,(_calc!$E$304-500))))=0,"","Additional insured: "&amp;IF(LEN(INDEX('Vendor COIs'!$G$4:$G$503,(_calc!$E$304-500)))=0,"",INDEX('Vendor COIs'!$G$4:$G$503,(_calc!$E$304-500)))&amp;". ")&amp;IF(LEN(IF(LEN(INDEX('Vendor COIs'!$M$4:$M$503,(_calc!$E$304-500)))=0,"",INDEX('Vendor COIs'!$M$4:$M$503,(_calc!$E$304-500))))=0,"","Vendor contact: "&amp;IF(LEN(INDEX('Vendor COIs'!$M$4:$M$503,(_calc!$E$304-500)))=0,"",INDEX('Vendor COIs'!$M$4:$M$503,(_calc!$E$304-500)))&amp;". ")&amp;IF(LEN(IF(LEN(INDEX('Vendor COIs'!$P$4:$P$503,(_calc!$E$304-500)))=0,"",INDEX('Vendor COIs'!$P$4:$P$503,(_calc!$E$304-500))))=0,"",IF(LEN(INDEX('Vendor COIs'!$P$4:$P$503,(_calc!$E$304-500)))=0,"",INDEX('Vendor COIs'!$P$4:$P$503,(_calc!$E$304-500)))))))</f>
        <v/>
      </c>
      <c r="G302" s="46">
        <f>IF(_calc!$E$304="","",IF(_calc!$E$304&lt;=500,IF(LEN(INDEX('Our policies'!$R$4:$R$503,_calc!$E$304))=0,"",INDEX('Our policies'!$R$4:$R$503,_calc!$E$304)),IF(LEN(INDEX('Vendor COIs'!$O$4:$O$503,(_calc!$E$304-500)))=0,"",INDEX('Vendor COIs'!$O$4:$O$503,(_calc!$E$304-500)))))</f>
        <v/>
      </c>
      <c r="H302" s="46">
        <f>IF(_calc!$E$304="","",IF(_calc!$E$304&lt;=500,IF(LEN(INDEX('Our policies'!$G$4:$G$503,_calc!$E$304))=0,"",INDEX('Our policies'!$G$4:$G$503,_calc!$E$304)),""))</f>
        <v/>
      </c>
      <c r="I302" s="46">
        <f>IF(_calc!$E$304="","",IF(_calc!$E$304&lt;=500,IF(LEN(INDEX('Our policies'!$H$4:$H$503,_calc!$E$304))=0,"",INDEX('Our policies'!$H$4:$H$503,_calc!$E$304)),""))</f>
        <v/>
      </c>
      <c r="K302" s="46">
        <f>IF(_calc!$E$304="","",IF(_calc!$E$304&lt;=500,IF(LEN(INDEX('Our policies'!$P$4:$P$503,_calc!$E$304))=0,"",INDEX('Our policies'!$P$4:$P$503,_calc!$E$304)),IF(LEN(INDEX('Vendor COIs'!$N$4:$N$503,(_calc!$E$304-500)))=0,"",INDEX('Vendor COIs'!$N$4:$N$503,(_calc!$E$304-500)))))</f>
        <v/>
      </c>
    </row>
    <row r="303">
      <c r="A303" s="46">
        <f>IF(_calc!$E$305="","",IF(_calc!$E$305&lt;=500,IF(LEN(INDEX('Our policies'!$A$4:$A$503,_calc!$E$305))=0,"",INDEX('Our policies'!$A$4:$A$503,_calc!$E$305)),"COI – "&amp;IF(LEN(INDEX('Vendor COIs'!$A$4:$A$503,(_calc!$E$305-500)))=0,"",INDEX('Vendor COIs'!$A$4:$A$503,(_calc!$E$305-500)))&amp;" – "&amp;IF(LEN(INDEX('Vendor COIs'!$B$4:$B$503,(_calc!$E$305-500)))=0,"",INDEX('Vendor COIs'!$B$4:$B$503,(_calc!$E$305-500)))))</f>
        <v/>
      </c>
      <c r="B303" s="46">
        <f>IF(_calc!$E$305="","",IF(_calc!$E$305&lt;=500,IF(ISNUMBER(INDEX('Our policies'!$J$4:$J$503,_calc!$E$305)),TEXT(INDEX('Our policies'!$J$4:$J$503,_calc!$E$305),"yyyy-mm-dd"),""),IF(ISNUMBER(INDEX('Vendor COIs'!$H$4:$H$503,(_calc!$E$305-500))),TEXT(INDEX('Vendor COIs'!$H$4:$H$503,(_calc!$E$305-500)),"yyyy-mm-dd"),"")))</f>
        <v/>
      </c>
      <c r="C303" s="46">
        <f>IF(_calc!$E$305="","",IF(_calc!$E$305&lt;=500,"Insurance","Certificate of insurance"))</f>
        <v/>
      </c>
      <c r="D303" s="46">
        <f>IF(_calc!$E$305="","",IF(_calc!$E$305&lt;=500,IF(ISNUMBER(INDEX('Our policies'!$I$4:$I$503,_calc!$E$305)),TEXT(INDEX('Our policies'!$I$4:$I$503,_calc!$E$305),"yyyy-mm-dd"),""),""))</f>
        <v/>
      </c>
      <c r="E303" s="46">
        <f>IF(_calc!$E$305="","",IF(_calc!$E$305&lt;=500,IF(LEN(INDEX('Our policies'!$Q$4:$Q$503,_calc!$E$305))=0,"",INDEX('Our policies'!$Q$4:$Q$503,_calc!$E$305)),"Medium"))</f>
        <v/>
      </c>
      <c r="F303" s="46">
        <f>IF(_calc!$E$305="","",IF(_calc!$E$305&lt;=500,TRIM(IF(LEN(IF(LEN(INDEX('Our policies'!$B$4:$B$503,_calc!$E$305))=0,"",INDEX('Our policies'!$B$4:$B$503,_calc!$E$305)))=0,"","Cover: "&amp;IF(LEN(INDEX('Our policies'!$B$4:$B$503,_calc!$E$305))=0,"",INDEX('Our policies'!$B$4:$B$503,_calc!$E$305))&amp;". ")&amp;IF(LEN(IF(LEN(INDEX('Our policies'!$C$4:$C$503,_calc!$E$305))=0,"",INDEX('Our policies'!$C$4:$C$503,_calc!$E$305)))=0,"","Insurer: "&amp;IF(LEN(INDEX('Our policies'!$C$4:$C$503,_calc!$E$305))=0,"",INDEX('Our policies'!$C$4:$C$503,_calc!$E$305))&amp;". ")&amp;IF(LEN(IF(LEN(INDEX('Our policies'!$D$4:$D$503,_calc!$E$305))=0,"",INDEX('Our policies'!$D$4:$D$503,_calc!$E$305)))=0,"","Broker: "&amp;IF(LEN(INDEX('Our policies'!$D$4:$D$503,_calc!$E$305))=0,"",INDEX('Our policies'!$D$4:$D$503,_calc!$E$305))&amp;". ")&amp;IF(LEN(IF(LEN(INDEX('Our policies'!$E$4:$E$503,_calc!$E$305))=0,"",INDEX('Our policies'!$E$4:$E$503,_calc!$E$305)))=0,"","Policy no.: "&amp;IF(LEN(INDEX('Our policies'!$E$4:$E$503,_calc!$E$305))=0,"",INDEX('Our policies'!$E$4:$E$503,_calc!$E$305))&amp;". ")&amp;IF(LEN(IF(LEN(INDEX('Our policies'!$S$4:$S$503,_calc!$E$305))=0,"",INDEX('Our policies'!$S$4:$S$503,_calc!$E$305)))=0,"",IF(LEN(INDEX('Our policies'!$S$4:$S$503,_calc!$E$305))=0,"",INDEX('Our policies'!$S$4:$S$503,_calc!$E$305)))),TRIM(IF(LEN(IF(LEN(INDEX('Vendor COIs'!$C$4:$C$503,(_calc!$E$305-500)))=0,"",INDEX('Vendor COIs'!$C$4:$C$503,(_calc!$E$305-500))))=0,"","Insurer: "&amp;IF(LEN(INDEX('Vendor COIs'!$C$4:$C$503,(_calc!$E$305-500)))=0,"",INDEX('Vendor COIs'!$C$4:$C$503,(_calc!$E$305-500)))&amp;". ")&amp;IF(LEN(IF(LEN(INDEX('Vendor COIs'!$D$4:$D$503,(_calc!$E$305-500)))=0,"",INDEX('Vendor COIs'!$D$4:$D$503,(_calc!$E$305-500))))=0,"","Policy no.: "&amp;IF(LEN(INDEX('Vendor COIs'!$D$4:$D$503,(_calc!$E$305-500)))=0,"",INDEX('Vendor COIs'!$D$4:$D$503,(_calc!$E$305-500)))&amp;". ")&amp;IF(LEN(IF(LEN(INDEX('Vendor COIs'!$F$4:$F$503,(_calc!$E$305-500)))=0,"",INDEX('Vendor COIs'!$F$4:$F$503,(_calc!$E$305-500))))=0,"","Meets minimum: "&amp;IF(LEN(INDEX('Vendor COIs'!$F$4:$F$503,(_calc!$E$305-500)))=0,"",INDEX('Vendor COIs'!$F$4:$F$503,(_calc!$E$305-500)))&amp;". ")&amp;IF(LEN(IF(LEN(INDEX('Vendor COIs'!$G$4:$G$503,(_calc!$E$305-500)))=0,"",INDEX('Vendor COIs'!$G$4:$G$503,(_calc!$E$305-500))))=0,"","Additional insured: "&amp;IF(LEN(INDEX('Vendor COIs'!$G$4:$G$503,(_calc!$E$305-500)))=0,"",INDEX('Vendor COIs'!$G$4:$G$503,(_calc!$E$305-500)))&amp;". ")&amp;IF(LEN(IF(LEN(INDEX('Vendor COIs'!$M$4:$M$503,(_calc!$E$305-500)))=0,"",INDEX('Vendor COIs'!$M$4:$M$503,(_calc!$E$305-500))))=0,"","Vendor contact: "&amp;IF(LEN(INDEX('Vendor COIs'!$M$4:$M$503,(_calc!$E$305-500)))=0,"",INDEX('Vendor COIs'!$M$4:$M$503,(_calc!$E$305-500)))&amp;". ")&amp;IF(LEN(IF(LEN(INDEX('Vendor COIs'!$P$4:$P$503,(_calc!$E$305-500)))=0,"",INDEX('Vendor COIs'!$P$4:$P$503,(_calc!$E$305-500))))=0,"",IF(LEN(INDEX('Vendor COIs'!$P$4:$P$503,(_calc!$E$305-500)))=0,"",INDEX('Vendor COIs'!$P$4:$P$503,(_calc!$E$305-500)))))))</f>
        <v/>
      </c>
      <c r="G303" s="46">
        <f>IF(_calc!$E$305="","",IF(_calc!$E$305&lt;=500,IF(LEN(INDEX('Our policies'!$R$4:$R$503,_calc!$E$305))=0,"",INDEX('Our policies'!$R$4:$R$503,_calc!$E$305)),IF(LEN(INDEX('Vendor COIs'!$O$4:$O$503,(_calc!$E$305-500)))=0,"",INDEX('Vendor COIs'!$O$4:$O$503,(_calc!$E$305-500)))))</f>
        <v/>
      </c>
      <c r="H303" s="46">
        <f>IF(_calc!$E$305="","",IF(_calc!$E$305&lt;=500,IF(LEN(INDEX('Our policies'!$G$4:$G$503,_calc!$E$305))=0,"",INDEX('Our policies'!$G$4:$G$503,_calc!$E$305)),""))</f>
        <v/>
      </c>
      <c r="I303" s="46">
        <f>IF(_calc!$E$305="","",IF(_calc!$E$305&lt;=500,IF(LEN(INDEX('Our policies'!$H$4:$H$503,_calc!$E$305))=0,"",INDEX('Our policies'!$H$4:$H$503,_calc!$E$305)),""))</f>
        <v/>
      </c>
      <c r="K303" s="46">
        <f>IF(_calc!$E$305="","",IF(_calc!$E$305&lt;=500,IF(LEN(INDEX('Our policies'!$P$4:$P$503,_calc!$E$305))=0,"",INDEX('Our policies'!$P$4:$P$503,_calc!$E$305)),IF(LEN(INDEX('Vendor COIs'!$N$4:$N$503,(_calc!$E$305-500)))=0,"",INDEX('Vendor COIs'!$N$4:$N$503,(_calc!$E$305-500)))))</f>
        <v/>
      </c>
    </row>
    <row r="304">
      <c r="A304" s="46">
        <f>IF(_calc!$E$306="","",IF(_calc!$E$306&lt;=500,IF(LEN(INDEX('Our policies'!$A$4:$A$503,_calc!$E$306))=0,"",INDEX('Our policies'!$A$4:$A$503,_calc!$E$306)),"COI – "&amp;IF(LEN(INDEX('Vendor COIs'!$A$4:$A$503,(_calc!$E$306-500)))=0,"",INDEX('Vendor COIs'!$A$4:$A$503,(_calc!$E$306-500)))&amp;" – "&amp;IF(LEN(INDEX('Vendor COIs'!$B$4:$B$503,(_calc!$E$306-500)))=0,"",INDEX('Vendor COIs'!$B$4:$B$503,(_calc!$E$306-500)))))</f>
        <v/>
      </c>
      <c r="B304" s="46">
        <f>IF(_calc!$E$306="","",IF(_calc!$E$306&lt;=500,IF(ISNUMBER(INDEX('Our policies'!$J$4:$J$503,_calc!$E$306)),TEXT(INDEX('Our policies'!$J$4:$J$503,_calc!$E$306),"yyyy-mm-dd"),""),IF(ISNUMBER(INDEX('Vendor COIs'!$H$4:$H$503,(_calc!$E$306-500))),TEXT(INDEX('Vendor COIs'!$H$4:$H$503,(_calc!$E$306-500)),"yyyy-mm-dd"),"")))</f>
        <v/>
      </c>
      <c r="C304" s="46">
        <f>IF(_calc!$E$306="","",IF(_calc!$E$306&lt;=500,"Insurance","Certificate of insurance"))</f>
        <v/>
      </c>
      <c r="D304" s="46">
        <f>IF(_calc!$E$306="","",IF(_calc!$E$306&lt;=500,IF(ISNUMBER(INDEX('Our policies'!$I$4:$I$503,_calc!$E$306)),TEXT(INDEX('Our policies'!$I$4:$I$503,_calc!$E$306),"yyyy-mm-dd"),""),""))</f>
        <v/>
      </c>
      <c r="E304" s="46">
        <f>IF(_calc!$E$306="","",IF(_calc!$E$306&lt;=500,IF(LEN(INDEX('Our policies'!$Q$4:$Q$503,_calc!$E$306))=0,"",INDEX('Our policies'!$Q$4:$Q$503,_calc!$E$306)),"Medium"))</f>
        <v/>
      </c>
      <c r="F304" s="46">
        <f>IF(_calc!$E$306="","",IF(_calc!$E$306&lt;=500,TRIM(IF(LEN(IF(LEN(INDEX('Our policies'!$B$4:$B$503,_calc!$E$306))=0,"",INDEX('Our policies'!$B$4:$B$503,_calc!$E$306)))=0,"","Cover: "&amp;IF(LEN(INDEX('Our policies'!$B$4:$B$503,_calc!$E$306))=0,"",INDEX('Our policies'!$B$4:$B$503,_calc!$E$306))&amp;". ")&amp;IF(LEN(IF(LEN(INDEX('Our policies'!$C$4:$C$503,_calc!$E$306))=0,"",INDEX('Our policies'!$C$4:$C$503,_calc!$E$306)))=0,"","Insurer: "&amp;IF(LEN(INDEX('Our policies'!$C$4:$C$503,_calc!$E$306))=0,"",INDEX('Our policies'!$C$4:$C$503,_calc!$E$306))&amp;". ")&amp;IF(LEN(IF(LEN(INDEX('Our policies'!$D$4:$D$503,_calc!$E$306))=0,"",INDEX('Our policies'!$D$4:$D$503,_calc!$E$306)))=0,"","Broker: "&amp;IF(LEN(INDEX('Our policies'!$D$4:$D$503,_calc!$E$306))=0,"",INDEX('Our policies'!$D$4:$D$503,_calc!$E$306))&amp;". ")&amp;IF(LEN(IF(LEN(INDEX('Our policies'!$E$4:$E$503,_calc!$E$306))=0,"",INDEX('Our policies'!$E$4:$E$503,_calc!$E$306)))=0,"","Policy no.: "&amp;IF(LEN(INDEX('Our policies'!$E$4:$E$503,_calc!$E$306))=0,"",INDEX('Our policies'!$E$4:$E$503,_calc!$E$306))&amp;". ")&amp;IF(LEN(IF(LEN(INDEX('Our policies'!$S$4:$S$503,_calc!$E$306))=0,"",INDEX('Our policies'!$S$4:$S$503,_calc!$E$306)))=0,"",IF(LEN(INDEX('Our policies'!$S$4:$S$503,_calc!$E$306))=0,"",INDEX('Our policies'!$S$4:$S$503,_calc!$E$306)))),TRIM(IF(LEN(IF(LEN(INDEX('Vendor COIs'!$C$4:$C$503,(_calc!$E$306-500)))=0,"",INDEX('Vendor COIs'!$C$4:$C$503,(_calc!$E$306-500))))=0,"","Insurer: "&amp;IF(LEN(INDEX('Vendor COIs'!$C$4:$C$503,(_calc!$E$306-500)))=0,"",INDEX('Vendor COIs'!$C$4:$C$503,(_calc!$E$306-500)))&amp;". ")&amp;IF(LEN(IF(LEN(INDEX('Vendor COIs'!$D$4:$D$503,(_calc!$E$306-500)))=0,"",INDEX('Vendor COIs'!$D$4:$D$503,(_calc!$E$306-500))))=0,"","Policy no.: "&amp;IF(LEN(INDEX('Vendor COIs'!$D$4:$D$503,(_calc!$E$306-500)))=0,"",INDEX('Vendor COIs'!$D$4:$D$503,(_calc!$E$306-500)))&amp;". ")&amp;IF(LEN(IF(LEN(INDEX('Vendor COIs'!$F$4:$F$503,(_calc!$E$306-500)))=0,"",INDEX('Vendor COIs'!$F$4:$F$503,(_calc!$E$306-500))))=0,"","Meets minimum: "&amp;IF(LEN(INDEX('Vendor COIs'!$F$4:$F$503,(_calc!$E$306-500)))=0,"",INDEX('Vendor COIs'!$F$4:$F$503,(_calc!$E$306-500)))&amp;". ")&amp;IF(LEN(IF(LEN(INDEX('Vendor COIs'!$G$4:$G$503,(_calc!$E$306-500)))=0,"",INDEX('Vendor COIs'!$G$4:$G$503,(_calc!$E$306-500))))=0,"","Additional insured: "&amp;IF(LEN(INDEX('Vendor COIs'!$G$4:$G$503,(_calc!$E$306-500)))=0,"",INDEX('Vendor COIs'!$G$4:$G$503,(_calc!$E$306-500)))&amp;". ")&amp;IF(LEN(IF(LEN(INDEX('Vendor COIs'!$M$4:$M$503,(_calc!$E$306-500)))=0,"",INDEX('Vendor COIs'!$M$4:$M$503,(_calc!$E$306-500))))=0,"","Vendor contact: "&amp;IF(LEN(INDEX('Vendor COIs'!$M$4:$M$503,(_calc!$E$306-500)))=0,"",INDEX('Vendor COIs'!$M$4:$M$503,(_calc!$E$306-500)))&amp;". ")&amp;IF(LEN(IF(LEN(INDEX('Vendor COIs'!$P$4:$P$503,(_calc!$E$306-500)))=0,"",INDEX('Vendor COIs'!$P$4:$P$503,(_calc!$E$306-500))))=0,"",IF(LEN(INDEX('Vendor COIs'!$P$4:$P$503,(_calc!$E$306-500)))=0,"",INDEX('Vendor COIs'!$P$4:$P$503,(_calc!$E$306-500)))))))</f>
        <v/>
      </c>
      <c r="G304" s="46">
        <f>IF(_calc!$E$306="","",IF(_calc!$E$306&lt;=500,IF(LEN(INDEX('Our policies'!$R$4:$R$503,_calc!$E$306))=0,"",INDEX('Our policies'!$R$4:$R$503,_calc!$E$306)),IF(LEN(INDEX('Vendor COIs'!$O$4:$O$503,(_calc!$E$306-500)))=0,"",INDEX('Vendor COIs'!$O$4:$O$503,(_calc!$E$306-500)))))</f>
        <v/>
      </c>
      <c r="H304" s="46">
        <f>IF(_calc!$E$306="","",IF(_calc!$E$306&lt;=500,IF(LEN(INDEX('Our policies'!$G$4:$G$503,_calc!$E$306))=0,"",INDEX('Our policies'!$G$4:$G$503,_calc!$E$306)),""))</f>
        <v/>
      </c>
      <c r="I304" s="46">
        <f>IF(_calc!$E$306="","",IF(_calc!$E$306&lt;=500,IF(LEN(INDEX('Our policies'!$H$4:$H$503,_calc!$E$306))=0,"",INDEX('Our policies'!$H$4:$H$503,_calc!$E$306)),""))</f>
        <v/>
      </c>
      <c r="K304" s="46">
        <f>IF(_calc!$E$306="","",IF(_calc!$E$306&lt;=500,IF(LEN(INDEX('Our policies'!$P$4:$P$503,_calc!$E$306))=0,"",INDEX('Our policies'!$P$4:$P$503,_calc!$E$306)),IF(LEN(INDEX('Vendor COIs'!$N$4:$N$503,(_calc!$E$306-500)))=0,"",INDEX('Vendor COIs'!$N$4:$N$503,(_calc!$E$306-500)))))</f>
        <v/>
      </c>
    </row>
    <row r="305">
      <c r="A305" s="46">
        <f>IF(_calc!$E$307="","",IF(_calc!$E$307&lt;=500,IF(LEN(INDEX('Our policies'!$A$4:$A$503,_calc!$E$307))=0,"",INDEX('Our policies'!$A$4:$A$503,_calc!$E$307)),"COI – "&amp;IF(LEN(INDEX('Vendor COIs'!$A$4:$A$503,(_calc!$E$307-500)))=0,"",INDEX('Vendor COIs'!$A$4:$A$503,(_calc!$E$307-500)))&amp;" – "&amp;IF(LEN(INDEX('Vendor COIs'!$B$4:$B$503,(_calc!$E$307-500)))=0,"",INDEX('Vendor COIs'!$B$4:$B$503,(_calc!$E$307-500)))))</f>
        <v/>
      </c>
      <c r="B305" s="46">
        <f>IF(_calc!$E$307="","",IF(_calc!$E$307&lt;=500,IF(ISNUMBER(INDEX('Our policies'!$J$4:$J$503,_calc!$E$307)),TEXT(INDEX('Our policies'!$J$4:$J$503,_calc!$E$307),"yyyy-mm-dd"),""),IF(ISNUMBER(INDEX('Vendor COIs'!$H$4:$H$503,(_calc!$E$307-500))),TEXT(INDEX('Vendor COIs'!$H$4:$H$503,(_calc!$E$307-500)),"yyyy-mm-dd"),"")))</f>
        <v/>
      </c>
      <c r="C305" s="46">
        <f>IF(_calc!$E$307="","",IF(_calc!$E$307&lt;=500,"Insurance","Certificate of insurance"))</f>
        <v/>
      </c>
      <c r="D305" s="46">
        <f>IF(_calc!$E$307="","",IF(_calc!$E$307&lt;=500,IF(ISNUMBER(INDEX('Our policies'!$I$4:$I$503,_calc!$E$307)),TEXT(INDEX('Our policies'!$I$4:$I$503,_calc!$E$307),"yyyy-mm-dd"),""),""))</f>
        <v/>
      </c>
      <c r="E305" s="46">
        <f>IF(_calc!$E$307="","",IF(_calc!$E$307&lt;=500,IF(LEN(INDEX('Our policies'!$Q$4:$Q$503,_calc!$E$307))=0,"",INDEX('Our policies'!$Q$4:$Q$503,_calc!$E$307)),"Medium"))</f>
        <v/>
      </c>
      <c r="F305" s="46">
        <f>IF(_calc!$E$307="","",IF(_calc!$E$307&lt;=500,TRIM(IF(LEN(IF(LEN(INDEX('Our policies'!$B$4:$B$503,_calc!$E$307))=0,"",INDEX('Our policies'!$B$4:$B$503,_calc!$E$307)))=0,"","Cover: "&amp;IF(LEN(INDEX('Our policies'!$B$4:$B$503,_calc!$E$307))=0,"",INDEX('Our policies'!$B$4:$B$503,_calc!$E$307))&amp;". ")&amp;IF(LEN(IF(LEN(INDEX('Our policies'!$C$4:$C$503,_calc!$E$307))=0,"",INDEX('Our policies'!$C$4:$C$503,_calc!$E$307)))=0,"","Insurer: "&amp;IF(LEN(INDEX('Our policies'!$C$4:$C$503,_calc!$E$307))=0,"",INDEX('Our policies'!$C$4:$C$503,_calc!$E$307))&amp;". ")&amp;IF(LEN(IF(LEN(INDEX('Our policies'!$D$4:$D$503,_calc!$E$307))=0,"",INDEX('Our policies'!$D$4:$D$503,_calc!$E$307)))=0,"","Broker: "&amp;IF(LEN(INDEX('Our policies'!$D$4:$D$503,_calc!$E$307))=0,"",INDEX('Our policies'!$D$4:$D$503,_calc!$E$307))&amp;". ")&amp;IF(LEN(IF(LEN(INDEX('Our policies'!$E$4:$E$503,_calc!$E$307))=0,"",INDEX('Our policies'!$E$4:$E$503,_calc!$E$307)))=0,"","Policy no.: "&amp;IF(LEN(INDEX('Our policies'!$E$4:$E$503,_calc!$E$307))=0,"",INDEX('Our policies'!$E$4:$E$503,_calc!$E$307))&amp;". ")&amp;IF(LEN(IF(LEN(INDEX('Our policies'!$S$4:$S$503,_calc!$E$307))=0,"",INDEX('Our policies'!$S$4:$S$503,_calc!$E$307)))=0,"",IF(LEN(INDEX('Our policies'!$S$4:$S$503,_calc!$E$307))=0,"",INDEX('Our policies'!$S$4:$S$503,_calc!$E$307)))),TRIM(IF(LEN(IF(LEN(INDEX('Vendor COIs'!$C$4:$C$503,(_calc!$E$307-500)))=0,"",INDEX('Vendor COIs'!$C$4:$C$503,(_calc!$E$307-500))))=0,"","Insurer: "&amp;IF(LEN(INDEX('Vendor COIs'!$C$4:$C$503,(_calc!$E$307-500)))=0,"",INDEX('Vendor COIs'!$C$4:$C$503,(_calc!$E$307-500)))&amp;". ")&amp;IF(LEN(IF(LEN(INDEX('Vendor COIs'!$D$4:$D$503,(_calc!$E$307-500)))=0,"",INDEX('Vendor COIs'!$D$4:$D$503,(_calc!$E$307-500))))=0,"","Policy no.: "&amp;IF(LEN(INDEX('Vendor COIs'!$D$4:$D$503,(_calc!$E$307-500)))=0,"",INDEX('Vendor COIs'!$D$4:$D$503,(_calc!$E$307-500)))&amp;". ")&amp;IF(LEN(IF(LEN(INDEX('Vendor COIs'!$F$4:$F$503,(_calc!$E$307-500)))=0,"",INDEX('Vendor COIs'!$F$4:$F$503,(_calc!$E$307-500))))=0,"","Meets minimum: "&amp;IF(LEN(INDEX('Vendor COIs'!$F$4:$F$503,(_calc!$E$307-500)))=0,"",INDEX('Vendor COIs'!$F$4:$F$503,(_calc!$E$307-500)))&amp;". ")&amp;IF(LEN(IF(LEN(INDEX('Vendor COIs'!$G$4:$G$503,(_calc!$E$307-500)))=0,"",INDEX('Vendor COIs'!$G$4:$G$503,(_calc!$E$307-500))))=0,"","Additional insured: "&amp;IF(LEN(INDEX('Vendor COIs'!$G$4:$G$503,(_calc!$E$307-500)))=0,"",INDEX('Vendor COIs'!$G$4:$G$503,(_calc!$E$307-500)))&amp;". ")&amp;IF(LEN(IF(LEN(INDEX('Vendor COIs'!$M$4:$M$503,(_calc!$E$307-500)))=0,"",INDEX('Vendor COIs'!$M$4:$M$503,(_calc!$E$307-500))))=0,"","Vendor contact: "&amp;IF(LEN(INDEX('Vendor COIs'!$M$4:$M$503,(_calc!$E$307-500)))=0,"",INDEX('Vendor COIs'!$M$4:$M$503,(_calc!$E$307-500)))&amp;". ")&amp;IF(LEN(IF(LEN(INDEX('Vendor COIs'!$P$4:$P$503,(_calc!$E$307-500)))=0,"",INDEX('Vendor COIs'!$P$4:$P$503,(_calc!$E$307-500))))=0,"",IF(LEN(INDEX('Vendor COIs'!$P$4:$P$503,(_calc!$E$307-500)))=0,"",INDEX('Vendor COIs'!$P$4:$P$503,(_calc!$E$307-500)))))))</f>
        <v/>
      </c>
      <c r="G305" s="46">
        <f>IF(_calc!$E$307="","",IF(_calc!$E$307&lt;=500,IF(LEN(INDEX('Our policies'!$R$4:$R$503,_calc!$E$307))=0,"",INDEX('Our policies'!$R$4:$R$503,_calc!$E$307)),IF(LEN(INDEX('Vendor COIs'!$O$4:$O$503,(_calc!$E$307-500)))=0,"",INDEX('Vendor COIs'!$O$4:$O$503,(_calc!$E$307-500)))))</f>
        <v/>
      </c>
      <c r="H305" s="46">
        <f>IF(_calc!$E$307="","",IF(_calc!$E$307&lt;=500,IF(LEN(INDEX('Our policies'!$G$4:$G$503,_calc!$E$307))=0,"",INDEX('Our policies'!$G$4:$G$503,_calc!$E$307)),""))</f>
        <v/>
      </c>
      <c r="I305" s="46">
        <f>IF(_calc!$E$307="","",IF(_calc!$E$307&lt;=500,IF(LEN(INDEX('Our policies'!$H$4:$H$503,_calc!$E$307))=0,"",INDEX('Our policies'!$H$4:$H$503,_calc!$E$307)),""))</f>
        <v/>
      </c>
      <c r="K305" s="46">
        <f>IF(_calc!$E$307="","",IF(_calc!$E$307&lt;=500,IF(LEN(INDEX('Our policies'!$P$4:$P$503,_calc!$E$307))=0,"",INDEX('Our policies'!$P$4:$P$503,_calc!$E$307)),IF(LEN(INDEX('Vendor COIs'!$N$4:$N$503,(_calc!$E$307-500)))=0,"",INDEX('Vendor COIs'!$N$4:$N$503,(_calc!$E$307-500)))))</f>
        <v/>
      </c>
    </row>
    <row r="306">
      <c r="A306" s="46">
        <f>IF(_calc!$E$308="","",IF(_calc!$E$308&lt;=500,IF(LEN(INDEX('Our policies'!$A$4:$A$503,_calc!$E$308))=0,"",INDEX('Our policies'!$A$4:$A$503,_calc!$E$308)),"COI – "&amp;IF(LEN(INDEX('Vendor COIs'!$A$4:$A$503,(_calc!$E$308-500)))=0,"",INDEX('Vendor COIs'!$A$4:$A$503,(_calc!$E$308-500)))&amp;" – "&amp;IF(LEN(INDEX('Vendor COIs'!$B$4:$B$503,(_calc!$E$308-500)))=0,"",INDEX('Vendor COIs'!$B$4:$B$503,(_calc!$E$308-500)))))</f>
        <v/>
      </c>
      <c r="B306" s="46">
        <f>IF(_calc!$E$308="","",IF(_calc!$E$308&lt;=500,IF(ISNUMBER(INDEX('Our policies'!$J$4:$J$503,_calc!$E$308)),TEXT(INDEX('Our policies'!$J$4:$J$503,_calc!$E$308),"yyyy-mm-dd"),""),IF(ISNUMBER(INDEX('Vendor COIs'!$H$4:$H$503,(_calc!$E$308-500))),TEXT(INDEX('Vendor COIs'!$H$4:$H$503,(_calc!$E$308-500)),"yyyy-mm-dd"),"")))</f>
        <v/>
      </c>
      <c r="C306" s="46">
        <f>IF(_calc!$E$308="","",IF(_calc!$E$308&lt;=500,"Insurance","Certificate of insurance"))</f>
        <v/>
      </c>
      <c r="D306" s="46">
        <f>IF(_calc!$E$308="","",IF(_calc!$E$308&lt;=500,IF(ISNUMBER(INDEX('Our policies'!$I$4:$I$503,_calc!$E$308)),TEXT(INDEX('Our policies'!$I$4:$I$503,_calc!$E$308),"yyyy-mm-dd"),""),""))</f>
        <v/>
      </c>
      <c r="E306" s="46">
        <f>IF(_calc!$E$308="","",IF(_calc!$E$308&lt;=500,IF(LEN(INDEX('Our policies'!$Q$4:$Q$503,_calc!$E$308))=0,"",INDEX('Our policies'!$Q$4:$Q$503,_calc!$E$308)),"Medium"))</f>
        <v/>
      </c>
      <c r="F306" s="46">
        <f>IF(_calc!$E$308="","",IF(_calc!$E$308&lt;=500,TRIM(IF(LEN(IF(LEN(INDEX('Our policies'!$B$4:$B$503,_calc!$E$308))=0,"",INDEX('Our policies'!$B$4:$B$503,_calc!$E$308)))=0,"","Cover: "&amp;IF(LEN(INDEX('Our policies'!$B$4:$B$503,_calc!$E$308))=0,"",INDEX('Our policies'!$B$4:$B$503,_calc!$E$308))&amp;". ")&amp;IF(LEN(IF(LEN(INDEX('Our policies'!$C$4:$C$503,_calc!$E$308))=0,"",INDEX('Our policies'!$C$4:$C$503,_calc!$E$308)))=0,"","Insurer: "&amp;IF(LEN(INDEX('Our policies'!$C$4:$C$503,_calc!$E$308))=0,"",INDEX('Our policies'!$C$4:$C$503,_calc!$E$308))&amp;". ")&amp;IF(LEN(IF(LEN(INDEX('Our policies'!$D$4:$D$503,_calc!$E$308))=0,"",INDEX('Our policies'!$D$4:$D$503,_calc!$E$308)))=0,"","Broker: "&amp;IF(LEN(INDEX('Our policies'!$D$4:$D$503,_calc!$E$308))=0,"",INDEX('Our policies'!$D$4:$D$503,_calc!$E$308))&amp;". ")&amp;IF(LEN(IF(LEN(INDEX('Our policies'!$E$4:$E$503,_calc!$E$308))=0,"",INDEX('Our policies'!$E$4:$E$503,_calc!$E$308)))=0,"","Policy no.: "&amp;IF(LEN(INDEX('Our policies'!$E$4:$E$503,_calc!$E$308))=0,"",INDEX('Our policies'!$E$4:$E$503,_calc!$E$308))&amp;". ")&amp;IF(LEN(IF(LEN(INDEX('Our policies'!$S$4:$S$503,_calc!$E$308))=0,"",INDEX('Our policies'!$S$4:$S$503,_calc!$E$308)))=0,"",IF(LEN(INDEX('Our policies'!$S$4:$S$503,_calc!$E$308))=0,"",INDEX('Our policies'!$S$4:$S$503,_calc!$E$308)))),TRIM(IF(LEN(IF(LEN(INDEX('Vendor COIs'!$C$4:$C$503,(_calc!$E$308-500)))=0,"",INDEX('Vendor COIs'!$C$4:$C$503,(_calc!$E$308-500))))=0,"","Insurer: "&amp;IF(LEN(INDEX('Vendor COIs'!$C$4:$C$503,(_calc!$E$308-500)))=0,"",INDEX('Vendor COIs'!$C$4:$C$503,(_calc!$E$308-500)))&amp;". ")&amp;IF(LEN(IF(LEN(INDEX('Vendor COIs'!$D$4:$D$503,(_calc!$E$308-500)))=0,"",INDEX('Vendor COIs'!$D$4:$D$503,(_calc!$E$308-500))))=0,"","Policy no.: "&amp;IF(LEN(INDEX('Vendor COIs'!$D$4:$D$503,(_calc!$E$308-500)))=0,"",INDEX('Vendor COIs'!$D$4:$D$503,(_calc!$E$308-500)))&amp;". ")&amp;IF(LEN(IF(LEN(INDEX('Vendor COIs'!$F$4:$F$503,(_calc!$E$308-500)))=0,"",INDEX('Vendor COIs'!$F$4:$F$503,(_calc!$E$308-500))))=0,"","Meets minimum: "&amp;IF(LEN(INDEX('Vendor COIs'!$F$4:$F$503,(_calc!$E$308-500)))=0,"",INDEX('Vendor COIs'!$F$4:$F$503,(_calc!$E$308-500)))&amp;". ")&amp;IF(LEN(IF(LEN(INDEX('Vendor COIs'!$G$4:$G$503,(_calc!$E$308-500)))=0,"",INDEX('Vendor COIs'!$G$4:$G$503,(_calc!$E$308-500))))=0,"","Additional insured: "&amp;IF(LEN(INDEX('Vendor COIs'!$G$4:$G$503,(_calc!$E$308-500)))=0,"",INDEX('Vendor COIs'!$G$4:$G$503,(_calc!$E$308-500)))&amp;". ")&amp;IF(LEN(IF(LEN(INDEX('Vendor COIs'!$M$4:$M$503,(_calc!$E$308-500)))=0,"",INDEX('Vendor COIs'!$M$4:$M$503,(_calc!$E$308-500))))=0,"","Vendor contact: "&amp;IF(LEN(INDEX('Vendor COIs'!$M$4:$M$503,(_calc!$E$308-500)))=0,"",INDEX('Vendor COIs'!$M$4:$M$503,(_calc!$E$308-500)))&amp;". ")&amp;IF(LEN(IF(LEN(INDEX('Vendor COIs'!$P$4:$P$503,(_calc!$E$308-500)))=0,"",INDEX('Vendor COIs'!$P$4:$P$503,(_calc!$E$308-500))))=0,"",IF(LEN(INDEX('Vendor COIs'!$P$4:$P$503,(_calc!$E$308-500)))=0,"",INDEX('Vendor COIs'!$P$4:$P$503,(_calc!$E$308-500)))))))</f>
        <v/>
      </c>
      <c r="G306" s="46">
        <f>IF(_calc!$E$308="","",IF(_calc!$E$308&lt;=500,IF(LEN(INDEX('Our policies'!$R$4:$R$503,_calc!$E$308))=0,"",INDEX('Our policies'!$R$4:$R$503,_calc!$E$308)),IF(LEN(INDEX('Vendor COIs'!$O$4:$O$503,(_calc!$E$308-500)))=0,"",INDEX('Vendor COIs'!$O$4:$O$503,(_calc!$E$308-500)))))</f>
        <v/>
      </c>
      <c r="H306" s="46">
        <f>IF(_calc!$E$308="","",IF(_calc!$E$308&lt;=500,IF(LEN(INDEX('Our policies'!$G$4:$G$503,_calc!$E$308))=0,"",INDEX('Our policies'!$G$4:$G$503,_calc!$E$308)),""))</f>
        <v/>
      </c>
      <c r="I306" s="46">
        <f>IF(_calc!$E$308="","",IF(_calc!$E$308&lt;=500,IF(LEN(INDEX('Our policies'!$H$4:$H$503,_calc!$E$308))=0,"",INDEX('Our policies'!$H$4:$H$503,_calc!$E$308)),""))</f>
        <v/>
      </c>
      <c r="K306" s="46">
        <f>IF(_calc!$E$308="","",IF(_calc!$E$308&lt;=500,IF(LEN(INDEX('Our policies'!$P$4:$P$503,_calc!$E$308))=0,"",INDEX('Our policies'!$P$4:$P$503,_calc!$E$308)),IF(LEN(INDEX('Vendor COIs'!$N$4:$N$503,(_calc!$E$308-500)))=0,"",INDEX('Vendor COIs'!$N$4:$N$503,(_calc!$E$308-500)))))</f>
        <v/>
      </c>
    </row>
    <row r="307">
      <c r="A307" s="46">
        <f>IF(_calc!$E$309="","",IF(_calc!$E$309&lt;=500,IF(LEN(INDEX('Our policies'!$A$4:$A$503,_calc!$E$309))=0,"",INDEX('Our policies'!$A$4:$A$503,_calc!$E$309)),"COI – "&amp;IF(LEN(INDEX('Vendor COIs'!$A$4:$A$503,(_calc!$E$309-500)))=0,"",INDEX('Vendor COIs'!$A$4:$A$503,(_calc!$E$309-500)))&amp;" – "&amp;IF(LEN(INDEX('Vendor COIs'!$B$4:$B$503,(_calc!$E$309-500)))=0,"",INDEX('Vendor COIs'!$B$4:$B$503,(_calc!$E$309-500)))))</f>
        <v/>
      </c>
      <c r="B307" s="46">
        <f>IF(_calc!$E$309="","",IF(_calc!$E$309&lt;=500,IF(ISNUMBER(INDEX('Our policies'!$J$4:$J$503,_calc!$E$309)),TEXT(INDEX('Our policies'!$J$4:$J$503,_calc!$E$309),"yyyy-mm-dd"),""),IF(ISNUMBER(INDEX('Vendor COIs'!$H$4:$H$503,(_calc!$E$309-500))),TEXT(INDEX('Vendor COIs'!$H$4:$H$503,(_calc!$E$309-500)),"yyyy-mm-dd"),"")))</f>
        <v/>
      </c>
      <c r="C307" s="46">
        <f>IF(_calc!$E$309="","",IF(_calc!$E$309&lt;=500,"Insurance","Certificate of insurance"))</f>
        <v/>
      </c>
      <c r="D307" s="46">
        <f>IF(_calc!$E$309="","",IF(_calc!$E$309&lt;=500,IF(ISNUMBER(INDEX('Our policies'!$I$4:$I$503,_calc!$E$309)),TEXT(INDEX('Our policies'!$I$4:$I$503,_calc!$E$309),"yyyy-mm-dd"),""),""))</f>
        <v/>
      </c>
      <c r="E307" s="46">
        <f>IF(_calc!$E$309="","",IF(_calc!$E$309&lt;=500,IF(LEN(INDEX('Our policies'!$Q$4:$Q$503,_calc!$E$309))=0,"",INDEX('Our policies'!$Q$4:$Q$503,_calc!$E$309)),"Medium"))</f>
        <v/>
      </c>
      <c r="F307" s="46">
        <f>IF(_calc!$E$309="","",IF(_calc!$E$309&lt;=500,TRIM(IF(LEN(IF(LEN(INDEX('Our policies'!$B$4:$B$503,_calc!$E$309))=0,"",INDEX('Our policies'!$B$4:$B$503,_calc!$E$309)))=0,"","Cover: "&amp;IF(LEN(INDEX('Our policies'!$B$4:$B$503,_calc!$E$309))=0,"",INDEX('Our policies'!$B$4:$B$503,_calc!$E$309))&amp;". ")&amp;IF(LEN(IF(LEN(INDEX('Our policies'!$C$4:$C$503,_calc!$E$309))=0,"",INDEX('Our policies'!$C$4:$C$503,_calc!$E$309)))=0,"","Insurer: "&amp;IF(LEN(INDEX('Our policies'!$C$4:$C$503,_calc!$E$309))=0,"",INDEX('Our policies'!$C$4:$C$503,_calc!$E$309))&amp;". ")&amp;IF(LEN(IF(LEN(INDEX('Our policies'!$D$4:$D$503,_calc!$E$309))=0,"",INDEX('Our policies'!$D$4:$D$503,_calc!$E$309)))=0,"","Broker: "&amp;IF(LEN(INDEX('Our policies'!$D$4:$D$503,_calc!$E$309))=0,"",INDEX('Our policies'!$D$4:$D$503,_calc!$E$309))&amp;". ")&amp;IF(LEN(IF(LEN(INDEX('Our policies'!$E$4:$E$503,_calc!$E$309))=0,"",INDEX('Our policies'!$E$4:$E$503,_calc!$E$309)))=0,"","Policy no.: "&amp;IF(LEN(INDEX('Our policies'!$E$4:$E$503,_calc!$E$309))=0,"",INDEX('Our policies'!$E$4:$E$503,_calc!$E$309))&amp;". ")&amp;IF(LEN(IF(LEN(INDEX('Our policies'!$S$4:$S$503,_calc!$E$309))=0,"",INDEX('Our policies'!$S$4:$S$503,_calc!$E$309)))=0,"",IF(LEN(INDEX('Our policies'!$S$4:$S$503,_calc!$E$309))=0,"",INDEX('Our policies'!$S$4:$S$503,_calc!$E$309)))),TRIM(IF(LEN(IF(LEN(INDEX('Vendor COIs'!$C$4:$C$503,(_calc!$E$309-500)))=0,"",INDEX('Vendor COIs'!$C$4:$C$503,(_calc!$E$309-500))))=0,"","Insurer: "&amp;IF(LEN(INDEX('Vendor COIs'!$C$4:$C$503,(_calc!$E$309-500)))=0,"",INDEX('Vendor COIs'!$C$4:$C$503,(_calc!$E$309-500)))&amp;". ")&amp;IF(LEN(IF(LEN(INDEX('Vendor COIs'!$D$4:$D$503,(_calc!$E$309-500)))=0,"",INDEX('Vendor COIs'!$D$4:$D$503,(_calc!$E$309-500))))=0,"","Policy no.: "&amp;IF(LEN(INDEX('Vendor COIs'!$D$4:$D$503,(_calc!$E$309-500)))=0,"",INDEX('Vendor COIs'!$D$4:$D$503,(_calc!$E$309-500)))&amp;". ")&amp;IF(LEN(IF(LEN(INDEX('Vendor COIs'!$F$4:$F$503,(_calc!$E$309-500)))=0,"",INDEX('Vendor COIs'!$F$4:$F$503,(_calc!$E$309-500))))=0,"","Meets minimum: "&amp;IF(LEN(INDEX('Vendor COIs'!$F$4:$F$503,(_calc!$E$309-500)))=0,"",INDEX('Vendor COIs'!$F$4:$F$503,(_calc!$E$309-500)))&amp;". ")&amp;IF(LEN(IF(LEN(INDEX('Vendor COIs'!$G$4:$G$503,(_calc!$E$309-500)))=0,"",INDEX('Vendor COIs'!$G$4:$G$503,(_calc!$E$309-500))))=0,"","Additional insured: "&amp;IF(LEN(INDEX('Vendor COIs'!$G$4:$G$503,(_calc!$E$309-500)))=0,"",INDEX('Vendor COIs'!$G$4:$G$503,(_calc!$E$309-500)))&amp;". ")&amp;IF(LEN(IF(LEN(INDEX('Vendor COIs'!$M$4:$M$503,(_calc!$E$309-500)))=0,"",INDEX('Vendor COIs'!$M$4:$M$503,(_calc!$E$309-500))))=0,"","Vendor contact: "&amp;IF(LEN(INDEX('Vendor COIs'!$M$4:$M$503,(_calc!$E$309-500)))=0,"",INDEX('Vendor COIs'!$M$4:$M$503,(_calc!$E$309-500)))&amp;". ")&amp;IF(LEN(IF(LEN(INDEX('Vendor COIs'!$P$4:$P$503,(_calc!$E$309-500)))=0,"",INDEX('Vendor COIs'!$P$4:$P$503,(_calc!$E$309-500))))=0,"",IF(LEN(INDEX('Vendor COIs'!$P$4:$P$503,(_calc!$E$309-500)))=0,"",INDEX('Vendor COIs'!$P$4:$P$503,(_calc!$E$309-500)))))))</f>
        <v/>
      </c>
      <c r="G307" s="46">
        <f>IF(_calc!$E$309="","",IF(_calc!$E$309&lt;=500,IF(LEN(INDEX('Our policies'!$R$4:$R$503,_calc!$E$309))=0,"",INDEX('Our policies'!$R$4:$R$503,_calc!$E$309)),IF(LEN(INDEX('Vendor COIs'!$O$4:$O$503,(_calc!$E$309-500)))=0,"",INDEX('Vendor COIs'!$O$4:$O$503,(_calc!$E$309-500)))))</f>
        <v/>
      </c>
      <c r="H307" s="46">
        <f>IF(_calc!$E$309="","",IF(_calc!$E$309&lt;=500,IF(LEN(INDEX('Our policies'!$G$4:$G$503,_calc!$E$309))=0,"",INDEX('Our policies'!$G$4:$G$503,_calc!$E$309)),""))</f>
        <v/>
      </c>
      <c r="I307" s="46">
        <f>IF(_calc!$E$309="","",IF(_calc!$E$309&lt;=500,IF(LEN(INDEX('Our policies'!$H$4:$H$503,_calc!$E$309))=0,"",INDEX('Our policies'!$H$4:$H$503,_calc!$E$309)),""))</f>
        <v/>
      </c>
      <c r="K307" s="46">
        <f>IF(_calc!$E$309="","",IF(_calc!$E$309&lt;=500,IF(LEN(INDEX('Our policies'!$P$4:$P$503,_calc!$E$309))=0,"",INDEX('Our policies'!$P$4:$P$503,_calc!$E$309)),IF(LEN(INDEX('Vendor COIs'!$N$4:$N$503,(_calc!$E$309-500)))=0,"",INDEX('Vendor COIs'!$N$4:$N$503,(_calc!$E$309-500)))))</f>
        <v/>
      </c>
    </row>
    <row r="308">
      <c r="A308" s="46">
        <f>IF(_calc!$E$310="","",IF(_calc!$E$310&lt;=500,IF(LEN(INDEX('Our policies'!$A$4:$A$503,_calc!$E$310))=0,"",INDEX('Our policies'!$A$4:$A$503,_calc!$E$310)),"COI – "&amp;IF(LEN(INDEX('Vendor COIs'!$A$4:$A$503,(_calc!$E$310-500)))=0,"",INDEX('Vendor COIs'!$A$4:$A$503,(_calc!$E$310-500)))&amp;" – "&amp;IF(LEN(INDEX('Vendor COIs'!$B$4:$B$503,(_calc!$E$310-500)))=0,"",INDEX('Vendor COIs'!$B$4:$B$503,(_calc!$E$310-500)))))</f>
        <v/>
      </c>
      <c r="B308" s="46">
        <f>IF(_calc!$E$310="","",IF(_calc!$E$310&lt;=500,IF(ISNUMBER(INDEX('Our policies'!$J$4:$J$503,_calc!$E$310)),TEXT(INDEX('Our policies'!$J$4:$J$503,_calc!$E$310),"yyyy-mm-dd"),""),IF(ISNUMBER(INDEX('Vendor COIs'!$H$4:$H$503,(_calc!$E$310-500))),TEXT(INDEX('Vendor COIs'!$H$4:$H$503,(_calc!$E$310-500)),"yyyy-mm-dd"),"")))</f>
        <v/>
      </c>
      <c r="C308" s="46">
        <f>IF(_calc!$E$310="","",IF(_calc!$E$310&lt;=500,"Insurance","Certificate of insurance"))</f>
        <v/>
      </c>
      <c r="D308" s="46">
        <f>IF(_calc!$E$310="","",IF(_calc!$E$310&lt;=500,IF(ISNUMBER(INDEX('Our policies'!$I$4:$I$503,_calc!$E$310)),TEXT(INDEX('Our policies'!$I$4:$I$503,_calc!$E$310),"yyyy-mm-dd"),""),""))</f>
        <v/>
      </c>
      <c r="E308" s="46">
        <f>IF(_calc!$E$310="","",IF(_calc!$E$310&lt;=500,IF(LEN(INDEX('Our policies'!$Q$4:$Q$503,_calc!$E$310))=0,"",INDEX('Our policies'!$Q$4:$Q$503,_calc!$E$310)),"Medium"))</f>
        <v/>
      </c>
      <c r="F308" s="46">
        <f>IF(_calc!$E$310="","",IF(_calc!$E$310&lt;=500,TRIM(IF(LEN(IF(LEN(INDEX('Our policies'!$B$4:$B$503,_calc!$E$310))=0,"",INDEX('Our policies'!$B$4:$B$503,_calc!$E$310)))=0,"","Cover: "&amp;IF(LEN(INDEX('Our policies'!$B$4:$B$503,_calc!$E$310))=0,"",INDEX('Our policies'!$B$4:$B$503,_calc!$E$310))&amp;". ")&amp;IF(LEN(IF(LEN(INDEX('Our policies'!$C$4:$C$503,_calc!$E$310))=0,"",INDEX('Our policies'!$C$4:$C$503,_calc!$E$310)))=0,"","Insurer: "&amp;IF(LEN(INDEX('Our policies'!$C$4:$C$503,_calc!$E$310))=0,"",INDEX('Our policies'!$C$4:$C$503,_calc!$E$310))&amp;". ")&amp;IF(LEN(IF(LEN(INDEX('Our policies'!$D$4:$D$503,_calc!$E$310))=0,"",INDEX('Our policies'!$D$4:$D$503,_calc!$E$310)))=0,"","Broker: "&amp;IF(LEN(INDEX('Our policies'!$D$4:$D$503,_calc!$E$310))=0,"",INDEX('Our policies'!$D$4:$D$503,_calc!$E$310))&amp;". ")&amp;IF(LEN(IF(LEN(INDEX('Our policies'!$E$4:$E$503,_calc!$E$310))=0,"",INDEX('Our policies'!$E$4:$E$503,_calc!$E$310)))=0,"","Policy no.: "&amp;IF(LEN(INDEX('Our policies'!$E$4:$E$503,_calc!$E$310))=0,"",INDEX('Our policies'!$E$4:$E$503,_calc!$E$310))&amp;". ")&amp;IF(LEN(IF(LEN(INDEX('Our policies'!$S$4:$S$503,_calc!$E$310))=0,"",INDEX('Our policies'!$S$4:$S$503,_calc!$E$310)))=0,"",IF(LEN(INDEX('Our policies'!$S$4:$S$503,_calc!$E$310))=0,"",INDEX('Our policies'!$S$4:$S$503,_calc!$E$310)))),TRIM(IF(LEN(IF(LEN(INDEX('Vendor COIs'!$C$4:$C$503,(_calc!$E$310-500)))=0,"",INDEX('Vendor COIs'!$C$4:$C$503,(_calc!$E$310-500))))=0,"","Insurer: "&amp;IF(LEN(INDEX('Vendor COIs'!$C$4:$C$503,(_calc!$E$310-500)))=0,"",INDEX('Vendor COIs'!$C$4:$C$503,(_calc!$E$310-500)))&amp;". ")&amp;IF(LEN(IF(LEN(INDEX('Vendor COIs'!$D$4:$D$503,(_calc!$E$310-500)))=0,"",INDEX('Vendor COIs'!$D$4:$D$503,(_calc!$E$310-500))))=0,"","Policy no.: "&amp;IF(LEN(INDEX('Vendor COIs'!$D$4:$D$503,(_calc!$E$310-500)))=0,"",INDEX('Vendor COIs'!$D$4:$D$503,(_calc!$E$310-500)))&amp;". ")&amp;IF(LEN(IF(LEN(INDEX('Vendor COIs'!$F$4:$F$503,(_calc!$E$310-500)))=0,"",INDEX('Vendor COIs'!$F$4:$F$503,(_calc!$E$310-500))))=0,"","Meets minimum: "&amp;IF(LEN(INDEX('Vendor COIs'!$F$4:$F$503,(_calc!$E$310-500)))=0,"",INDEX('Vendor COIs'!$F$4:$F$503,(_calc!$E$310-500)))&amp;". ")&amp;IF(LEN(IF(LEN(INDEX('Vendor COIs'!$G$4:$G$503,(_calc!$E$310-500)))=0,"",INDEX('Vendor COIs'!$G$4:$G$503,(_calc!$E$310-500))))=0,"","Additional insured: "&amp;IF(LEN(INDEX('Vendor COIs'!$G$4:$G$503,(_calc!$E$310-500)))=0,"",INDEX('Vendor COIs'!$G$4:$G$503,(_calc!$E$310-500)))&amp;". ")&amp;IF(LEN(IF(LEN(INDEX('Vendor COIs'!$M$4:$M$503,(_calc!$E$310-500)))=0,"",INDEX('Vendor COIs'!$M$4:$M$503,(_calc!$E$310-500))))=0,"","Vendor contact: "&amp;IF(LEN(INDEX('Vendor COIs'!$M$4:$M$503,(_calc!$E$310-500)))=0,"",INDEX('Vendor COIs'!$M$4:$M$503,(_calc!$E$310-500)))&amp;". ")&amp;IF(LEN(IF(LEN(INDEX('Vendor COIs'!$P$4:$P$503,(_calc!$E$310-500)))=0,"",INDEX('Vendor COIs'!$P$4:$P$503,(_calc!$E$310-500))))=0,"",IF(LEN(INDEX('Vendor COIs'!$P$4:$P$503,(_calc!$E$310-500)))=0,"",INDEX('Vendor COIs'!$P$4:$P$503,(_calc!$E$310-500)))))))</f>
        <v/>
      </c>
      <c r="G308" s="46">
        <f>IF(_calc!$E$310="","",IF(_calc!$E$310&lt;=500,IF(LEN(INDEX('Our policies'!$R$4:$R$503,_calc!$E$310))=0,"",INDEX('Our policies'!$R$4:$R$503,_calc!$E$310)),IF(LEN(INDEX('Vendor COIs'!$O$4:$O$503,(_calc!$E$310-500)))=0,"",INDEX('Vendor COIs'!$O$4:$O$503,(_calc!$E$310-500)))))</f>
        <v/>
      </c>
      <c r="H308" s="46">
        <f>IF(_calc!$E$310="","",IF(_calc!$E$310&lt;=500,IF(LEN(INDEX('Our policies'!$G$4:$G$503,_calc!$E$310))=0,"",INDEX('Our policies'!$G$4:$G$503,_calc!$E$310)),""))</f>
        <v/>
      </c>
      <c r="I308" s="46">
        <f>IF(_calc!$E$310="","",IF(_calc!$E$310&lt;=500,IF(LEN(INDEX('Our policies'!$H$4:$H$503,_calc!$E$310))=0,"",INDEX('Our policies'!$H$4:$H$503,_calc!$E$310)),""))</f>
        <v/>
      </c>
      <c r="K308" s="46">
        <f>IF(_calc!$E$310="","",IF(_calc!$E$310&lt;=500,IF(LEN(INDEX('Our policies'!$P$4:$P$503,_calc!$E$310))=0,"",INDEX('Our policies'!$P$4:$P$503,_calc!$E$310)),IF(LEN(INDEX('Vendor COIs'!$N$4:$N$503,(_calc!$E$310-500)))=0,"",INDEX('Vendor COIs'!$N$4:$N$503,(_calc!$E$310-500)))))</f>
        <v/>
      </c>
    </row>
    <row r="309">
      <c r="A309" s="46">
        <f>IF(_calc!$E$311="","",IF(_calc!$E$311&lt;=500,IF(LEN(INDEX('Our policies'!$A$4:$A$503,_calc!$E$311))=0,"",INDEX('Our policies'!$A$4:$A$503,_calc!$E$311)),"COI – "&amp;IF(LEN(INDEX('Vendor COIs'!$A$4:$A$503,(_calc!$E$311-500)))=0,"",INDEX('Vendor COIs'!$A$4:$A$503,(_calc!$E$311-500)))&amp;" – "&amp;IF(LEN(INDEX('Vendor COIs'!$B$4:$B$503,(_calc!$E$311-500)))=0,"",INDEX('Vendor COIs'!$B$4:$B$503,(_calc!$E$311-500)))))</f>
        <v/>
      </c>
      <c r="B309" s="46">
        <f>IF(_calc!$E$311="","",IF(_calc!$E$311&lt;=500,IF(ISNUMBER(INDEX('Our policies'!$J$4:$J$503,_calc!$E$311)),TEXT(INDEX('Our policies'!$J$4:$J$503,_calc!$E$311),"yyyy-mm-dd"),""),IF(ISNUMBER(INDEX('Vendor COIs'!$H$4:$H$503,(_calc!$E$311-500))),TEXT(INDEX('Vendor COIs'!$H$4:$H$503,(_calc!$E$311-500)),"yyyy-mm-dd"),"")))</f>
        <v/>
      </c>
      <c r="C309" s="46">
        <f>IF(_calc!$E$311="","",IF(_calc!$E$311&lt;=500,"Insurance","Certificate of insurance"))</f>
        <v/>
      </c>
      <c r="D309" s="46">
        <f>IF(_calc!$E$311="","",IF(_calc!$E$311&lt;=500,IF(ISNUMBER(INDEX('Our policies'!$I$4:$I$503,_calc!$E$311)),TEXT(INDEX('Our policies'!$I$4:$I$503,_calc!$E$311),"yyyy-mm-dd"),""),""))</f>
        <v/>
      </c>
      <c r="E309" s="46">
        <f>IF(_calc!$E$311="","",IF(_calc!$E$311&lt;=500,IF(LEN(INDEX('Our policies'!$Q$4:$Q$503,_calc!$E$311))=0,"",INDEX('Our policies'!$Q$4:$Q$503,_calc!$E$311)),"Medium"))</f>
        <v/>
      </c>
      <c r="F309" s="46">
        <f>IF(_calc!$E$311="","",IF(_calc!$E$311&lt;=500,TRIM(IF(LEN(IF(LEN(INDEX('Our policies'!$B$4:$B$503,_calc!$E$311))=0,"",INDEX('Our policies'!$B$4:$B$503,_calc!$E$311)))=0,"","Cover: "&amp;IF(LEN(INDEX('Our policies'!$B$4:$B$503,_calc!$E$311))=0,"",INDEX('Our policies'!$B$4:$B$503,_calc!$E$311))&amp;". ")&amp;IF(LEN(IF(LEN(INDEX('Our policies'!$C$4:$C$503,_calc!$E$311))=0,"",INDEX('Our policies'!$C$4:$C$503,_calc!$E$311)))=0,"","Insurer: "&amp;IF(LEN(INDEX('Our policies'!$C$4:$C$503,_calc!$E$311))=0,"",INDEX('Our policies'!$C$4:$C$503,_calc!$E$311))&amp;". ")&amp;IF(LEN(IF(LEN(INDEX('Our policies'!$D$4:$D$503,_calc!$E$311))=0,"",INDEX('Our policies'!$D$4:$D$503,_calc!$E$311)))=0,"","Broker: "&amp;IF(LEN(INDEX('Our policies'!$D$4:$D$503,_calc!$E$311))=0,"",INDEX('Our policies'!$D$4:$D$503,_calc!$E$311))&amp;". ")&amp;IF(LEN(IF(LEN(INDEX('Our policies'!$E$4:$E$503,_calc!$E$311))=0,"",INDEX('Our policies'!$E$4:$E$503,_calc!$E$311)))=0,"","Policy no.: "&amp;IF(LEN(INDEX('Our policies'!$E$4:$E$503,_calc!$E$311))=0,"",INDEX('Our policies'!$E$4:$E$503,_calc!$E$311))&amp;". ")&amp;IF(LEN(IF(LEN(INDEX('Our policies'!$S$4:$S$503,_calc!$E$311))=0,"",INDEX('Our policies'!$S$4:$S$503,_calc!$E$311)))=0,"",IF(LEN(INDEX('Our policies'!$S$4:$S$503,_calc!$E$311))=0,"",INDEX('Our policies'!$S$4:$S$503,_calc!$E$311)))),TRIM(IF(LEN(IF(LEN(INDEX('Vendor COIs'!$C$4:$C$503,(_calc!$E$311-500)))=0,"",INDEX('Vendor COIs'!$C$4:$C$503,(_calc!$E$311-500))))=0,"","Insurer: "&amp;IF(LEN(INDEX('Vendor COIs'!$C$4:$C$503,(_calc!$E$311-500)))=0,"",INDEX('Vendor COIs'!$C$4:$C$503,(_calc!$E$311-500)))&amp;". ")&amp;IF(LEN(IF(LEN(INDEX('Vendor COIs'!$D$4:$D$503,(_calc!$E$311-500)))=0,"",INDEX('Vendor COIs'!$D$4:$D$503,(_calc!$E$311-500))))=0,"","Policy no.: "&amp;IF(LEN(INDEX('Vendor COIs'!$D$4:$D$503,(_calc!$E$311-500)))=0,"",INDEX('Vendor COIs'!$D$4:$D$503,(_calc!$E$311-500)))&amp;". ")&amp;IF(LEN(IF(LEN(INDEX('Vendor COIs'!$F$4:$F$503,(_calc!$E$311-500)))=0,"",INDEX('Vendor COIs'!$F$4:$F$503,(_calc!$E$311-500))))=0,"","Meets minimum: "&amp;IF(LEN(INDEX('Vendor COIs'!$F$4:$F$503,(_calc!$E$311-500)))=0,"",INDEX('Vendor COIs'!$F$4:$F$503,(_calc!$E$311-500)))&amp;". ")&amp;IF(LEN(IF(LEN(INDEX('Vendor COIs'!$G$4:$G$503,(_calc!$E$311-500)))=0,"",INDEX('Vendor COIs'!$G$4:$G$503,(_calc!$E$311-500))))=0,"","Additional insured: "&amp;IF(LEN(INDEX('Vendor COIs'!$G$4:$G$503,(_calc!$E$311-500)))=0,"",INDEX('Vendor COIs'!$G$4:$G$503,(_calc!$E$311-500)))&amp;". ")&amp;IF(LEN(IF(LEN(INDEX('Vendor COIs'!$M$4:$M$503,(_calc!$E$311-500)))=0,"",INDEX('Vendor COIs'!$M$4:$M$503,(_calc!$E$311-500))))=0,"","Vendor contact: "&amp;IF(LEN(INDEX('Vendor COIs'!$M$4:$M$503,(_calc!$E$311-500)))=0,"",INDEX('Vendor COIs'!$M$4:$M$503,(_calc!$E$311-500)))&amp;". ")&amp;IF(LEN(IF(LEN(INDEX('Vendor COIs'!$P$4:$P$503,(_calc!$E$311-500)))=0,"",INDEX('Vendor COIs'!$P$4:$P$503,(_calc!$E$311-500))))=0,"",IF(LEN(INDEX('Vendor COIs'!$P$4:$P$503,(_calc!$E$311-500)))=0,"",INDEX('Vendor COIs'!$P$4:$P$503,(_calc!$E$311-500)))))))</f>
        <v/>
      </c>
      <c r="G309" s="46">
        <f>IF(_calc!$E$311="","",IF(_calc!$E$311&lt;=500,IF(LEN(INDEX('Our policies'!$R$4:$R$503,_calc!$E$311))=0,"",INDEX('Our policies'!$R$4:$R$503,_calc!$E$311)),IF(LEN(INDEX('Vendor COIs'!$O$4:$O$503,(_calc!$E$311-500)))=0,"",INDEX('Vendor COIs'!$O$4:$O$503,(_calc!$E$311-500)))))</f>
        <v/>
      </c>
      <c r="H309" s="46">
        <f>IF(_calc!$E$311="","",IF(_calc!$E$311&lt;=500,IF(LEN(INDEX('Our policies'!$G$4:$G$503,_calc!$E$311))=0,"",INDEX('Our policies'!$G$4:$G$503,_calc!$E$311)),""))</f>
        <v/>
      </c>
      <c r="I309" s="46">
        <f>IF(_calc!$E$311="","",IF(_calc!$E$311&lt;=500,IF(LEN(INDEX('Our policies'!$H$4:$H$503,_calc!$E$311))=0,"",INDEX('Our policies'!$H$4:$H$503,_calc!$E$311)),""))</f>
        <v/>
      </c>
      <c r="K309" s="46">
        <f>IF(_calc!$E$311="","",IF(_calc!$E$311&lt;=500,IF(LEN(INDEX('Our policies'!$P$4:$P$503,_calc!$E$311))=0,"",INDEX('Our policies'!$P$4:$P$503,_calc!$E$311)),IF(LEN(INDEX('Vendor COIs'!$N$4:$N$503,(_calc!$E$311-500)))=0,"",INDEX('Vendor COIs'!$N$4:$N$503,(_calc!$E$311-500)))))</f>
        <v/>
      </c>
    </row>
    <row r="310">
      <c r="A310" s="46">
        <f>IF(_calc!$E$312="","",IF(_calc!$E$312&lt;=500,IF(LEN(INDEX('Our policies'!$A$4:$A$503,_calc!$E$312))=0,"",INDEX('Our policies'!$A$4:$A$503,_calc!$E$312)),"COI – "&amp;IF(LEN(INDEX('Vendor COIs'!$A$4:$A$503,(_calc!$E$312-500)))=0,"",INDEX('Vendor COIs'!$A$4:$A$503,(_calc!$E$312-500)))&amp;" – "&amp;IF(LEN(INDEX('Vendor COIs'!$B$4:$B$503,(_calc!$E$312-500)))=0,"",INDEX('Vendor COIs'!$B$4:$B$503,(_calc!$E$312-500)))))</f>
        <v/>
      </c>
      <c r="B310" s="46">
        <f>IF(_calc!$E$312="","",IF(_calc!$E$312&lt;=500,IF(ISNUMBER(INDEX('Our policies'!$J$4:$J$503,_calc!$E$312)),TEXT(INDEX('Our policies'!$J$4:$J$503,_calc!$E$312),"yyyy-mm-dd"),""),IF(ISNUMBER(INDEX('Vendor COIs'!$H$4:$H$503,(_calc!$E$312-500))),TEXT(INDEX('Vendor COIs'!$H$4:$H$503,(_calc!$E$312-500)),"yyyy-mm-dd"),"")))</f>
        <v/>
      </c>
      <c r="C310" s="46">
        <f>IF(_calc!$E$312="","",IF(_calc!$E$312&lt;=500,"Insurance","Certificate of insurance"))</f>
        <v/>
      </c>
      <c r="D310" s="46">
        <f>IF(_calc!$E$312="","",IF(_calc!$E$312&lt;=500,IF(ISNUMBER(INDEX('Our policies'!$I$4:$I$503,_calc!$E$312)),TEXT(INDEX('Our policies'!$I$4:$I$503,_calc!$E$312),"yyyy-mm-dd"),""),""))</f>
        <v/>
      </c>
      <c r="E310" s="46">
        <f>IF(_calc!$E$312="","",IF(_calc!$E$312&lt;=500,IF(LEN(INDEX('Our policies'!$Q$4:$Q$503,_calc!$E$312))=0,"",INDEX('Our policies'!$Q$4:$Q$503,_calc!$E$312)),"Medium"))</f>
        <v/>
      </c>
      <c r="F310" s="46">
        <f>IF(_calc!$E$312="","",IF(_calc!$E$312&lt;=500,TRIM(IF(LEN(IF(LEN(INDEX('Our policies'!$B$4:$B$503,_calc!$E$312))=0,"",INDEX('Our policies'!$B$4:$B$503,_calc!$E$312)))=0,"","Cover: "&amp;IF(LEN(INDEX('Our policies'!$B$4:$B$503,_calc!$E$312))=0,"",INDEX('Our policies'!$B$4:$B$503,_calc!$E$312))&amp;". ")&amp;IF(LEN(IF(LEN(INDEX('Our policies'!$C$4:$C$503,_calc!$E$312))=0,"",INDEX('Our policies'!$C$4:$C$503,_calc!$E$312)))=0,"","Insurer: "&amp;IF(LEN(INDEX('Our policies'!$C$4:$C$503,_calc!$E$312))=0,"",INDEX('Our policies'!$C$4:$C$503,_calc!$E$312))&amp;". ")&amp;IF(LEN(IF(LEN(INDEX('Our policies'!$D$4:$D$503,_calc!$E$312))=0,"",INDEX('Our policies'!$D$4:$D$503,_calc!$E$312)))=0,"","Broker: "&amp;IF(LEN(INDEX('Our policies'!$D$4:$D$503,_calc!$E$312))=0,"",INDEX('Our policies'!$D$4:$D$503,_calc!$E$312))&amp;". ")&amp;IF(LEN(IF(LEN(INDEX('Our policies'!$E$4:$E$503,_calc!$E$312))=0,"",INDEX('Our policies'!$E$4:$E$503,_calc!$E$312)))=0,"","Policy no.: "&amp;IF(LEN(INDEX('Our policies'!$E$4:$E$503,_calc!$E$312))=0,"",INDEX('Our policies'!$E$4:$E$503,_calc!$E$312))&amp;". ")&amp;IF(LEN(IF(LEN(INDEX('Our policies'!$S$4:$S$503,_calc!$E$312))=0,"",INDEX('Our policies'!$S$4:$S$503,_calc!$E$312)))=0,"",IF(LEN(INDEX('Our policies'!$S$4:$S$503,_calc!$E$312))=0,"",INDEX('Our policies'!$S$4:$S$503,_calc!$E$312)))),TRIM(IF(LEN(IF(LEN(INDEX('Vendor COIs'!$C$4:$C$503,(_calc!$E$312-500)))=0,"",INDEX('Vendor COIs'!$C$4:$C$503,(_calc!$E$312-500))))=0,"","Insurer: "&amp;IF(LEN(INDEX('Vendor COIs'!$C$4:$C$503,(_calc!$E$312-500)))=0,"",INDEX('Vendor COIs'!$C$4:$C$503,(_calc!$E$312-500)))&amp;". ")&amp;IF(LEN(IF(LEN(INDEX('Vendor COIs'!$D$4:$D$503,(_calc!$E$312-500)))=0,"",INDEX('Vendor COIs'!$D$4:$D$503,(_calc!$E$312-500))))=0,"","Policy no.: "&amp;IF(LEN(INDEX('Vendor COIs'!$D$4:$D$503,(_calc!$E$312-500)))=0,"",INDEX('Vendor COIs'!$D$4:$D$503,(_calc!$E$312-500)))&amp;". ")&amp;IF(LEN(IF(LEN(INDEX('Vendor COIs'!$F$4:$F$503,(_calc!$E$312-500)))=0,"",INDEX('Vendor COIs'!$F$4:$F$503,(_calc!$E$312-500))))=0,"","Meets minimum: "&amp;IF(LEN(INDEX('Vendor COIs'!$F$4:$F$503,(_calc!$E$312-500)))=0,"",INDEX('Vendor COIs'!$F$4:$F$503,(_calc!$E$312-500)))&amp;". ")&amp;IF(LEN(IF(LEN(INDEX('Vendor COIs'!$G$4:$G$503,(_calc!$E$312-500)))=0,"",INDEX('Vendor COIs'!$G$4:$G$503,(_calc!$E$312-500))))=0,"","Additional insured: "&amp;IF(LEN(INDEX('Vendor COIs'!$G$4:$G$503,(_calc!$E$312-500)))=0,"",INDEX('Vendor COIs'!$G$4:$G$503,(_calc!$E$312-500)))&amp;". ")&amp;IF(LEN(IF(LEN(INDEX('Vendor COIs'!$M$4:$M$503,(_calc!$E$312-500)))=0,"",INDEX('Vendor COIs'!$M$4:$M$503,(_calc!$E$312-500))))=0,"","Vendor contact: "&amp;IF(LEN(INDEX('Vendor COIs'!$M$4:$M$503,(_calc!$E$312-500)))=0,"",INDEX('Vendor COIs'!$M$4:$M$503,(_calc!$E$312-500)))&amp;". ")&amp;IF(LEN(IF(LEN(INDEX('Vendor COIs'!$P$4:$P$503,(_calc!$E$312-500)))=0,"",INDEX('Vendor COIs'!$P$4:$P$503,(_calc!$E$312-500))))=0,"",IF(LEN(INDEX('Vendor COIs'!$P$4:$P$503,(_calc!$E$312-500)))=0,"",INDEX('Vendor COIs'!$P$4:$P$503,(_calc!$E$312-500)))))))</f>
        <v/>
      </c>
      <c r="G310" s="46">
        <f>IF(_calc!$E$312="","",IF(_calc!$E$312&lt;=500,IF(LEN(INDEX('Our policies'!$R$4:$R$503,_calc!$E$312))=0,"",INDEX('Our policies'!$R$4:$R$503,_calc!$E$312)),IF(LEN(INDEX('Vendor COIs'!$O$4:$O$503,(_calc!$E$312-500)))=0,"",INDEX('Vendor COIs'!$O$4:$O$503,(_calc!$E$312-500)))))</f>
        <v/>
      </c>
      <c r="H310" s="46">
        <f>IF(_calc!$E$312="","",IF(_calc!$E$312&lt;=500,IF(LEN(INDEX('Our policies'!$G$4:$G$503,_calc!$E$312))=0,"",INDEX('Our policies'!$G$4:$G$503,_calc!$E$312)),""))</f>
        <v/>
      </c>
      <c r="I310" s="46">
        <f>IF(_calc!$E$312="","",IF(_calc!$E$312&lt;=500,IF(LEN(INDEX('Our policies'!$H$4:$H$503,_calc!$E$312))=0,"",INDEX('Our policies'!$H$4:$H$503,_calc!$E$312)),""))</f>
        <v/>
      </c>
      <c r="K310" s="46">
        <f>IF(_calc!$E$312="","",IF(_calc!$E$312&lt;=500,IF(LEN(INDEX('Our policies'!$P$4:$P$503,_calc!$E$312))=0,"",INDEX('Our policies'!$P$4:$P$503,_calc!$E$312)),IF(LEN(INDEX('Vendor COIs'!$N$4:$N$503,(_calc!$E$312-500)))=0,"",INDEX('Vendor COIs'!$N$4:$N$503,(_calc!$E$312-500)))))</f>
        <v/>
      </c>
    </row>
    <row r="311">
      <c r="A311" s="46">
        <f>IF(_calc!$E$313="","",IF(_calc!$E$313&lt;=500,IF(LEN(INDEX('Our policies'!$A$4:$A$503,_calc!$E$313))=0,"",INDEX('Our policies'!$A$4:$A$503,_calc!$E$313)),"COI – "&amp;IF(LEN(INDEX('Vendor COIs'!$A$4:$A$503,(_calc!$E$313-500)))=0,"",INDEX('Vendor COIs'!$A$4:$A$503,(_calc!$E$313-500)))&amp;" – "&amp;IF(LEN(INDEX('Vendor COIs'!$B$4:$B$503,(_calc!$E$313-500)))=0,"",INDEX('Vendor COIs'!$B$4:$B$503,(_calc!$E$313-500)))))</f>
        <v/>
      </c>
      <c r="B311" s="46">
        <f>IF(_calc!$E$313="","",IF(_calc!$E$313&lt;=500,IF(ISNUMBER(INDEX('Our policies'!$J$4:$J$503,_calc!$E$313)),TEXT(INDEX('Our policies'!$J$4:$J$503,_calc!$E$313),"yyyy-mm-dd"),""),IF(ISNUMBER(INDEX('Vendor COIs'!$H$4:$H$503,(_calc!$E$313-500))),TEXT(INDEX('Vendor COIs'!$H$4:$H$503,(_calc!$E$313-500)),"yyyy-mm-dd"),"")))</f>
        <v/>
      </c>
      <c r="C311" s="46">
        <f>IF(_calc!$E$313="","",IF(_calc!$E$313&lt;=500,"Insurance","Certificate of insurance"))</f>
        <v/>
      </c>
      <c r="D311" s="46">
        <f>IF(_calc!$E$313="","",IF(_calc!$E$313&lt;=500,IF(ISNUMBER(INDEX('Our policies'!$I$4:$I$503,_calc!$E$313)),TEXT(INDEX('Our policies'!$I$4:$I$503,_calc!$E$313),"yyyy-mm-dd"),""),""))</f>
        <v/>
      </c>
      <c r="E311" s="46">
        <f>IF(_calc!$E$313="","",IF(_calc!$E$313&lt;=500,IF(LEN(INDEX('Our policies'!$Q$4:$Q$503,_calc!$E$313))=0,"",INDEX('Our policies'!$Q$4:$Q$503,_calc!$E$313)),"Medium"))</f>
        <v/>
      </c>
      <c r="F311" s="46">
        <f>IF(_calc!$E$313="","",IF(_calc!$E$313&lt;=500,TRIM(IF(LEN(IF(LEN(INDEX('Our policies'!$B$4:$B$503,_calc!$E$313))=0,"",INDEX('Our policies'!$B$4:$B$503,_calc!$E$313)))=0,"","Cover: "&amp;IF(LEN(INDEX('Our policies'!$B$4:$B$503,_calc!$E$313))=0,"",INDEX('Our policies'!$B$4:$B$503,_calc!$E$313))&amp;". ")&amp;IF(LEN(IF(LEN(INDEX('Our policies'!$C$4:$C$503,_calc!$E$313))=0,"",INDEX('Our policies'!$C$4:$C$503,_calc!$E$313)))=0,"","Insurer: "&amp;IF(LEN(INDEX('Our policies'!$C$4:$C$503,_calc!$E$313))=0,"",INDEX('Our policies'!$C$4:$C$503,_calc!$E$313))&amp;". ")&amp;IF(LEN(IF(LEN(INDEX('Our policies'!$D$4:$D$503,_calc!$E$313))=0,"",INDEX('Our policies'!$D$4:$D$503,_calc!$E$313)))=0,"","Broker: "&amp;IF(LEN(INDEX('Our policies'!$D$4:$D$503,_calc!$E$313))=0,"",INDEX('Our policies'!$D$4:$D$503,_calc!$E$313))&amp;". ")&amp;IF(LEN(IF(LEN(INDEX('Our policies'!$E$4:$E$503,_calc!$E$313))=0,"",INDEX('Our policies'!$E$4:$E$503,_calc!$E$313)))=0,"","Policy no.: "&amp;IF(LEN(INDEX('Our policies'!$E$4:$E$503,_calc!$E$313))=0,"",INDEX('Our policies'!$E$4:$E$503,_calc!$E$313))&amp;". ")&amp;IF(LEN(IF(LEN(INDEX('Our policies'!$S$4:$S$503,_calc!$E$313))=0,"",INDEX('Our policies'!$S$4:$S$503,_calc!$E$313)))=0,"",IF(LEN(INDEX('Our policies'!$S$4:$S$503,_calc!$E$313))=0,"",INDEX('Our policies'!$S$4:$S$503,_calc!$E$313)))),TRIM(IF(LEN(IF(LEN(INDEX('Vendor COIs'!$C$4:$C$503,(_calc!$E$313-500)))=0,"",INDEX('Vendor COIs'!$C$4:$C$503,(_calc!$E$313-500))))=0,"","Insurer: "&amp;IF(LEN(INDEX('Vendor COIs'!$C$4:$C$503,(_calc!$E$313-500)))=0,"",INDEX('Vendor COIs'!$C$4:$C$503,(_calc!$E$313-500)))&amp;". ")&amp;IF(LEN(IF(LEN(INDEX('Vendor COIs'!$D$4:$D$503,(_calc!$E$313-500)))=0,"",INDEX('Vendor COIs'!$D$4:$D$503,(_calc!$E$313-500))))=0,"","Policy no.: "&amp;IF(LEN(INDEX('Vendor COIs'!$D$4:$D$503,(_calc!$E$313-500)))=0,"",INDEX('Vendor COIs'!$D$4:$D$503,(_calc!$E$313-500)))&amp;". ")&amp;IF(LEN(IF(LEN(INDEX('Vendor COIs'!$F$4:$F$503,(_calc!$E$313-500)))=0,"",INDEX('Vendor COIs'!$F$4:$F$503,(_calc!$E$313-500))))=0,"","Meets minimum: "&amp;IF(LEN(INDEX('Vendor COIs'!$F$4:$F$503,(_calc!$E$313-500)))=0,"",INDEX('Vendor COIs'!$F$4:$F$503,(_calc!$E$313-500)))&amp;". ")&amp;IF(LEN(IF(LEN(INDEX('Vendor COIs'!$G$4:$G$503,(_calc!$E$313-500)))=0,"",INDEX('Vendor COIs'!$G$4:$G$503,(_calc!$E$313-500))))=0,"","Additional insured: "&amp;IF(LEN(INDEX('Vendor COIs'!$G$4:$G$503,(_calc!$E$313-500)))=0,"",INDEX('Vendor COIs'!$G$4:$G$503,(_calc!$E$313-500)))&amp;". ")&amp;IF(LEN(IF(LEN(INDEX('Vendor COIs'!$M$4:$M$503,(_calc!$E$313-500)))=0,"",INDEX('Vendor COIs'!$M$4:$M$503,(_calc!$E$313-500))))=0,"","Vendor contact: "&amp;IF(LEN(INDEX('Vendor COIs'!$M$4:$M$503,(_calc!$E$313-500)))=0,"",INDEX('Vendor COIs'!$M$4:$M$503,(_calc!$E$313-500)))&amp;". ")&amp;IF(LEN(IF(LEN(INDEX('Vendor COIs'!$P$4:$P$503,(_calc!$E$313-500)))=0,"",INDEX('Vendor COIs'!$P$4:$P$503,(_calc!$E$313-500))))=0,"",IF(LEN(INDEX('Vendor COIs'!$P$4:$P$503,(_calc!$E$313-500)))=0,"",INDEX('Vendor COIs'!$P$4:$P$503,(_calc!$E$313-500)))))))</f>
        <v/>
      </c>
      <c r="G311" s="46">
        <f>IF(_calc!$E$313="","",IF(_calc!$E$313&lt;=500,IF(LEN(INDEX('Our policies'!$R$4:$R$503,_calc!$E$313))=0,"",INDEX('Our policies'!$R$4:$R$503,_calc!$E$313)),IF(LEN(INDEX('Vendor COIs'!$O$4:$O$503,(_calc!$E$313-500)))=0,"",INDEX('Vendor COIs'!$O$4:$O$503,(_calc!$E$313-500)))))</f>
        <v/>
      </c>
      <c r="H311" s="46">
        <f>IF(_calc!$E$313="","",IF(_calc!$E$313&lt;=500,IF(LEN(INDEX('Our policies'!$G$4:$G$503,_calc!$E$313))=0,"",INDEX('Our policies'!$G$4:$G$503,_calc!$E$313)),""))</f>
        <v/>
      </c>
      <c r="I311" s="46">
        <f>IF(_calc!$E$313="","",IF(_calc!$E$313&lt;=500,IF(LEN(INDEX('Our policies'!$H$4:$H$503,_calc!$E$313))=0,"",INDEX('Our policies'!$H$4:$H$503,_calc!$E$313)),""))</f>
        <v/>
      </c>
      <c r="K311" s="46">
        <f>IF(_calc!$E$313="","",IF(_calc!$E$313&lt;=500,IF(LEN(INDEX('Our policies'!$P$4:$P$503,_calc!$E$313))=0,"",INDEX('Our policies'!$P$4:$P$503,_calc!$E$313)),IF(LEN(INDEX('Vendor COIs'!$N$4:$N$503,(_calc!$E$313-500)))=0,"",INDEX('Vendor COIs'!$N$4:$N$503,(_calc!$E$313-500)))))</f>
        <v/>
      </c>
    </row>
    <row r="312">
      <c r="A312" s="46">
        <f>IF(_calc!$E$314="","",IF(_calc!$E$314&lt;=500,IF(LEN(INDEX('Our policies'!$A$4:$A$503,_calc!$E$314))=0,"",INDEX('Our policies'!$A$4:$A$503,_calc!$E$314)),"COI – "&amp;IF(LEN(INDEX('Vendor COIs'!$A$4:$A$503,(_calc!$E$314-500)))=0,"",INDEX('Vendor COIs'!$A$4:$A$503,(_calc!$E$314-500)))&amp;" – "&amp;IF(LEN(INDEX('Vendor COIs'!$B$4:$B$503,(_calc!$E$314-500)))=0,"",INDEX('Vendor COIs'!$B$4:$B$503,(_calc!$E$314-500)))))</f>
        <v/>
      </c>
      <c r="B312" s="46">
        <f>IF(_calc!$E$314="","",IF(_calc!$E$314&lt;=500,IF(ISNUMBER(INDEX('Our policies'!$J$4:$J$503,_calc!$E$314)),TEXT(INDEX('Our policies'!$J$4:$J$503,_calc!$E$314),"yyyy-mm-dd"),""),IF(ISNUMBER(INDEX('Vendor COIs'!$H$4:$H$503,(_calc!$E$314-500))),TEXT(INDEX('Vendor COIs'!$H$4:$H$503,(_calc!$E$314-500)),"yyyy-mm-dd"),"")))</f>
        <v/>
      </c>
      <c r="C312" s="46">
        <f>IF(_calc!$E$314="","",IF(_calc!$E$314&lt;=500,"Insurance","Certificate of insurance"))</f>
        <v/>
      </c>
      <c r="D312" s="46">
        <f>IF(_calc!$E$314="","",IF(_calc!$E$314&lt;=500,IF(ISNUMBER(INDEX('Our policies'!$I$4:$I$503,_calc!$E$314)),TEXT(INDEX('Our policies'!$I$4:$I$503,_calc!$E$314),"yyyy-mm-dd"),""),""))</f>
        <v/>
      </c>
      <c r="E312" s="46">
        <f>IF(_calc!$E$314="","",IF(_calc!$E$314&lt;=500,IF(LEN(INDEX('Our policies'!$Q$4:$Q$503,_calc!$E$314))=0,"",INDEX('Our policies'!$Q$4:$Q$503,_calc!$E$314)),"Medium"))</f>
        <v/>
      </c>
      <c r="F312" s="46">
        <f>IF(_calc!$E$314="","",IF(_calc!$E$314&lt;=500,TRIM(IF(LEN(IF(LEN(INDEX('Our policies'!$B$4:$B$503,_calc!$E$314))=0,"",INDEX('Our policies'!$B$4:$B$503,_calc!$E$314)))=0,"","Cover: "&amp;IF(LEN(INDEX('Our policies'!$B$4:$B$503,_calc!$E$314))=0,"",INDEX('Our policies'!$B$4:$B$503,_calc!$E$314))&amp;". ")&amp;IF(LEN(IF(LEN(INDEX('Our policies'!$C$4:$C$503,_calc!$E$314))=0,"",INDEX('Our policies'!$C$4:$C$503,_calc!$E$314)))=0,"","Insurer: "&amp;IF(LEN(INDEX('Our policies'!$C$4:$C$503,_calc!$E$314))=0,"",INDEX('Our policies'!$C$4:$C$503,_calc!$E$314))&amp;". ")&amp;IF(LEN(IF(LEN(INDEX('Our policies'!$D$4:$D$503,_calc!$E$314))=0,"",INDEX('Our policies'!$D$4:$D$503,_calc!$E$314)))=0,"","Broker: "&amp;IF(LEN(INDEX('Our policies'!$D$4:$D$503,_calc!$E$314))=0,"",INDEX('Our policies'!$D$4:$D$503,_calc!$E$314))&amp;". ")&amp;IF(LEN(IF(LEN(INDEX('Our policies'!$E$4:$E$503,_calc!$E$314))=0,"",INDEX('Our policies'!$E$4:$E$503,_calc!$E$314)))=0,"","Policy no.: "&amp;IF(LEN(INDEX('Our policies'!$E$4:$E$503,_calc!$E$314))=0,"",INDEX('Our policies'!$E$4:$E$503,_calc!$E$314))&amp;". ")&amp;IF(LEN(IF(LEN(INDEX('Our policies'!$S$4:$S$503,_calc!$E$314))=0,"",INDEX('Our policies'!$S$4:$S$503,_calc!$E$314)))=0,"",IF(LEN(INDEX('Our policies'!$S$4:$S$503,_calc!$E$314))=0,"",INDEX('Our policies'!$S$4:$S$503,_calc!$E$314)))),TRIM(IF(LEN(IF(LEN(INDEX('Vendor COIs'!$C$4:$C$503,(_calc!$E$314-500)))=0,"",INDEX('Vendor COIs'!$C$4:$C$503,(_calc!$E$314-500))))=0,"","Insurer: "&amp;IF(LEN(INDEX('Vendor COIs'!$C$4:$C$503,(_calc!$E$314-500)))=0,"",INDEX('Vendor COIs'!$C$4:$C$503,(_calc!$E$314-500)))&amp;". ")&amp;IF(LEN(IF(LEN(INDEX('Vendor COIs'!$D$4:$D$503,(_calc!$E$314-500)))=0,"",INDEX('Vendor COIs'!$D$4:$D$503,(_calc!$E$314-500))))=0,"","Policy no.: "&amp;IF(LEN(INDEX('Vendor COIs'!$D$4:$D$503,(_calc!$E$314-500)))=0,"",INDEX('Vendor COIs'!$D$4:$D$503,(_calc!$E$314-500)))&amp;". ")&amp;IF(LEN(IF(LEN(INDEX('Vendor COIs'!$F$4:$F$503,(_calc!$E$314-500)))=0,"",INDEX('Vendor COIs'!$F$4:$F$503,(_calc!$E$314-500))))=0,"","Meets minimum: "&amp;IF(LEN(INDEX('Vendor COIs'!$F$4:$F$503,(_calc!$E$314-500)))=0,"",INDEX('Vendor COIs'!$F$4:$F$503,(_calc!$E$314-500)))&amp;". ")&amp;IF(LEN(IF(LEN(INDEX('Vendor COIs'!$G$4:$G$503,(_calc!$E$314-500)))=0,"",INDEX('Vendor COIs'!$G$4:$G$503,(_calc!$E$314-500))))=0,"","Additional insured: "&amp;IF(LEN(INDEX('Vendor COIs'!$G$4:$G$503,(_calc!$E$314-500)))=0,"",INDEX('Vendor COIs'!$G$4:$G$503,(_calc!$E$314-500)))&amp;". ")&amp;IF(LEN(IF(LEN(INDEX('Vendor COIs'!$M$4:$M$503,(_calc!$E$314-500)))=0,"",INDEX('Vendor COIs'!$M$4:$M$503,(_calc!$E$314-500))))=0,"","Vendor contact: "&amp;IF(LEN(INDEX('Vendor COIs'!$M$4:$M$503,(_calc!$E$314-500)))=0,"",INDEX('Vendor COIs'!$M$4:$M$503,(_calc!$E$314-500)))&amp;". ")&amp;IF(LEN(IF(LEN(INDEX('Vendor COIs'!$P$4:$P$503,(_calc!$E$314-500)))=0,"",INDEX('Vendor COIs'!$P$4:$P$503,(_calc!$E$314-500))))=0,"",IF(LEN(INDEX('Vendor COIs'!$P$4:$P$503,(_calc!$E$314-500)))=0,"",INDEX('Vendor COIs'!$P$4:$P$503,(_calc!$E$314-500)))))))</f>
        <v/>
      </c>
      <c r="G312" s="46">
        <f>IF(_calc!$E$314="","",IF(_calc!$E$314&lt;=500,IF(LEN(INDEX('Our policies'!$R$4:$R$503,_calc!$E$314))=0,"",INDEX('Our policies'!$R$4:$R$503,_calc!$E$314)),IF(LEN(INDEX('Vendor COIs'!$O$4:$O$503,(_calc!$E$314-500)))=0,"",INDEX('Vendor COIs'!$O$4:$O$503,(_calc!$E$314-500)))))</f>
        <v/>
      </c>
      <c r="H312" s="46">
        <f>IF(_calc!$E$314="","",IF(_calc!$E$314&lt;=500,IF(LEN(INDEX('Our policies'!$G$4:$G$503,_calc!$E$314))=0,"",INDEX('Our policies'!$G$4:$G$503,_calc!$E$314)),""))</f>
        <v/>
      </c>
      <c r="I312" s="46">
        <f>IF(_calc!$E$314="","",IF(_calc!$E$314&lt;=500,IF(LEN(INDEX('Our policies'!$H$4:$H$503,_calc!$E$314))=0,"",INDEX('Our policies'!$H$4:$H$503,_calc!$E$314)),""))</f>
        <v/>
      </c>
      <c r="K312" s="46">
        <f>IF(_calc!$E$314="","",IF(_calc!$E$314&lt;=500,IF(LEN(INDEX('Our policies'!$P$4:$P$503,_calc!$E$314))=0,"",INDEX('Our policies'!$P$4:$P$503,_calc!$E$314)),IF(LEN(INDEX('Vendor COIs'!$N$4:$N$503,(_calc!$E$314-500)))=0,"",INDEX('Vendor COIs'!$N$4:$N$503,(_calc!$E$314-500)))))</f>
        <v/>
      </c>
    </row>
    <row r="313">
      <c r="A313" s="46">
        <f>IF(_calc!$E$315="","",IF(_calc!$E$315&lt;=500,IF(LEN(INDEX('Our policies'!$A$4:$A$503,_calc!$E$315))=0,"",INDEX('Our policies'!$A$4:$A$503,_calc!$E$315)),"COI – "&amp;IF(LEN(INDEX('Vendor COIs'!$A$4:$A$503,(_calc!$E$315-500)))=0,"",INDEX('Vendor COIs'!$A$4:$A$503,(_calc!$E$315-500)))&amp;" – "&amp;IF(LEN(INDEX('Vendor COIs'!$B$4:$B$503,(_calc!$E$315-500)))=0,"",INDEX('Vendor COIs'!$B$4:$B$503,(_calc!$E$315-500)))))</f>
        <v/>
      </c>
      <c r="B313" s="46">
        <f>IF(_calc!$E$315="","",IF(_calc!$E$315&lt;=500,IF(ISNUMBER(INDEX('Our policies'!$J$4:$J$503,_calc!$E$315)),TEXT(INDEX('Our policies'!$J$4:$J$503,_calc!$E$315),"yyyy-mm-dd"),""),IF(ISNUMBER(INDEX('Vendor COIs'!$H$4:$H$503,(_calc!$E$315-500))),TEXT(INDEX('Vendor COIs'!$H$4:$H$503,(_calc!$E$315-500)),"yyyy-mm-dd"),"")))</f>
        <v/>
      </c>
      <c r="C313" s="46">
        <f>IF(_calc!$E$315="","",IF(_calc!$E$315&lt;=500,"Insurance","Certificate of insurance"))</f>
        <v/>
      </c>
      <c r="D313" s="46">
        <f>IF(_calc!$E$315="","",IF(_calc!$E$315&lt;=500,IF(ISNUMBER(INDEX('Our policies'!$I$4:$I$503,_calc!$E$315)),TEXT(INDEX('Our policies'!$I$4:$I$503,_calc!$E$315),"yyyy-mm-dd"),""),""))</f>
        <v/>
      </c>
      <c r="E313" s="46">
        <f>IF(_calc!$E$315="","",IF(_calc!$E$315&lt;=500,IF(LEN(INDEX('Our policies'!$Q$4:$Q$503,_calc!$E$315))=0,"",INDEX('Our policies'!$Q$4:$Q$503,_calc!$E$315)),"Medium"))</f>
        <v/>
      </c>
      <c r="F313" s="46">
        <f>IF(_calc!$E$315="","",IF(_calc!$E$315&lt;=500,TRIM(IF(LEN(IF(LEN(INDEX('Our policies'!$B$4:$B$503,_calc!$E$315))=0,"",INDEX('Our policies'!$B$4:$B$503,_calc!$E$315)))=0,"","Cover: "&amp;IF(LEN(INDEX('Our policies'!$B$4:$B$503,_calc!$E$315))=0,"",INDEX('Our policies'!$B$4:$B$503,_calc!$E$315))&amp;". ")&amp;IF(LEN(IF(LEN(INDEX('Our policies'!$C$4:$C$503,_calc!$E$315))=0,"",INDEX('Our policies'!$C$4:$C$503,_calc!$E$315)))=0,"","Insurer: "&amp;IF(LEN(INDEX('Our policies'!$C$4:$C$503,_calc!$E$315))=0,"",INDEX('Our policies'!$C$4:$C$503,_calc!$E$315))&amp;". ")&amp;IF(LEN(IF(LEN(INDEX('Our policies'!$D$4:$D$503,_calc!$E$315))=0,"",INDEX('Our policies'!$D$4:$D$503,_calc!$E$315)))=0,"","Broker: "&amp;IF(LEN(INDEX('Our policies'!$D$4:$D$503,_calc!$E$315))=0,"",INDEX('Our policies'!$D$4:$D$503,_calc!$E$315))&amp;". ")&amp;IF(LEN(IF(LEN(INDEX('Our policies'!$E$4:$E$503,_calc!$E$315))=0,"",INDEX('Our policies'!$E$4:$E$503,_calc!$E$315)))=0,"","Policy no.: "&amp;IF(LEN(INDEX('Our policies'!$E$4:$E$503,_calc!$E$315))=0,"",INDEX('Our policies'!$E$4:$E$503,_calc!$E$315))&amp;". ")&amp;IF(LEN(IF(LEN(INDEX('Our policies'!$S$4:$S$503,_calc!$E$315))=0,"",INDEX('Our policies'!$S$4:$S$503,_calc!$E$315)))=0,"",IF(LEN(INDEX('Our policies'!$S$4:$S$503,_calc!$E$315))=0,"",INDEX('Our policies'!$S$4:$S$503,_calc!$E$315)))),TRIM(IF(LEN(IF(LEN(INDEX('Vendor COIs'!$C$4:$C$503,(_calc!$E$315-500)))=0,"",INDEX('Vendor COIs'!$C$4:$C$503,(_calc!$E$315-500))))=0,"","Insurer: "&amp;IF(LEN(INDEX('Vendor COIs'!$C$4:$C$503,(_calc!$E$315-500)))=0,"",INDEX('Vendor COIs'!$C$4:$C$503,(_calc!$E$315-500)))&amp;". ")&amp;IF(LEN(IF(LEN(INDEX('Vendor COIs'!$D$4:$D$503,(_calc!$E$315-500)))=0,"",INDEX('Vendor COIs'!$D$4:$D$503,(_calc!$E$315-500))))=0,"","Policy no.: "&amp;IF(LEN(INDEX('Vendor COIs'!$D$4:$D$503,(_calc!$E$315-500)))=0,"",INDEX('Vendor COIs'!$D$4:$D$503,(_calc!$E$315-500)))&amp;". ")&amp;IF(LEN(IF(LEN(INDEX('Vendor COIs'!$F$4:$F$503,(_calc!$E$315-500)))=0,"",INDEX('Vendor COIs'!$F$4:$F$503,(_calc!$E$315-500))))=0,"","Meets minimum: "&amp;IF(LEN(INDEX('Vendor COIs'!$F$4:$F$503,(_calc!$E$315-500)))=0,"",INDEX('Vendor COIs'!$F$4:$F$503,(_calc!$E$315-500)))&amp;". ")&amp;IF(LEN(IF(LEN(INDEX('Vendor COIs'!$G$4:$G$503,(_calc!$E$315-500)))=0,"",INDEX('Vendor COIs'!$G$4:$G$503,(_calc!$E$315-500))))=0,"","Additional insured: "&amp;IF(LEN(INDEX('Vendor COIs'!$G$4:$G$503,(_calc!$E$315-500)))=0,"",INDEX('Vendor COIs'!$G$4:$G$503,(_calc!$E$315-500)))&amp;". ")&amp;IF(LEN(IF(LEN(INDEX('Vendor COIs'!$M$4:$M$503,(_calc!$E$315-500)))=0,"",INDEX('Vendor COIs'!$M$4:$M$503,(_calc!$E$315-500))))=0,"","Vendor contact: "&amp;IF(LEN(INDEX('Vendor COIs'!$M$4:$M$503,(_calc!$E$315-500)))=0,"",INDEX('Vendor COIs'!$M$4:$M$503,(_calc!$E$315-500)))&amp;". ")&amp;IF(LEN(IF(LEN(INDEX('Vendor COIs'!$P$4:$P$503,(_calc!$E$315-500)))=0,"",INDEX('Vendor COIs'!$P$4:$P$503,(_calc!$E$315-500))))=0,"",IF(LEN(INDEX('Vendor COIs'!$P$4:$P$503,(_calc!$E$315-500)))=0,"",INDEX('Vendor COIs'!$P$4:$P$503,(_calc!$E$315-500)))))))</f>
        <v/>
      </c>
      <c r="G313" s="46">
        <f>IF(_calc!$E$315="","",IF(_calc!$E$315&lt;=500,IF(LEN(INDEX('Our policies'!$R$4:$R$503,_calc!$E$315))=0,"",INDEX('Our policies'!$R$4:$R$503,_calc!$E$315)),IF(LEN(INDEX('Vendor COIs'!$O$4:$O$503,(_calc!$E$315-500)))=0,"",INDEX('Vendor COIs'!$O$4:$O$503,(_calc!$E$315-500)))))</f>
        <v/>
      </c>
      <c r="H313" s="46">
        <f>IF(_calc!$E$315="","",IF(_calc!$E$315&lt;=500,IF(LEN(INDEX('Our policies'!$G$4:$G$503,_calc!$E$315))=0,"",INDEX('Our policies'!$G$4:$G$503,_calc!$E$315)),""))</f>
        <v/>
      </c>
      <c r="I313" s="46">
        <f>IF(_calc!$E$315="","",IF(_calc!$E$315&lt;=500,IF(LEN(INDEX('Our policies'!$H$4:$H$503,_calc!$E$315))=0,"",INDEX('Our policies'!$H$4:$H$503,_calc!$E$315)),""))</f>
        <v/>
      </c>
      <c r="K313" s="46">
        <f>IF(_calc!$E$315="","",IF(_calc!$E$315&lt;=500,IF(LEN(INDEX('Our policies'!$P$4:$P$503,_calc!$E$315))=0,"",INDEX('Our policies'!$P$4:$P$503,_calc!$E$315)),IF(LEN(INDEX('Vendor COIs'!$N$4:$N$503,(_calc!$E$315-500)))=0,"",INDEX('Vendor COIs'!$N$4:$N$503,(_calc!$E$315-500)))))</f>
        <v/>
      </c>
    </row>
    <row r="314">
      <c r="A314" s="46">
        <f>IF(_calc!$E$316="","",IF(_calc!$E$316&lt;=500,IF(LEN(INDEX('Our policies'!$A$4:$A$503,_calc!$E$316))=0,"",INDEX('Our policies'!$A$4:$A$503,_calc!$E$316)),"COI – "&amp;IF(LEN(INDEX('Vendor COIs'!$A$4:$A$503,(_calc!$E$316-500)))=0,"",INDEX('Vendor COIs'!$A$4:$A$503,(_calc!$E$316-500)))&amp;" – "&amp;IF(LEN(INDEX('Vendor COIs'!$B$4:$B$503,(_calc!$E$316-500)))=0,"",INDEX('Vendor COIs'!$B$4:$B$503,(_calc!$E$316-500)))))</f>
        <v/>
      </c>
      <c r="B314" s="46">
        <f>IF(_calc!$E$316="","",IF(_calc!$E$316&lt;=500,IF(ISNUMBER(INDEX('Our policies'!$J$4:$J$503,_calc!$E$316)),TEXT(INDEX('Our policies'!$J$4:$J$503,_calc!$E$316),"yyyy-mm-dd"),""),IF(ISNUMBER(INDEX('Vendor COIs'!$H$4:$H$503,(_calc!$E$316-500))),TEXT(INDEX('Vendor COIs'!$H$4:$H$503,(_calc!$E$316-500)),"yyyy-mm-dd"),"")))</f>
        <v/>
      </c>
      <c r="C314" s="46">
        <f>IF(_calc!$E$316="","",IF(_calc!$E$316&lt;=500,"Insurance","Certificate of insurance"))</f>
        <v/>
      </c>
      <c r="D314" s="46">
        <f>IF(_calc!$E$316="","",IF(_calc!$E$316&lt;=500,IF(ISNUMBER(INDEX('Our policies'!$I$4:$I$503,_calc!$E$316)),TEXT(INDEX('Our policies'!$I$4:$I$503,_calc!$E$316),"yyyy-mm-dd"),""),""))</f>
        <v/>
      </c>
      <c r="E314" s="46">
        <f>IF(_calc!$E$316="","",IF(_calc!$E$316&lt;=500,IF(LEN(INDEX('Our policies'!$Q$4:$Q$503,_calc!$E$316))=0,"",INDEX('Our policies'!$Q$4:$Q$503,_calc!$E$316)),"Medium"))</f>
        <v/>
      </c>
      <c r="F314" s="46">
        <f>IF(_calc!$E$316="","",IF(_calc!$E$316&lt;=500,TRIM(IF(LEN(IF(LEN(INDEX('Our policies'!$B$4:$B$503,_calc!$E$316))=0,"",INDEX('Our policies'!$B$4:$B$503,_calc!$E$316)))=0,"","Cover: "&amp;IF(LEN(INDEX('Our policies'!$B$4:$B$503,_calc!$E$316))=0,"",INDEX('Our policies'!$B$4:$B$503,_calc!$E$316))&amp;". ")&amp;IF(LEN(IF(LEN(INDEX('Our policies'!$C$4:$C$503,_calc!$E$316))=0,"",INDEX('Our policies'!$C$4:$C$503,_calc!$E$316)))=0,"","Insurer: "&amp;IF(LEN(INDEX('Our policies'!$C$4:$C$503,_calc!$E$316))=0,"",INDEX('Our policies'!$C$4:$C$503,_calc!$E$316))&amp;". ")&amp;IF(LEN(IF(LEN(INDEX('Our policies'!$D$4:$D$503,_calc!$E$316))=0,"",INDEX('Our policies'!$D$4:$D$503,_calc!$E$316)))=0,"","Broker: "&amp;IF(LEN(INDEX('Our policies'!$D$4:$D$503,_calc!$E$316))=0,"",INDEX('Our policies'!$D$4:$D$503,_calc!$E$316))&amp;". ")&amp;IF(LEN(IF(LEN(INDEX('Our policies'!$E$4:$E$503,_calc!$E$316))=0,"",INDEX('Our policies'!$E$4:$E$503,_calc!$E$316)))=0,"","Policy no.: "&amp;IF(LEN(INDEX('Our policies'!$E$4:$E$503,_calc!$E$316))=0,"",INDEX('Our policies'!$E$4:$E$503,_calc!$E$316))&amp;". ")&amp;IF(LEN(IF(LEN(INDEX('Our policies'!$S$4:$S$503,_calc!$E$316))=0,"",INDEX('Our policies'!$S$4:$S$503,_calc!$E$316)))=0,"",IF(LEN(INDEX('Our policies'!$S$4:$S$503,_calc!$E$316))=0,"",INDEX('Our policies'!$S$4:$S$503,_calc!$E$316)))),TRIM(IF(LEN(IF(LEN(INDEX('Vendor COIs'!$C$4:$C$503,(_calc!$E$316-500)))=0,"",INDEX('Vendor COIs'!$C$4:$C$503,(_calc!$E$316-500))))=0,"","Insurer: "&amp;IF(LEN(INDEX('Vendor COIs'!$C$4:$C$503,(_calc!$E$316-500)))=0,"",INDEX('Vendor COIs'!$C$4:$C$503,(_calc!$E$316-500)))&amp;". ")&amp;IF(LEN(IF(LEN(INDEX('Vendor COIs'!$D$4:$D$503,(_calc!$E$316-500)))=0,"",INDEX('Vendor COIs'!$D$4:$D$503,(_calc!$E$316-500))))=0,"","Policy no.: "&amp;IF(LEN(INDEX('Vendor COIs'!$D$4:$D$503,(_calc!$E$316-500)))=0,"",INDEX('Vendor COIs'!$D$4:$D$503,(_calc!$E$316-500)))&amp;". ")&amp;IF(LEN(IF(LEN(INDEX('Vendor COIs'!$F$4:$F$503,(_calc!$E$316-500)))=0,"",INDEX('Vendor COIs'!$F$4:$F$503,(_calc!$E$316-500))))=0,"","Meets minimum: "&amp;IF(LEN(INDEX('Vendor COIs'!$F$4:$F$503,(_calc!$E$316-500)))=0,"",INDEX('Vendor COIs'!$F$4:$F$503,(_calc!$E$316-500)))&amp;". ")&amp;IF(LEN(IF(LEN(INDEX('Vendor COIs'!$G$4:$G$503,(_calc!$E$316-500)))=0,"",INDEX('Vendor COIs'!$G$4:$G$503,(_calc!$E$316-500))))=0,"","Additional insured: "&amp;IF(LEN(INDEX('Vendor COIs'!$G$4:$G$503,(_calc!$E$316-500)))=0,"",INDEX('Vendor COIs'!$G$4:$G$503,(_calc!$E$316-500)))&amp;". ")&amp;IF(LEN(IF(LEN(INDEX('Vendor COIs'!$M$4:$M$503,(_calc!$E$316-500)))=0,"",INDEX('Vendor COIs'!$M$4:$M$503,(_calc!$E$316-500))))=0,"","Vendor contact: "&amp;IF(LEN(INDEX('Vendor COIs'!$M$4:$M$503,(_calc!$E$316-500)))=0,"",INDEX('Vendor COIs'!$M$4:$M$503,(_calc!$E$316-500)))&amp;". ")&amp;IF(LEN(IF(LEN(INDEX('Vendor COIs'!$P$4:$P$503,(_calc!$E$316-500)))=0,"",INDEX('Vendor COIs'!$P$4:$P$503,(_calc!$E$316-500))))=0,"",IF(LEN(INDEX('Vendor COIs'!$P$4:$P$503,(_calc!$E$316-500)))=0,"",INDEX('Vendor COIs'!$P$4:$P$503,(_calc!$E$316-500)))))))</f>
        <v/>
      </c>
      <c r="G314" s="46">
        <f>IF(_calc!$E$316="","",IF(_calc!$E$316&lt;=500,IF(LEN(INDEX('Our policies'!$R$4:$R$503,_calc!$E$316))=0,"",INDEX('Our policies'!$R$4:$R$503,_calc!$E$316)),IF(LEN(INDEX('Vendor COIs'!$O$4:$O$503,(_calc!$E$316-500)))=0,"",INDEX('Vendor COIs'!$O$4:$O$503,(_calc!$E$316-500)))))</f>
        <v/>
      </c>
      <c r="H314" s="46">
        <f>IF(_calc!$E$316="","",IF(_calc!$E$316&lt;=500,IF(LEN(INDEX('Our policies'!$G$4:$G$503,_calc!$E$316))=0,"",INDEX('Our policies'!$G$4:$G$503,_calc!$E$316)),""))</f>
        <v/>
      </c>
      <c r="I314" s="46">
        <f>IF(_calc!$E$316="","",IF(_calc!$E$316&lt;=500,IF(LEN(INDEX('Our policies'!$H$4:$H$503,_calc!$E$316))=0,"",INDEX('Our policies'!$H$4:$H$503,_calc!$E$316)),""))</f>
        <v/>
      </c>
      <c r="K314" s="46">
        <f>IF(_calc!$E$316="","",IF(_calc!$E$316&lt;=500,IF(LEN(INDEX('Our policies'!$P$4:$P$503,_calc!$E$316))=0,"",INDEX('Our policies'!$P$4:$P$503,_calc!$E$316)),IF(LEN(INDEX('Vendor COIs'!$N$4:$N$503,(_calc!$E$316-500)))=0,"",INDEX('Vendor COIs'!$N$4:$N$503,(_calc!$E$316-500)))))</f>
        <v/>
      </c>
    </row>
    <row r="315">
      <c r="A315" s="46">
        <f>IF(_calc!$E$317="","",IF(_calc!$E$317&lt;=500,IF(LEN(INDEX('Our policies'!$A$4:$A$503,_calc!$E$317))=0,"",INDEX('Our policies'!$A$4:$A$503,_calc!$E$317)),"COI – "&amp;IF(LEN(INDEX('Vendor COIs'!$A$4:$A$503,(_calc!$E$317-500)))=0,"",INDEX('Vendor COIs'!$A$4:$A$503,(_calc!$E$317-500)))&amp;" – "&amp;IF(LEN(INDEX('Vendor COIs'!$B$4:$B$503,(_calc!$E$317-500)))=0,"",INDEX('Vendor COIs'!$B$4:$B$503,(_calc!$E$317-500)))))</f>
        <v/>
      </c>
      <c r="B315" s="46">
        <f>IF(_calc!$E$317="","",IF(_calc!$E$317&lt;=500,IF(ISNUMBER(INDEX('Our policies'!$J$4:$J$503,_calc!$E$317)),TEXT(INDEX('Our policies'!$J$4:$J$503,_calc!$E$317),"yyyy-mm-dd"),""),IF(ISNUMBER(INDEX('Vendor COIs'!$H$4:$H$503,(_calc!$E$317-500))),TEXT(INDEX('Vendor COIs'!$H$4:$H$503,(_calc!$E$317-500)),"yyyy-mm-dd"),"")))</f>
        <v/>
      </c>
      <c r="C315" s="46">
        <f>IF(_calc!$E$317="","",IF(_calc!$E$317&lt;=500,"Insurance","Certificate of insurance"))</f>
        <v/>
      </c>
      <c r="D315" s="46">
        <f>IF(_calc!$E$317="","",IF(_calc!$E$317&lt;=500,IF(ISNUMBER(INDEX('Our policies'!$I$4:$I$503,_calc!$E$317)),TEXT(INDEX('Our policies'!$I$4:$I$503,_calc!$E$317),"yyyy-mm-dd"),""),""))</f>
        <v/>
      </c>
      <c r="E315" s="46">
        <f>IF(_calc!$E$317="","",IF(_calc!$E$317&lt;=500,IF(LEN(INDEX('Our policies'!$Q$4:$Q$503,_calc!$E$317))=0,"",INDEX('Our policies'!$Q$4:$Q$503,_calc!$E$317)),"Medium"))</f>
        <v/>
      </c>
      <c r="F315" s="46">
        <f>IF(_calc!$E$317="","",IF(_calc!$E$317&lt;=500,TRIM(IF(LEN(IF(LEN(INDEX('Our policies'!$B$4:$B$503,_calc!$E$317))=0,"",INDEX('Our policies'!$B$4:$B$503,_calc!$E$317)))=0,"","Cover: "&amp;IF(LEN(INDEX('Our policies'!$B$4:$B$503,_calc!$E$317))=0,"",INDEX('Our policies'!$B$4:$B$503,_calc!$E$317))&amp;". ")&amp;IF(LEN(IF(LEN(INDEX('Our policies'!$C$4:$C$503,_calc!$E$317))=0,"",INDEX('Our policies'!$C$4:$C$503,_calc!$E$317)))=0,"","Insurer: "&amp;IF(LEN(INDEX('Our policies'!$C$4:$C$503,_calc!$E$317))=0,"",INDEX('Our policies'!$C$4:$C$503,_calc!$E$317))&amp;". ")&amp;IF(LEN(IF(LEN(INDEX('Our policies'!$D$4:$D$503,_calc!$E$317))=0,"",INDEX('Our policies'!$D$4:$D$503,_calc!$E$317)))=0,"","Broker: "&amp;IF(LEN(INDEX('Our policies'!$D$4:$D$503,_calc!$E$317))=0,"",INDEX('Our policies'!$D$4:$D$503,_calc!$E$317))&amp;". ")&amp;IF(LEN(IF(LEN(INDEX('Our policies'!$E$4:$E$503,_calc!$E$317))=0,"",INDEX('Our policies'!$E$4:$E$503,_calc!$E$317)))=0,"","Policy no.: "&amp;IF(LEN(INDEX('Our policies'!$E$4:$E$503,_calc!$E$317))=0,"",INDEX('Our policies'!$E$4:$E$503,_calc!$E$317))&amp;". ")&amp;IF(LEN(IF(LEN(INDEX('Our policies'!$S$4:$S$503,_calc!$E$317))=0,"",INDEX('Our policies'!$S$4:$S$503,_calc!$E$317)))=0,"",IF(LEN(INDEX('Our policies'!$S$4:$S$503,_calc!$E$317))=0,"",INDEX('Our policies'!$S$4:$S$503,_calc!$E$317)))),TRIM(IF(LEN(IF(LEN(INDEX('Vendor COIs'!$C$4:$C$503,(_calc!$E$317-500)))=0,"",INDEX('Vendor COIs'!$C$4:$C$503,(_calc!$E$317-500))))=0,"","Insurer: "&amp;IF(LEN(INDEX('Vendor COIs'!$C$4:$C$503,(_calc!$E$317-500)))=0,"",INDEX('Vendor COIs'!$C$4:$C$503,(_calc!$E$317-500)))&amp;". ")&amp;IF(LEN(IF(LEN(INDEX('Vendor COIs'!$D$4:$D$503,(_calc!$E$317-500)))=0,"",INDEX('Vendor COIs'!$D$4:$D$503,(_calc!$E$317-500))))=0,"","Policy no.: "&amp;IF(LEN(INDEX('Vendor COIs'!$D$4:$D$503,(_calc!$E$317-500)))=0,"",INDEX('Vendor COIs'!$D$4:$D$503,(_calc!$E$317-500)))&amp;". ")&amp;IF(LEN(IF(LEN(INDEX('Vendor COIs'!$F$4:$F$503,(_calc!$E$317-500)))=0,"",INDEX('Vendor COIs'!$F$4:$F$503,(_calc!$E$317-500))))=0,"","Meets minimum: "&amp;IF(LEN(INDEX('Vendor COIs'!$F$4:$F$503,(_calc!$E$317-500)))=0,"",INDEX('Vendor COIs'!$F$4:$F$503,(_calc!$E$317-500)))&amp;". ")&amp;IF(LEN(IF(LEN(INDEX('Vendor COIs'!$G$4:$G$503,(_calc!$E$317-500)))=0,"",INDEX('Vendor COIs'!$G$4:$G$503,(_calc!$E$317-500))))=0,"","Additional insured: "&amp;IF(LEN(INDEX('Vendor COIs'!$G$4:$G$503,(_calc!$E$317-500)))=0,"",INDEX('Vendor COIs'!$G$4:$G$503,(_calc!$E$317-500)))&amp;". ")&amp;IF(LEN(IF(LEN(INDEX('Vendor COIs'!$M$4:$M$503,(_calc!$E$317-500)))=0,"",INDEX('Vendor COIs'!$M$4:$M$503,(_calc!$E$317-500))))=0,"","Vendor contact: "&amp;IF(LEN(INDEX('Vendor COIs'!$M$4:$M$503,(_calc!$E$317-500)))=0,"",INDEX('Vendor COIs'!$M$4:$M$503,(_calc!$E$317-500)))&amp;". ")&amp;IF(LEN(IF(LEN(INDEX('Vendor COIs'!$P$4:$P$503,(_calc!$E$317-500)))=0,"",INDEX('Vendor COIs'!$P$4:$P$503,(_calc!$E$317-500))))=0,"",IF(LEN(INDEX('Vendor COIs'!$P$4:$P$503,(_calc!$E$317-500)))=0,"",INDEX('Vendor COIs'!$P$4:$P$503,(_calc!$E$317-500)))))))</f>
        <v/>
      </c>
      <c r="G315" s="46">
        <f>IF(_calc!$E$317="","",IF(_calc!$E$317&lt;=500,IF(LEN(INDEX('Our policies'!$R$4:$R$503,_calc!$E$317))=0,"",INDEX('Our policies'!$R$4:$R$503,_calc!$E$317)),IF(LEN(INDEX('Vendor COIs'!$O$4:$O$503,(_calc!$E$317-500)))=0,"",INDEX('Vendor COIs'!$O$4:$O$503,(_calc!$E$317-500)))))</f>
        <v/>
      </c>
      <c r="H315" s="46">
        <f>IF(_calc!$E$317="","",IF(_calc!$E$317&lt;=500,IF(LEN(INDEX('Our policies'!$G$4:$G$503,_calc!$E$317))=0,"",INDEX('Our policies'!$G$4:$G$503,_calc!$E$317)),""))</f>
        <v/>
      </c>
      <c r="I315" s="46">
        <f>IF(_calc!$E$317="","",IF(_calc!$E$317&lt;=500,IF(LEN(INDEX('Our policies'!$H$4:$H$503,_calc!$E$317))=0,"",INDEX('Our policies'!$H$4:$H$503,_calc!$E$317)),""))</f>
        <v/>
      </c>
      <c r="K315" s="46">
        <f>IF(_calc!$E$317="","",IF(_calc!$E$317&lt;=500,IF(LEN(INDEX('Our policies'!$P$4:$P$503,_calc!$E$317))=0,"",INDEX('Our policies'!$P$4:$P$503,_calc!$E$317)),IF(LEN(INDEX('Vendor COIs'!$N$4:$N$503,(_calc!$E$317-500)))=0,"",INDEX('Vendor COIs'!$N$4:$N$503,(_calc!$E$317-500)))))</f>
        <v/>
      </c>
    </row>
    <row r="316">
      <c r="A316" s="46">
        <f>IF(_calc!$E$318="","",IF(_calc!$E$318&lt;=500,IF(LEN(INDEX('Our policies'!$A$4:$A$503,_calc!$E$318))=0,"",INDEX('Our policies'!$A$4:$A$503,_calc!$E$318)),"COI – "&amp;IF(LEN(INDEX('Vendor COIs'!$A$4:$A$503,(_calc!$E$318-500)))=0,"",INDEX('Vendor COIs'!$A$4:$A$503,(_calc!$E$318-500)))&amp;" – "&amp;IF(LEN(INDEX('Vendor COIs'!$B$4:$B$503,(_calc!$E$318-500)))=0,"",INDEX('Vendor COIs'!$B$4:$B$503,(_calc!$E$318-500)))))</f>
        <v/>
      </c>
      <c r="B316" s="46">
        <f>IF(_calc!$E$318="","",IF(_calc!$E$318&lt;=500,IF(ISNUMBER(INDEX('Our policies'!$J$4:$J$503,_calc!$E$318)),TEXT(INDEX('Our policies'!$J$4:$J$503,_calc!$E$318),"yyyy-mm-dd"),""),IF(ISNUMBER(INDEX('Vendor COIs'!$H$4:$H$503,(_calc!$E$318-500))),TEXT(INDEX('Vendor COIs'!$H$4:$H$503,(_calc!$E$318-500)),"yyyy-mm-dd"),"")))</f>
        <v/>
      </c>
      <c r="C316" s="46">
        <f>IF(_calc!$E$318="","",IF(_calc!$E$318&lt;=500,"Insurance","Certificate of insurance"))</f>
        <v/>
      </c>
      <c r="D316" s="46">
        <f>IF(_calc!$E$318="","",IF(_calc!$E$318&lt;=500,IF(ISNUMBER(INDEX('Our policies'!$I$4:$I$503,_calc!$E$318)),TEXT(INDEX('Our policies'!$I$4:$I$503,_calc!$E$318),"yyyy-mm-dd"),""),""))</f>
        <v/>
      </c>
      <c r="E316" s="46">
        <f>IF(_calc!$E$318="","",IF(_calc!$E$318&lt;=500,IF(LEN(INDEX('Our policies'!$Q$4:$Q$503,_calc!$E$318))=0,"",INDEX('Our policies'!$Q$4:$Q$503,_calc!$E$318)),"Medium"))</f>
        <v/>
      </c>
      <c r="F316" s="46">
        <f>IF(_calc!$E$318="","",IF(_calc!$E$318&lt;=500,TRIM(IF(LEN(IF(LEN(INDEX('Our policies'!$B$4:$B$503,_calc!$E$318))=0,"",INDEX('Our policies'!$B$4:$B$503,_calc!$E$318)))=0,"","Cover: "&amp;IF(LEN(INDEX('Our policies'!$B$4:$B$503,_calc!$E$318))=0,"",INDEX('Our policies'!$B$4:$B$503,_calc!$E$318))&amp;". ")&amp;IF(LEN(IF(LEN(INDEX('Our policies'!$C$4:$C$503,_calc!$E$318))=0,"",INDEX('Our policies'!$C$4:$C$503,_calc!$E$318)))=0,"","Insurer: "&amp;IF(LEN(INDEX('Our policies'!$C$4:$C$503,_calc!$E$318))=0,"",INDEX('Our policies'!$C$4:$C$503,_calc!$E$318))&amp;". ")&amp;IF(LEN(IF(LEN(INDEX('Our policies'!$D$4:$D$503,_calc!$E$318))=0,"",INDEX('Our policies'!$D$4:$D$503,_calc!$E$318)))=0,"","Broker: "&amp;IF(LEN(INDEX('Our policies'!$D$4:$D$503,_calc!$E$318))=0,"",INDEX('Our policies'!$D$4:$D$503,_calc!$E$318))&amp;". ")&amp;IF(LEN(IF(LEN(INDEX('Our policies'!$E$4:$E$503,_calc!$E$318))=0,"",INDEX('Our policies'!$E$4:$E$503,_calc!$E$318)))=0,"","Policy no.: "&amp;IF(LEN(INDEX('Our policies'!$E$4:$E$503,_calc!$E$318))=0,"",INDEX('Our policies'!$E$4:$E$503,_calc!$E$318))&amp;". ")&amp;IF(LEN(IF(LEN(INDEX('Our policies'!$S$4:$S$503,_calc!$E$318))=0,"",INDEX('Our policies'!$S$4:$S$503,_calc!$E$318)))=0,"",IF(LEN(INDEX('Our policies'!$S$4:$S$503,_calc!$E$318))=0,"",INDEX('Our policies'!$S$4:$S$503,_calc!$E$318)))),TRIM(IF(LEN(IF(LEN(INDEX('Vendor COIs'!$C$4:$C$503,(_calc!$E$318-500)))=0,"",INDEX('Vendor COIs'!$C$4:$C$503,(_calc!$E$318-500))))=0,"","Insurer: "&amp;IF(LEN(INDEX('Vendor COIs'!$C$4:$C$503,(_calc!$E$318-500)))=0,"",INDEX('Vendor COIs'!$C$4:$C$503,(_calc!$E$318-500)))&amp;". ")&amp;IF(LEN(IF(LEN(INDEX('Vendor COIs'!$D$4:$D$503,(_calc!$E$318-500)))=0,"",INDEX('Vendor COIs'!$D$4:$D$503,(_calc!$E$318-500))))=0,"","Policy no.: "&amp;IF(LEN(INDEX('Vendor COIs'!$D$4:$D$503,(_calc!$E$318-500)))=0,"",INDEX('Vendor COIs'!$D$4:$D$503,(_calc!$E$318-500)))&amp;". ")&amp;IF(LEN(IF(LEN(INDEX('Vendor COIs'!$F$4:$F$503,(_calc!$E$318-500)))=0,"",INDEX('Vendor COIs'!$F$4:$F$503,(_calc!$E$318-500))))=0,"","Meets minimum: "&amp;IF(LEN(INDEX('Vendor COIs'!$F$4:$F$503,(_calc!$E$318-500)))=0,"",INDEX('Vendor COIs'!$F$4:$F$503,(_calc!$E$318-500)))&amp;". ")&amp;IF(LEN(IF(LEN(INDEX('Vendor COIs'!$G$4:$G$503,(_calc!$E$318-500)))=0,"",INDEX('Vendor COIs'!$G$4:$G$503,(_calc!$E$318-500))))=0,"","Additional insured: "&amp;IF(LEN(INDEX('Vendor COIs'!$G$4:$G$503,(_calc!$E$318-500)))=0,"",INDEX('Vendor COIs'!$G$4:$G$503,(_calc!$E$318-500)))&amp;". ")&amp;IF(LEN(IF(LEN(INDEX('Vendor COIs'!$M$4:$M$503,(_calc!$E$318-500)))=0,"",INDEX('Vendor COIs'!$M$4:$M$503,(_calc!$E$318-500))))=0,"","Vendor contact: "&amp;IF(LEN(INDEX('Vendor COIs'!$M$4:$M$503,(_calc!$E$318-500)))=0,"",INDEX('Vendor COIs'!$M$4:$M$503,(_calc!$E$318-500)))&amp;". ")&amp;IF(LEN(IF(LEN(INDEX('Vendor COIs'!$P$4:$P$503,(_calc!$E$318-500)))=0,"",INDEX('Vendor COIs'!$P$4:$P$503,(_calc!$E$318-500))))=0,"",IF(LEN(INDEX('Vendor COIs'!$P$4:$P$503,(_calc!$E$318-500)))=0,"",INDEX('Vendor COIs'!$P$4:$P$503,(_calc!$E$318-500)))))))</f>
        <v/>
      </c>
      <c r="G316" s="46">
        <f>IF(_calc!$E$318="","",IF(_calc!$E$318&lt;=500,IF(LEN(INDEX('Our policies'!$R$4:$R$503,_calc!$E$318))=0,"",INDEX('Our policies'!$R$4:$R$503,_calc!$E$318)),IF(LEN(INDEX('Vendor COIs'!$O$4:$O$503,(_calc!$E$318-500)))=0,"",INDEX('Vendor COIs'!$O$4:$O$503,(_calc!$E$318-500)))))</f>
        <v/>
      </c>
      <c r="H316" s="46">
        <f>IF(_calc!$E$318="","",IF(_calc!$E$318&lt;=500,IF(LEN(INDEX('Our policies'!$G$4:$G$503,_calc!$E$318))=0,"",INDEX('Our policies'!$G$4:$G$503,_calc!$E$318)),""))</f>
        <v/>
      </c>
      <c r="I316" s="46">
        <f>IF(_calc!$E$318="","",IF(_calc!$E$318&lt;=500,IF(LEN(INDEX('Our policies'!$H$4:$H$503,_calc!$E$318))=0,"",INDEX('Our policies'!$H$4:$H$503,_calc!$E$318)),""))</f>
        <v/>
      </c>
      <c r="K316" s="46">
        <f>IF(_calc!$E$318="","",IF(_calc!$E$318&lt;=500,IF(LEN(INDEX('Our policies'!$P$4:$P$503,_calc!$E$318))=0,"",INDEX('Our policies'!$P$4:$P$503,_calc!$E$318)),IF(LEN(INDEX('Vendor COIs'!$N$4:$N$503,(_calc!$E$318-500)))=0,"",INDEX('Vendor COIs'!$N$4:$N$503,(_calc!$E$318-500)))))</f>
        <v/>
      </c>
    </row>
    <row r="317">
      <c r="A317" s="46">
        <f>IF(_calc!$E$319="","",IF(_calc!$E$319&lt;=500,IF(LEN(INDEX('Our policies'!$A$4:$A$503,_calc!$E$319))=0,"",INDEX('Our policies'!$A$4:$A$503,_calc!$E$319)),"COI – "&amp;IF(LEN(INDEX('Vendor COIs'!$A$4:$A$503,(_calc!$E$319-500)))=0,"",INDEX('Vendor COIs'!$A$4:$A$503,(_calc!$E$319-500)))&amp;" – "&amp;IF(LEN(INDEX('Vendor COIs'!$B$4:$B$503,(_calc!$E$319-500)))=0,"",INDEX('Vendor COIs'!$B$4:$B$503,(_calc!$E$319-500)))))</f>
        <v/>
      </c>
      <c r="B317" s="46">
        <f>IF(_calc!$E$319="","",IF(_calc!$E$319&lt;=500,IF(ISNUMBER(INDEX('Our policies'!$J$4:$J$503,_calc!$E$319)),TEXT(INDEX('Our policies'!$J$4:$J$503,_calc!$E$319),"yyyy-mm-dd"),""),IF(ISNUMBER(INDEX('Vendor COIs'!$H$4:$H$503,(_calc!$E$319-500))),TEXT(INDEX('Vendor COIs'!$H$4:$H$503,(_calc!$E$319-500)),"yyyy-mm-dd"),"")))</f>
        <v/>
      </c>
      <c r="C317" s="46">
        <f>IF(_calc!$E$319="","",IF(_calc!$E$319&lt;=500,"Insurance","Certificate of insurance"))</f>
        <v/>
      </c>
      <c r="D317" s="46">
        <f>IF(_calc!$E$319="","",IF(_calc!$E$319&lt;=500,IF(ISNUMBER(INDEX('Our policies'!$I$4:$I$503,_calc!$E$319)),TEXT(INDEX('Our policies'!$I$4:$I$503,_calc!$E$319),"yyyy-mm-dd"),""),""))</f>
        <v/>
      </c>
      <c r="E317" s="46">
        <f>IF(_calc!$E$319="","",IF(_calc!$E$319&lt;=500,IF(LEN(INDEX('Our policies'!$Q$4:$Q$503,_calc!$E$319))=0,"",INDEX('Our policies'!$Q$4:$Q$503,_calc!$E$319)),"Medium"))</f>
        <v/>
      </c>
      <c r="F317" s="46">
        <f>IF(_calc!$E$319="","",IF(_calc!$E$319&lt;=500,TRIM(IF(LEN(IF(LEN(INDEX('Our policies'!$B$4:$B$503,_calc!$E$319))=0,"",INDEX('Our policies'!$B$4:$B$503,_calc!$E$319)))=0,"","Cover: "&amp;IF(LEN(INDEX('Our policies'!$B$4:$B$503,_calc!$E$319))=0,"",INDEX('Our policies'!$B$4:$B$503,_calc!$E$319))&amp;". ")&amp;IF(LEN(IF(LEN(INDEX('Our policies'!$C$4:$C$503,_calc!$E$319))=0,"",INDEX('Our policies'!$C$4:$C$503,_calc!$E$319)))=0,"","Insurer: "&amp;IF(LEN(INDEX('Our policies'!$C$4:$C$503,_calc!$E$319))=0,"",INDEX('Our policies'!$C$4:$C$503,_calc!$E$319))&amp;". ")&amp;IF(LEN(IF(LEN(INDEX('Our policies'!$D$4:$D$503,_calc!$E$319))=0,"",INDEX('Our policies'!$D$4:$D$503,_calc!$E$319)))=0,"","Broker: "&amp;IF(LEN(INDEX('Our policies'!$D$4:$D$503,_calc!$E$319))=0,"",INDEX('Our policies'!$D$4:$D$503,_calc!$E$319))&amp;". ")&amp;IF(LEN(IF(LEN(INDEX('Our policies'!$E$4:$E$503,_calc!$E$319))=0,"",INDEX('Our policies'!$E$4:$E$503,_calc!$E$319)))=0,"","Policy no.: "&amp;IF(LEN(INDEX('Our policies'!$E$4:$E$503,_calc!$E$319))=0,"",INDEX('Our policies'!$E$4:$E$503,_calc!$E$319))&amp;". ")&amp;IF(LEN(IF(LEN(INDEX('Our policies'!$S$4:$S$503,_calc!$E$319))=0,"",INDEX('Our policies'!$S$4:$S$503,_calc!$E$319)))=0,"",IF(LEN(INDEX('Our policies'!$S$4:$S$503,_calc!$E$319))=0,"",INDEX('Our policies'!$S$4:$S$503,_calc!$E$319)))),TRIM(IF(LEN(IF(LEN(INDEX('Vendor COIs'!$C$4:$C$503,(_calc!$E$319-500)))=0,"",INDEX('Vendor COIs'!$C$4:$C$503,(_calc!$E$319-500))))=0,"","Insurer: "&amp;IF(LEN(INDEX('Vendor COIs'!$C$4:$C$503,(_calc!$E$319-500)))=0,"",INDEX('Vendor COIs'!$C$4:$C$503,(_calc!$E$319-500)))&amp;". ")&amp;IF(LEN(IF(LEN(INDEX('Vendor COIs'!$D$4:$D$503,(_calc!$E$319-500)))=0,"",INDEX('Vendor COIs'!$D$4:$D$503,(_calc!$E$319-500))))=0,"","Policy no.: "&amp;IF(LEN(INDEX('Vendor COIs'!$D$4:$D$503,(_calc!$E$319-500)))=0,"",INDEX('Vendor COIs'!$D$4:$D$503,(_calc!$E$319-500)))&amp;". ")&amp;IF(LEN(IF(LEN(INDEX('Vendor COIs'!$F$4:$F$503,(_calc!$E$319-500)))=0,"",INDEX('Vendor COIs'!$F$4:$F$503,(_calc!$E$319-500))))=0,"","Meets minimum: "&amp;IF(LEN(INDEX('Vendor COIs'!$F$4:$F$503,(_calc!$E$319-500)))=0,"",INDEX('Vendor COIs'!$F$4:$F$503,(_calc!$E$319-500)))&amp;". ")&amp;IF(LEN(IF(LEN(INDEX('Vendor COIs'!$G$4:$G$503,(_calc!$E$319-500)))=0,"",INDEX('Vendor COIs'!$G$4:$G$503,(_calc!$E$319-500))))=0,"","Additional insured: "&amp;IF(LEN(INDEX('Vendor COIs'!$G$4:$G$503,(_calc!$E$319-500)))=0,"",INDEX('Vendor COIs'!$G$4:$G$503,(_calc!$E$319-500)))&amp;". ")&amp;IF(LEN(IF(LEN(INDEX('Vendor COIs'!$M$4:$M$503,(_calc!$E$319-500)))=0,"",INDEX('Vendor COIs'!$M$4:$M$503,(_calc!$E$319-500))))=0,"","Vendor contact: "&amp;IF(LEN(INDEX('Vendor COIs'!$M$4:$M$503,(_calc!$E$319-500)))=0,"",INDEX('Vendor COIs'!$M$4:$M$503,(_calc!$E$319-500)))&amp;". ")&amp;IF(LEN(IF(LEN(INDEX('Vendor COIs'!$P$4:$P$503,(_calc!$E$319-500)))=0,"",INDEX('Vendor COIs'!$P$4:$P$503,(_calc!$E$319-500))))=0,"",IF(LEN(INDEX('Vendor COIs'!$P$4:$P$503,(_calc!$E$319-500)))=0,"",INDEX('Vendor COIs'!$P$4:$P$503,(_calc!$E$319-500)))))))</f>
        <v/>
      </c>
      <c r="G317" s="46">
        <f>IF(_calc!$E$319="","",IF(_calc!$E$319&lt;=500,IF(LEN(INDEX('Our policies'!$R$4:$R$503,_calc!$E$319))=0,"",INDEX('Our policies'!$R$4:$R$503,_calc!$E$319)),IF(LEN(INDEX('Vendor COIs'!$O$4:$O$503,(_calc!$E$319-500)))=0,"",INDEX('Vendor COIs'!$O$4:$O$503,(_calc!$E$319-500)))))</f>
        <v/>
      </c>
      <c r="H317" s="46">
        <f>IF(_calc!$E$319="","",IF(_calc!$E$319&lt;=500,IF(LEN(INDEX('Our policies'!$G$4:$G$503,_calc!$E$319))=0,"",INDEX('Our policies'!$G$4:$G$503,_calc!$E$319)),""))</f>
        <v/>
      </c>
      <c r="I317" s="46">
        <f>IF(_calc!$E$319="","",IF(_calc!$E$319&lt;=500,IF(LEN(INDEX('Our policies'!$H$4:$H$503,_calc!$E$319))=0,"",INDEX('Our policies'!$H$4:$H$503,_calc!$E$319)),""))</f>
        <v/>
      </c>
      <c r="K317" s="46">
        <f>IF(_calc!$E$319="","",IF(_calc!$E$319&lt;=500,IF(LEN(INDEX('Our policies'!$P$4:$P$503,_calc!$E$319))=0,"",INDEX('Our policies'!$P$4:$P$503,_calc!$E$319)),IF(LEN(INDEX('Vendor COIs'!$N$4:$N$503,(_calc!$E$319-500)))=0,"",INDEX('Vendor COIs'!$N$4:$N$503,(_calc!$E$319-500)))))</f>
        <v/>
      </c>
    </row>
    <row r="318">
      <c r="A318" s="46">
        <f>IF(_calc!$E$320="","",IF(_calc!$E$320&lt;=500,IF(LEN(INDEX('Our policies'!$A$4:$A$503,_calc!$E$320))=0,"",INDEX('Our policies'!$A$4:$A$503,_calc!$E$320)),"COI – "&amp;IF(LEN(INDEX('Vendor COIs'!$A$4:$A$503,(_calc!$E$320-500)))=0,"",INDEX('Vendor COIs'!$A$4:$A$503,(_calc!$E$320-500)))&amp;" – "&amp;IF(LEN(INDEX('Vendor COIs'!$B$4:$B$503,(_calc!$E$320-500)))=0,"",INDEX('Vendor COIs'!$B$4:$B$503,(_calc!$E$320-500)))))</f>
        <v/>
      </c>
      <c r="B318" s="46">
        <f>IF(_calc!$E$320="","",IF(_calc!$E$320&lt;=500,IF(ISNUMBER(INDEX('Our policies'!$J$4:$J$503,_calc!$E$320)),TEXT(INDEX('Our policies'!$J$4:$J$503,_calc!$E$320),"yyyy-mm-dd"),""),IF(ISNUMBER(INDEX('Vendor COIs'!$H$4:$H$503,(_calc!$E$320-500))),TEXT(INDEX('Vendor COIs'!$H$4:$H$503,(_calc!$E$320-500)),"yyyy-mm-dd"),"")))</f>
        <v/>
      </c>
      <c r="C318" s="46">
        <f>IF(_calc!$E$320="","",IF(_calc!$E$320&lt;=500,"Insurance","Certificate of insurance"))</f>
        <v/>
      </c>
      <c r="D318" s="46">
        <f>IF(_calc!$E$320="","",IF(_calc!$E$320&lt;=500,IF(ISNUMBER(INDEX('Our policies'!$I$4:$I$503,_calc!$E$320)),TEXT(INDEX('Our policies'!$I$4:$I$503,_calc!$E$320),"yyyy-mm-dd"),""),""))</f>
        <v/>
      </c>
      <c r="E318" s="46">
        <f>IF(_calc!$E$320="","",IF(_calc!$E$320&lt;=500,IF(LEN(INDEX('Our policies'!$Q$4:$Q$503,_calc!$E$320))=0,"",INDEX('Our policies'!$Q$4:$Q$503,_calc!$E$320)),"Medium"))</f>
        <v/>
      </c>
      <c r="F318" s="46">
        <f>IF(_calc!$E$320="","",IF(_calc!$E$320&lt;=500,TRIM(IF(LEN(IF(LEN(INDEX('Our policies'!$B$4:$B$503,_calc!$E$320))=0,"",INDEX('Our policies'!$B$4:$B$503,_calc!$E$320)))=0,"","Cover: "&amp;IF(LEN(INDEX('Our policies'!$B$4:$B$503,_calc!$E$320))=0,"",INDEX('Our policies'!$B$4:$B$503,_calc!$E$320))&amp;". ")&amp;IF(LEN(IF(LEN(INDEX('Our policies'!$C$4:$C$503,_calc!$E$320))=0,"",INDEX('Our policies'!$C$4:$C$503,_calc!$E$320)))=0,"","Insurer: "&amp;IF(LEN(INDEX('Our policies'!$C$4:$C$503,_calc!$E$320))=0,"",INDEX('Our policies'!$C$4:$C$503,_calc!$E$320))&amp;". ")&amp;IF(LEN(IF(LEN(INDEX('Our policies'!$D$4:$D$503,_calc!$E$320))=0,"",INDEX('Our policies'!$D$4:$D$503,_calc!$E$320)))=0,"","Broker: "&amp;IF(LEN(INDEX('Our policies'!$D$4:$D$503,_calc!$E$320))=0,"",INDEX('Our policies'!$D$4:$D$503,_calc!$E$320))&amp;". ")&amp;IF(LEN(IF(LEN(INDEX('Our policies'!$E$4:$E$503,_calc!$E$320))=0,"",INDEX('Our policies'!$E$4:$E$503,_calc!$E$320)))=0,"","Policy no.: "&amp;IF(LEN(INDEX('Our policies'!$E$4:$E$503,_calc!$E$320))=0,"",INDEX('Our policies'!$E$4:$E$503,_calc!$E$320))&amp;". ")&amp;IF(LEN(IF(LEN(INDEX('Our policies'!$S$4:$S$503,_calc!$E$320))=0,"",INDEX('Our policies'!$S$4:$S$503,_calc!$E$320)))=0,"",IF(LEN(INDEX('Our policies'!$S$4:$S$503,_calc!$E$320))=0,"",INDEX('Our policies'!$S$4:$S$503,_calc!$E$320)))),TRIM(IF(LEN(IF(LEN(INDEX('Vendor COIs'!$C$4:$C$503,(_calc!$E$320-500)))=0,"",INDEX('Vendor COIs'!$C$4:$C$503,(_calc!$E$320-500))))=0,"","Insurer: "&amp;IF(LEN(INDEX('Vendor COIs'!$C$4:$C$503,(_calc!$E$320-500)))=0,"",INDEX('Vendor COIs'!$C$4:$C$503,(_calc!$E$320-500)))&amp;". ")&amp;IF(LEN(IF(LEN(INDEX('Vendor COIs'!$D$4:$D$503,(_calc!$E$320-500)))=0,"",INDEX('Vendor COIs'!$D$4:$D$503,(_calc!$E$320-500))))=0,"","Policy no.: "&amp;IF(LEN(INDEX('Vendor COIs'!$D$4:$D$503,(_calc!$E$320-500)))=0,"",INDEX('Vendor COIs'!$D$4:$D$503,(_calc!$E$320-500)))&amp;". ")&amp;IF(LEN(IF(LEN(INDEX('Vendor COIs'!$F$4:$F$503,(_calc!$E$320-500)))=0,"",INDEX('Vendor COIs'!$F$4:$F$503,(_calc!$E$320-500))))=0,"","Meets minimum: "&amp;IF(LEN(INDEX('Vendor COIs'!$F$4:$F$503,(_calc!$E$320-500)))=0,"",INDEX('Vendor COIs'!$F$4:$F$503,(_calc!$E$320-500)))&amp;". ")&amp;IF(LEN(IF(LEN(INDEX('Vendor COIs'!$G$4:$G$503,(_calc!$E$320-500)))=0,"",INDEX('Vendor COIs'!$G$4:$G$503,(_calc!$E$320-500))))=0,"","Additional insured: "&amp;IF(LEN(INDEX('Vendor COIs'!$G$4:$G$503,(_calc!$E$320-500)))=0,"",INDEX('Vendor COIs'!$G$4:$G$503,(_calc!$E$320-500)))&amp;". ")&amp;IF(LEN(IF(LEN(INDEX('Vendor COIs'!$M$4:$M$503,(_calc!$E$320-500)))=0,"",INDEX('Vendor COIs'!$M$4:$M$503,(_calc!$E$320-500))))=0,"","Vendor contact: "&amp;IF(LEN(INDEX('Vendor COIs'!$M$4:$M$503,(_calc!$E$320-500)))=0,"",INDEX('Vendor COIs'!$M$4:$M$503,(_calc!$E$320-500)))&amp;". ")&amp;IF(LEN(IF(LEN(INDEX('Vendor COIs'!$P$4:$P$503,(_calc!$E$320-500)))=0,"",INDEX('Vendor COIs'!$P$4:$P$503,(_calc!$E$320-500))))=0,"",IF(LEN(INDEX('Vendor COIs'!$P$4:$P$503,(_calc!$E$320-500)))=0,"",INDEX('Vendor COIs'!$P$4:$P$503,(_calc!$E$320-500)))))))</f>
        <v/>
      </c>
      <c r="G318" s="46">
        <f>IF(_calc!$E$320="","",IF(_calc!$E$320&lt;=500,IF(LEN(INDEX('Our policies'!$R$4:$R$503,_calc!$E$320))=0,"",INDEX('Our policies'!$R$4:$R$503,_calc!$E$320)),IF(LEN(INDEX('Vendor COIs'!$O$4:$O$503,(_calc!$E$320-500)))=0,"",INDEX('Vendor COIs'!$O$4:$O$503,(_calc!$E$320-500)))))</f>
        <v/>
      </c>
      <c r="H318" s="46">
        <f>IF(_calc!$E$320="","",IF(_calc!$E$320&lt;=500,IF(LEN(INDEX('Our policies'!$G$4:$G$503,_calc!$E$320))=0,"",INDEX('Our policies'!$G$4:$G$503,_calc!$E$320)),""))</f>
        <v/>
      </c>
      <c r="I318" s="46">
        <f>IF(_calc!$E$320="","",IF(_calc!$E$320&lt;=500,IF(LEN(INDEX('Our policies'!$H$4:$H$503,_calc!$E$320))=0,"",INDEX('Our policies'!$H$4:$H$503,_calc!$E$320)),""))</f>
        <v/>
      </c>
      <c r="K318" s="46">
        <f>IF(_calc!$E$320="","",IF(_calc!$E$320&lt;=500,IF(LEN(INDEX('Our policies'!$P$4:$P$503,_calc!$E$320))=0,"",INDEX('Our policies'!$P$4:$P$503,_calc!$E$320)),IF(LEN(INDEX('Vendor COIs'!$N$4:$N$503,(_calc!$E$320-500)))=0,"",INDEX('Vendor COIs'!$N$4:$N$503,(_calc!$E$320-500)))))</f>
        <v/>
      </c>
    </row>
    <row r="319">
      <c r="A319" s="46">
        <f>IF(_calc!$E$321="","",IF(_calc!$E$321&lt;=500,IF(LEN(INDEX('Our policies'!$A$4:$A$503,_calc!$E$321))=0,"",INDEX('Our policies'!$A$4:$A$503,_calc!$E$321)),"COI – "&amp;IF(LEN(INDEX('Vendor COIs'!$A$4:$A$503,(_calc!$E$321-500)))=0,"",INDEX('Vendor COIs'!$A$4:$A$503,(_calc!$E$321-500)))&amp;" – "&amp;IF(LEN(INDEX('Vendor COIs'!$B$4:$B$503,(_calc!$E$321-500)))=0,"",INDEX('Vendor COIs'!$B$4:$B$503,(_calc!$E$321-500)))))</f>
        <v/>
      </c>
      <c r="B319" s="46">
        <f>IF(_calc!$E$321="","",IF(_calc!$E$321&lt;=500,IF(ISNUMBER(INDEX('Our policies'!$J$4:$J$503,_calc!$E$321)),TEXT(INDEX('Our policies'!$J$4:$J$503,_calc!$E$321),"yyyy-mm-dd"),""),IF(ISNUMBER(INDEX('Vendor COIs'!$H$4:$H$503,(_calc!$E$321-500))),TEXT(INDEX('Vendor COIs'!$H$4:$H$503,(_calc!$E$321-500)),"yyyy-mm-dd"),"")))</f>
        <v/>
      </c>
      <c r="C319" s="46">
        <f>IF(_calc!$E$321="","",IF(_calc!$E$321&lt;=500,"Insurance","Certificate of insurance"))</f>
        <v/>
      </c>
      <c r="D319" s="46">
        <f>IF(_calc!$E$321="","",IF(_calc!$E$321&lt;=500,IF(ISNUMBER(INDEX('Our policies'!$I$4:$I$503,_calc!$E$321)),TEXT(INDEX('Our policies'!$I$4:$I$503,_calc!$E$321),"yyyy-mm-dd"),""),""))</f>
        <v/>
      </c>
      <c r="E319" s="46">
        <f>IF(_calc!$E$321="","",IF(_calc!$E$321&lt;=500,IF(LEN(INDEX('Our policies'!$Q$4:$Q$503,_calc!$E$321))=0,"",INDEX('Our policies'!$Q$4:$Q$503,_calc!$E$321)),"Medium"))</f>
        <v/>
      </c>
      <c r="F319" s="46">
        <f>IF(_calc!$E$321="","",IF(_calc!$E$321&lt;=500,TRIM(IF(LEN(IF(LEN(INDEX('Our policies'!$B$4:$B$503,_calc!$E$321))=0,"",INDEX('Our policies'!$B$4:$B$503,_calc!$E$321)))=0,"","Cover: "&amp;IF(LEN(INDEX('Our policies'!$B$4:$B$503,_calc!$E$321))=0,"",INDEX('Our policies'!$B$4:$B$503,_calc!$E$321))&amp;". ")&amp;IF(LEN(IF(LEN(INDEX('Our policies'!$C$4:$C$503,_calc!$E$321))=0,"",INDEX('Our policies'!$C$4:$C$503,_calc!$E$321)))=0,"","Insurer: "&amp;IF(LEN(INDEX('Our policies'!$C$4:$C$503,_calc!$E$321))=0,"",INDEX('Our policies'!$C$4:$C$503,_calc!$E$321))&amp;". ")&amp;IF(LEN(IF(LEN(INDEX('Our policies'!$D$4:$D$503,_calc!$E$321))=0,"",INDEX('Our policies'!$D$4:$D$503,_calc!$E$321)))=0,"","Broker: "&amp;IF(LEN(INDEX('Our policies'!$D$4:$D$503,_calc!$E$321))=0,"",INDEX('Our policies'!$D$4:$D$503,_calc!$E$321))&amp;". ")&amp;IF(LEN(IF(LEN(INDEX('Our policies'!$E$4:$E$503,_calc!$E$321))=0,"",INDEX('Our policies'!$E$4:$E$503,_calc!$E$321)))=0,"","Policy no.: "&amp;IF(LEN(INDEX('Our policies'!$E$4:$E$503,_calc!$E$321))=0,"",INDEX('Our policies'!$E$4:$E$503,_calc!$E$321))&amp;". ")&amp;IF(LEN(IF(LEN(INDEX('Our policies'!$S$4:$S$503,_calc!$E$321))=0,"",INDEX('Our policies'!$S$4:$S$503,_calc!$E$321)))=0,"",IF(LEN(INDEX('Our policies'!$S$4:$S$503,_calc!$E$321))=0,"",INDEX('Our policies'!$S$4:$S$503,_calc!$E$321)))),TRIM(IF(LEN(IF(LEN(INDEX('Vendor COIs'!$C$4:$C$503,(_calc!$E$321-500)))=0,"",INDEX('Vendor COIs'!$C$4:$C$503,(_calc!$E$321-500))))=0,"","Insurer: "&amp;IF(LEN(INDEX('Vendor COIs'!$C$4:$C$503,(_calc!$E$321-500)))=0,"",INDEX('Vendor COIs'!$C$4:$C$503,(_calc!$E$321-500)))&amp;". ")&amp;IF(LEN(IF(LEN(INDEX('Vendor COIs'!$D$4:$D$503,(_calc!$E$321-500)))=0,"",INDEX('Vendor COIs'!$D$4:$D$503,(_calc!$E$321-500))))=0,"","Policy no.: "&amp;IF(LEN(INDEX('Vendor COIs'!$D$4:$D$503,(_calc!$E$321-500)))=0,"",INDEX('Vendor COIs'!$D$4:$D$503,(_calc!$E$321-500)))&amp;". ")&amp;IF(LEN(IF(LEN(INDEX('Vendor COIs'!$F$4:$F$503,(_calc!$E$321-500)))=0,"",INDEX('Vendor COIs'!$F$4:$F$503,(_calc!$E$321-500))))=0,"","Meets minimum: "&amp;IF(LEN(INDEX('Vendor COIs'!$F$4:$F$503,(_calc!$E$321-500)))=0,"",INDEX('Vendor COIs'!$F$4:$F$503,(_calc!$E$321-500)))&amp;". ")&amp;IF(LEN(IF(LEN(INDEX('Vendor COIs'!$G$4:$G$503,(_calc!$E$321-500)))=0,"",INDEX('Vendor COIs'!$G$4:$G$503,(_calc!$E$321-500))))=0,"","Additional insured: "&amp;IF(LEN(INDEX('Vendor COIs'!$G$4:$G$503,(_calc!$E$321-500)))=0,"",INDEX('Vendor COIs'!$G$4:$G$503,(_calc!$E$321-500)))&amp;". ")&amp;IF(LEN(IF(LEN(INDEX('Vendor COIs'!$M$4:$M$503,(_calc!$E$321-500)))=0,"",INDEX('Vendor COIs'!$M$4:$M$503,(_calc!$E$321-500))))=0,"","Vendor contact: "&amp;IF(LEN(INDEX('Vendor COIs'!$M$4:$M$503,(_calc!$E$321-500)))=0,"",INDEX('Vendor COIs'!$M$4:$M$503,(_calc!$E$321-500)))&amp;". ")&amp;IF(LEN(IF(LEN(INDEX('Vendor COIs'!$P$4:$P$503,(_calc!$E$321-500)))=0,"",INDEX('Vendor COIs'!$P$4:$P$503,(_calc!$E$321-500))))=0,"",IF(LEN(INDEX('Vendor COIs'!$P$4:$P$503,(_calc!$E$321-500)))=0,"",INDEX('Vendor COIs'!$P$4:$P$503,(_calc!$E$321-500)))))))</f>
        <v/>
      </c>
      <c r="G319" s="46">
        <f>IF(_calc!$E$321="","",IF(_calc!$E$321&lt;=500,IF(LEN(INDEX('Our policies'!$R$4:$R$503,_calc!$E$321))=0,"",INDEX('Our policies'!$R$4:$R$503,_calc!$E$321)),IF(LEN(INDEX('Vendor COIs'!$O$4:$O$503,(_calc!$E$321-500)))=0,"",INDEX('Vendor COIs'!$O$4:$O$503,(_calc!$E$321-500)))))</f>
        <v/>
      </c>
      <c r="H319" s="46">
        <f>IF(_calc!$E$321="","",IF(_calc!$E$321&lt;=500,IF(LEN(INDEX('Our policies'!$G$4:$G$503,_calc!$E$321))=0,"",INDEX('Our policies'!$G$4:$G$503,_calc!$E$321)),""))</f>
        <v/>
      </c>
      <c r="I319" s="46">
        <f>IF(_calc!$E$321="","",IF(_calc!$E$321&lt;=500,IF(LEN(INDEX('Our policies'!$H$4:$H$503,_calc!$E$321))=0,"",INDEX('Our policies'!$H$4:$H$503,_calc!$E$321)),""))</f>
        <v/>
      </c>
      <c r="K319" s="46">
        <f>IF(_calc!$E$321="","",IF(_calc!$E$321&lt;=500,IF(LEN(INDEX('Our policies'!$P$4:$P$503,_calc!$E$321))=0,"",INDEX('Our policies'!$P$4:$P$503,_calc!$E$321)),IF(LEN(INDEX('Vendor COIs'!$N$4:$N$503,(_calc!$E$321-500)))=0,"",INDEX('Vendor COIs'!$N$4:$N$503,(_calc!$E$321-500)))))</f>
        <v/>
      </c>
    </row>
    <row r="320">
      <c r="A320" s="46">
        <f>IF(_calc!$E$322="","",IF(_calc!$E$322&lt;=500,IF(LEN(INDEX('Our policies'!$A$4:$A$503,_calc!$E$322))=0,"",INDEX('Our policies'!$A$4:$A$503,_calc!$E$322)),"COI – "&amp;IF(LEN(INDEX('Vendor COIs'!$A$4:$A$503,(_calc!$E$322-500)))=0,"",INDEX('Vendor COIs'!$A$4:$A$503,(_calc!$E$322-500)))&amp;" – "&amp;IF(LEN(INDEX('Vendor COIs'!$B$4:$B$503,(_calc!$E$322-500)))=0,"",INDEX('Vendor COIs'!$B$4:$B$503,(_calc!$E$322-500)))))</f>
        <v/>
      </c>
      <c r="B320" s="46">
        <f>IF(_calc!$E$322="","",IF(_calc!$E$322&lt;=500,IF(ISNUMBER(INDEX('Our policies'!$J$4:$J$503,_calc!$E$322)),TEXT(INDEX('Our policies'!$J$4:$J$503,_calc!$E$322),"yyyy-mm-dd"),""),IF(ISNUMBER(INDEX('Vendor COIs'!$H$4:$H$503,(_calc!$E$322-500))),TEXT(INDEX('Vendor COIs'!$H$4:$H$503,(_calc!$E$322-500)),"yyyy-mm-dd"),"")))</f>
        <v/>
      </c>
      <c r="C320" s="46">
        <f>IF(_calc!$E$322="","",IF(_calc!$E$322&lt;=500,"Insurance","Certificate of insurance"))</f>
        <v/>
      </c>
      <c r="D320" s="46">
        <f>IF(_calc!$E$322="","",IF(_calc!$E$322&lt;=500,IF(ISNUMBER(INDEX('Our policies'!$I$4:$I$503,_calc!$E$322)),TEXT(INDEX('Our policies'!$I$4:$I$503,_calc!$E$322),"yyyy-mm-dd"),""),""))</f>
        <v/>
      </c>
      <c r="E320" s="46">
        <f>IF(_calc!$E$322="","",IF(_calc!$E$322&lt;=500,IF(LEN(INDEX('Our policies'!$Q$4:$Q$503,_calc!$E$322))=0,"",INDEX('Our policies'!$Q$4:$Q$503,_calc!$E$322)),"Medium"))</f>
        <v/>
      </c>
      <c r="F320" s="46">
        <f>IF(_calc!$E$322="","",IF(_calc!$E$322&lt;=500,TRIM(IF(LEN(IF(LEN(INDEX('Our policies'!$B$4:$B$503,_calc!$E$322))=0,"",INDEX('Our policies'!$B$4:$B$503,_calc!$E$322)))=0,"","Cover: "&amp;IF(LEN(INDEX('Our policies'!$B$4:$B$503,_calc!$E$322))=0,"",INDEX('Our policies'!$B$4:$B$503,_calc!$E$322))&amp;". ")&amp;IF(LEN(IF(LEN(INDEX('Our policies'!$C$4:$C$503,_calc!$E$322))=0,"",INDEX('Our policies'!$C$4:$C$503,_calc!$E$322)))=0,"","Insurer: "&amp;IF(LEN(INDEX('Our policies'!$C$4:$C$503,_calc!$E$322))=0,"",INDEX('Our policies'!$C$4:$C$503,_calc!$E$322))&amp;". ")&amp;IF(LEN(IF(LEN(INDEX('Our policies'!$D$4:$D$503,_calc!$E$322))=0,"",INDEX('Our policies'!$D$4:$D$503,_calc!$E$322)))=0,"","Broker: "&amp;IF(LEN(INDEX('Our policies'!$D$4:$D$503,_calc!$E$322))=0,"",INDEX('Our policies'!$D$4:$D$503,_calc!$E$322))&amp;". ")&amp;IF(LEN(IF(LEN(INDEX('Our policies'!$E$4:$E$503,_calc!$E$322))=0,"",INDEX('Our policies'!$E$4:$E$503,_calc!$E$322)))=0,"","Policy no.: "&amp;IF(LEN(INDEX('Our policies'!$E$4:$E$503,_calc!$E$322))=0,"",INDEX('Our policies'!$E$4:$E$503,_calc!$E$322))&amp;". ")&amp;IF(LEN(IF(LEN(INDEX('Our policies'!$S$4:$S$503,_calc!$E$322))=0,"",INDEX('Our policies'!$S$4:$S$503,_calc!$E$322)))=0,"",IF(LEN(INDEX('Our policies'!$S$4:$S$503,_calc!$E$322))=0,"",INDEX('Our policies'!$S$4:$S$503,_calc!$E$322)))),TRIM(IF(LEN(IF(LEN(INDEX('Vendor COIs'!$C$4:$C$503,(_calc!$E$322-500)))=0,"",INDEX('Vendor COIs'!$C$4:$C$503,(_calc!$E$322-500))))=0,"","Insurer: "&amp;IF(LEN(INDEX('Vendor COIs'!$C$4:$C$503,(_calc!$E$322-500)))=0,"",INDEX('Vendor COIs'!$C$4:$C$503,(_calc!$E$322-500)))&amp;". ")&amp;IF(LEN(IF(LEN(INDEX('Vendor COIs'!$D$4:$D$503,(_calc!$E$322-500)))=0,"",INDEX('Vendor COIs'!$D$4:$D$503,(_calc!$E$322-500))))=0,"","Policy no.: "&amp;IF(LEN(INDEX('Vendor COIs'!$D$4:$D$503,(_calc!$E$322-500)))=0,"",INDEX('Vendor COIs'!$D$4:$D$503,(_calc!$E$322-500)))&amp;". ")&amp;IF(LEN(IF(LEN(INDEX('Vendor COIs'!$F$4:$F$503,(_calc!$E$322-500)))=0,"",INDEX('Vendor COIs'!$F$4:$F$503,(_calc!$E$322-500))))=0,"","Meets minimum: "&amp;IF(LEN(INDEX('Vendor COIs'!$F$4:$F$503,(_calc!$E$322-500)))=0,"",INDEX('Vendor COIs'!$F$4:$F$503,(_calc!$E$322-500)))&amp;". ")&amp;IF(LEN(IF(LEN(INDEX('Vendor COIs'!$G$4:$G$503,(_calc!$E$322-500)))=0,"",INDEX('Vendor COIs'!$G$4:$G$503,(_calc!$E$322-500))))=0,"","Additional insured: "&amp;IF(LEN(INDEX('Vendor COIs'!$G$4:$G$503,(_calc!$E$322-500)))=0,"",INDEX('Vendor COIs'!$G$4:$G$503,(_calc!$E$322-500)))&amp;". ")&amp;IF(LEN(IF(LEN(INDEX('Vendor COIs'!$M$4:$M$503,(_calc!$E$322-500)))=0,"",INDEX('Vendor COIs'!$M$4:$M$503,(_calc!$E$322-500))))=0,"","Vendor contact: "&amp;IF(LEN(INDEX('Vendor COIs'!$M$4:$M$503,(_calc!$E$322-500)))=0,"",INDEX('Vendor COIs'!$M$4:$M$503,(_calc!$E$322-500)))&amp;". ")&amp;IF(LEN(IF(LEN(INDEX('Vendor COIs'!$P$4:$P$503,(_calc!$E$322-500)))=0,"",INDEX('Vendor COIs'!$P$4:$P$503,(_calc!$E$322-500))))=0,"",IF(LEN(INDEX('Vendor COIs'!$P$4:$P$503,(_calc!$E$322-500)))=0,"",INDEX('Vendor COIs'!$P$4:$P$503,(_calc!$E$322-500)))))))</f>
        <v/>
      </c>
      <c r="G320" s="46">
        <f>IF(_calc!$E$322="","",IF(_calc!$E$322&lt;=500,IF(LEN(INDEX('Our policies'!$R$4:$R$503,_calc!$E$322))=0,"",INDEX('Our policies'!$R$4:$R$503,_calc!$E$322)),IF(LEN(INDEX('Vendor COIs'!$O$4:$O$503,(_calc!$E$322-500)))=0,"",INDEX('Vendor COIs'!$O$4:$O$503,(_calc!$E$322-500)))))</f>
        <v/>
      </c>
      <c r="H320" s="46">
        <f>IF(_calc!$E$322="","",IF(_calc!$E$322&lt;=500,IF(LEN(INDEX('Our policies'!$G$4:$G$503,_calc!$E$322))=0,"",INDEX('Our policies'!$G$4:$G$503,_calc!$E$322)),""))</f>
        <v/>
      </c>
      <c r="I320" s="46">
        <f>IF(_calc!$E$322="","",IF(_calc!$E$322&lt;=500,IF(LEN(INDEX('Our policies'!$H$4:$H$503,_calc!$E$322))=0,"",INDEX('Our policies'!$H$4:$H$503,_calc!$E$322)),""))</f>
        <v/>
      </c>
      <c r="K320" s="46">
        <f>IF(_calc!$E$322="","",IF(_calc!$E$322&lt;=500,IF(LEN(INDEX('Our policies'!$P$4:$P$503,_calc!$E$322))=0,"",INDEX('Our policies'!$P$4:$P$503,_calc!$E$322)),IF(LEN(INDEX('Vendor COIs'!$N$4:$N$503,(_calc!$E$322-500)))=0,"",INDEX('Vendor COIs'!$N$4:$N$503,(_calc!$E$322-500)))))</f>
        <v/>
      </c>
    </row>
    <row r="321">
      <c r="A321" s="46">
        <f>IF(_calc!$E$323="","",IF(_calc!$E$323&lt;=500,IF(LEN(INDEX('Our policies'!$A$4:$A$503,_calc!$E$323))=0,"",INDEX('Our policies'!$A$4:$A$503,_calc!$E$323)),"COI – "&amp;IF(LEN(INDEX('Vendor COIs'!$A$4:$A$503,(_calc!$E$323-500)))=0,"",INDEX('Vendor COIs'!$A$4:$A$503,(_calc!$E$323-500)))&amp;" – "&amp;IF(LEN(INDEX('Vendor COIs'!$B$4:$B$503,(_calc!$E$323-500)))=0,"",INDEX('Vendor COIs'!$B$4:$B$503,(_calc!$E$323-500)))))</f>
        <v/>
      </c>
      <c r="B321" s="46">
        <f>IF(_calc!$E$323="","",IF(_calc!$E$323&lt;=500,IF(ISNUMBER(INDEX('Our policies'!$J$4:$J$503,_calc!$E$323)),TEXT(INDEX('Our policies'!$J$4:$J$503,_calc!$E$323),"yyyy-mm-dd"),""),IF(ISNUMBER(INDEX('Vendor COIs'!$H$4:$H$503,(_calc!$E$323-500))),TEXT(INDEX('Vendor COIs'!$H$4:$H$503,(_calc!$E$323-500)),"yyyy-mm-dd"),"")))</f>
        <v/>
      </c>
      <c r="C321" s="46">
        <f>IF(_calc!$E$323="","",IF(_calc!$E$323&lt;=500,"Insurance","Certificate of insurance"))</f>
        <v/>
      </c>
      <c r="D321" s="46">
        <f>IF(_calc!$E$323="","",IF(_calc!$E$323&lt;=500,IF(ISNUMBER(INDEX('Our policies'!$I$4:$I$503,_calc!$E$323)),TEXT(INDEX('Our policies'!$I$4:$I$503,_calc!$E$323),"yyyy-mm-dd"),""),""))</f>
        <v/>
      </c>
      <c r="E321" s="46">
        <f>IF(_calc!$E$323="","",IF(_calc!$E$323&lt;=500,IF(LEN(INDEX('Our policies'!$Q$4:$Q$503,_calc!$E$323))=0,"",INDEX('Our policies'!$Q$4:$Q$503,_calc!$E$323)),"Medium"))</f>
        <v/>
      </c>
      <c r="F321" s="46">
        <f>IF(_calc!$E$323="","",IF(_calc!$E$323&lt;=500,TRIM(IF(LEN(IF(LEN(INDEX('Our policies'!$B$4:$B$503,_calc!$E$323))=0,"",INDEX('Our policies'!$B$4:$B$503,_calc!$E$323)))=0,"","Cover: "&amp;IF(LEN(INDEX('Our policies'!$B$4:$B$503,_calc!$E$323))=0,"",INDEX('Our policies'!$B$4:$B$503,_calc!$E$323))&amp;". ")&amp;IF(LEN(IF(LEN(INDEX('Our policies'!$C$4:$C$503,_calc!$E$323))=0,"",INDEX('Our policies'!$C$4:$C$503,_calc!$E$323)))=0,"","Insurer: "&amp;IF(LEN(INDEX('Our policies'!$C$4:$C$503,_calc!$E$323))=0,"",INDEX('Our policies'!$C$4:$C$503,_calc!$E$323))&amp;". ")&amp;IF(LEN(IF(LEN(INDEX('Our policies'!$D$4:$D$503,_calc!$E$323))=0,"",INDEX('Our policies'!$D$4:$D$503,_calc!$E$323)))=0,"","Broker: "&amp;IF(LEN(INDEX('Our policies'!$D$4:$D$503,_calc!$E$323))=0,"",INDEX('Our policies'!$D$4:$D$503,_calc!$E$323))&amp;". ")&amp;IF(LEN(IF(LEN(INDEX('Our policies'!$E$4:$E$503,_calc!$E$323))=0,"",INDEX('Our policies'!$E$4:$E$503,_calc!$E$323)))=0,"","Policy no.: "&amp;IF(LEN(INDEX('Our policies'!$E$4:$E$503,_calc!$E$323))=0,"",INDEX('Our policies'!$E$4:$E$503,_calc!$E$323))&amp;". ")&amp;IF(LEN(IF(LEN(INDEX('Our policies'!$S$4:$S$503,_calc!$E$323))=0,"",INDEX('Our policies'!$S$4:$S$503,_calc!$E$323)))=0,"",IF(LEN(INDEX('Our policies'!$S$4:$S$503,_calc!$E$323))=0,"",INDEX('Our policies'!$S$4:$S$503,_calc!$E$323)))),TRIM(IF(LEN(IF(LEN(INDEX('Vendor COIs'!$C$4:$C$503,(_calc!$E$323-500)))=0,"",INDEX('Vendor COIs'!$C$4:$C$503,(_calc!$E$323-500))))=0,"","Insurer: "&amp;IF(LEN(INDEX('Vendor COIs'!$C$4:$C$503,(_calc!$E$323-500)))=0,"",INDEX('Vendor COIs'!$C$4:$C$503,(_calc!$E$323-500)))&amp;". ")&amp;IF(LEN(IF(LEN(INDEX('Vendor COIs'!$D$4:$D$503,(_calc!$E$323-500)))=0,"",INDEX('Vendor COIs'!$D$4:$D$503,(_calc!$E$323-500))))=0,"","Policy no.: "&amp;IF(LEN(INDEX('Vendor COIs'!$D$4:$D$503,(_calc!$E$323-500)))=0,"",INDEX('Vendor COIs'!$D$4:$D$503,(_calc!$E$323-500)))&amp;". ")&amp;IF(LEN(IF(LEN(INDEX('Vendor COIs'!$F$4:$F$503,(_calc!$E$323-500)))=0,"",INDEX('Vendor COIs'!$F$4:$F$503,(_calc!$E$323-500))))=0,"","Meets minimum: "&amp;IF(LEN(INDEX('Vendor COIs'!$F$4:$F$503,(_calc!$E$323-500)))=0,"",INDEX('Vendor COIs'!$F$4:$F$503,(_calc!$E$323-500)))&amp;". ")&amp;IF(LEN(IF(LEN(INDEX('Vendor COIs'!$G$4:$G$503,(_calc!$E$323-500)))=0,"",INDEX('Vendor COIs'!$G$4:$G$503,(_calc!$E$323-500))))=0,"","Additional insured: "&amp;IF(LEN(INDEX('Vendor COIs'!$G$4:$G$503,(_calc!$E$323-500)))=0,"",INDEX('Vendor COIs'!$G$4:$G$503,(_calc!$E$323-500)))&amp;". ")&amp;IF(LEN(IF(LEN(INDEX('Vendor COIs'!$M$4:$M$503,(_calc!$E$323-500)))=0,"",INDEX('Vendor COIs'!$M$4:$M$503,(_calc!$E$323-500))))=0,"","Vendor contact: "&amp;IF(LEN(INDEX('Vendor COIs'!$M$4:$M$503,(_calc!$E$323-500)))=0,"",INDEX('Vendor COIs'!$M$4:$M$503,(_calc!$E$323-500)))&amp;". ")&amp;IF(LEN(IF(LEN(INDEX('Vendor COIs'!$P$4:$P$503,(_calc!$E$323-500)))=0,"",INDEX('Vendor COIs'!$P$4:$P$503,(_calc!$E$323-500))))=0,"",IF(LEN(INDEX('Vendor COIs'!$P$4:$P$503,(_calc!$E$323-500)))=0,"",INDEX('Vendor COIs'!$P$4:$P$503,(_calc!$E$323-500)))))))</f>
        <v/>
      </c>
      <c r="G321" s="46">
        <f>IF(_calc!$E$323="","",IF(_calc!$E$323&lt;=500,IF(LEN(INDEX('Our policies'!$R$4:$R$503,_calc!$E$323))=0,"",INDEX('Our policies'!$R$4:$R$503,_calc!$E$323)),IF(LEN(INDEX('Vendor COIs'!$O$4:$O$503,(_calc!$E$323-500)))=0,"",INDEX('Vendor COIs'!$O$4:$O$503,(_calc!$E$323-500)))))</f>
        <v/>
      </c>
      <c r="H321" s="46">
        <f>IF(_calc!$E$323="","",IF(_calc!$E$323&lt;=500,IF(LEN(INDEX('Our policies'!$G$4:$G$503,_calc!$E$323))=0,"",INDEX('Our policies'!$G$4:$G$503,_calc!$E$323)),""))</f>
        <v/>
      </c>
      <c r="I321" s="46">
        <f>IF(_calc!$E$323="","",IF(_calc!$E$323&lt;=500,IF(LEN(INDEX('Our policies'!$H$4:$H$503,_calc!$E$323))=0,"",INDEX('Our policies'!$H$4:$H$503,_calc!$E$323)),""))</f>
        <v/>
      </c>
      <c r="K321" s="46">
        <f>IF(_calc!$E$323="","",IF(_calc!$E$323&lt;=500,IF(LEN(INDEX('Our policies'!$P$4:$P$503,_calc!$E$323))=0,"",INDEX('Our policies'!$P$4:$P$503,_calc!$E$323)),IF(LEN(INDEX('Vendor COIs'!$N$4:$N$503,(_calc!$E$323-500)))=0,"",INDEX('Vendor COIs'!$N$4:$N$503,(_calc!$E$323-500)))))</f>
        <v/>
      </c>
    </row>
    <row r="322">
      <c r="A322" s="46">
        <f>IF(_calc!$E$324="","",IF(_calc!$E$324&lt;=500,IF(LEN(INDEX('Our policies'!$A$4:$A$503,_calc!$E$324))=0,"",INDEX('Our policies'!$A$4:$A$503,_calc!$E$324)),"COI – "&amp;IF(LEN(INDEX('Vendor COIs'!$A$4:$A$503,(_calc!$E$324-500)))=0,"",INDEX('Vendor COIs'!$A$4:$A$503,(_calc!$E$324-500)))&amp;" – "&amp;IF(LEN(INDEX('Vendor COIs'!$B$4:$B$503,(_calc!$E$324-500)))=0,"",INDEX('Vendor COIs'!$B$4:$B$503,(_calc!$E$324-500)))))</f>
        <v/>
      </c>
      <c r="B322" s="46">
        <f>IF(_calc!$E$324="","",IF(_calc!$E$324&lt;=500,IF(ISNUMBER(INDEX('Our policies'!$J$4:$J$503,_calc!$E$324)),TEXT(INDEX('Our policies'!$J$4:$J$503,_calc!$E$324),"yyyy-mm-dd"),""),IF(ISNUMBER(INDEX('Vendor COIs'!$H$4:$H$503,(_calc!$E$324-500))),TEXT(INDEX('Vendor COIs'!$H$4:$H$503,(_calc!$E$324-500)),"yyyy-mm-dd"),"")))</f>
        <v/>
      </c>
      <c r="C322" s="46">
        <f>IF(_calc!$E$324="","",IF(_calc!$E$324&lt;=500,"Insurance","Certificate of insurance"))</f>
        <v/>
      </c>
      <c r="D322" s="46">
        <f>IF(_calc!$E$324="","",IF(_calc!$E$324&lt;=500,IF(ISNUMBER(INDEX('Our policies'!$I$4:$I$503,_calc!$E$324)),TEXT(INDEX('Our policies'!$I$4:$I$503,_calc!$E$324),"yyyy-mm-dd"),""),""))</f>
        <v/>
      </c>
      <c r="E322" s="46">
        <f>IF(_calc!$E$324="","",IF(_calc!$E$324&lt;=500,IF(LEN(INDEX('Our policies'!$Q$4:$Q$503,_calc!$E$324))=0,"",INDEX('Our policies'!$Q$4:$Q$503,_calc!$E$324)),"Medium"))</f>
        <v/>
      </c>
      <c r="F322" s="46">
        <f>IF(_calc!$E$324="","",IF(_calc!$E$324&lt;=500,TRIM(IF(LEN(IF(LEN(INDEX('Our policies'!$B$4:$B$503,_calc!$E$324))=0,"",INDEX('Our policies'!$B$4:$B$503,_calc!$E$324)))=0,"","Cover: "&amp;IF(LEN(INDEX('Our policies'!$B$4:$B$503,_calc!$E$324))=0,"",INDEX('Our policies'!$B$4:$B$503,_calc!$E$324))&amp;". ")&amp;IF(LEN(IF(LEN(INDEX('Our policies'!$C$4:$C$503,_calc!$E$324))=0,"",INDEX('Our policies'!$C$4:$C$503,_calc!$E$324)))=0,"","Insurer: "&amp;IF(LEN(INDEX('Our policies'!$C$4:$C$503,_calc!$E$324))=0,"",INDEX('Our policies'!$C$4:$C$503,_calc!$E$324))&amp;". ")&amp;IF(LEN(IF(LEN(INDEX('Our policies'!$D$4:$D$503,_calc!$E$324))=0,"",INDEX('Our policies'!$D$4:$D$503,_calc!$E$324)))=0,"","Broker: "&amp;IF(LEN(INDEX('Our policies'!$D$4:$D$503,_calc!$E$324))=0,"",INDEX('Our policies'!$D$4:$D$503,_calc!$E$324))&amp;". ")&amp;IF(LEN(IF(LEN(INDEX('Our policies'!$E$4:$E$503,_calc!$E$324))=0,"",INDEX('Our policies'!$E$4:$E$503,_calc!$E$324)))=0,"","Policy no.: "&amp;IF(LEN(INDEX('Our policies'!$E$4:$E$503,_calc!$E$324))=0,"",INDEX('Our policies'!$E$4:$E$503,_calc!$E$324))&amp;". ")&amp;IF(LEN(IF(LEN(INDEX('Our policies'!$S$4:$S$503,_calc!$E$324))=0,"",INDEX('Our policies'!$S$4:$S$503,_calc!$E$324)))=0,"",IF(LEN(INDEX('Our policies'!$S$4:$S$503,_calc!$E$324))=0,"",INDEX('Our policies'!$S$4:$S$503,_calc!$E$324)))),TRIM(IF(LEN(IF(LEN(INDEX('Vendor COIs'!$C$4:$C$503,(_calc!$E$324-500)))=0,"",INDEX('Vendor COIs'!$C$4:$C$503,(_calc!$E$324-500))))=0,"","Insurer: "&amp;IF(LEN(INDEX('Vendor COIs'!$C$4:$C$503,(_calc!$E$324-500)))=0,"",INDEX('Vendor COIs'!$C$4:$C$503,(_calc!$E$324-500)))&amp;". ")&amp;IF(LEN(IF(LEN(INDEX('Vendor COIs'!$D$4:$D$503,(_calc!$E$324-500)))=0,"",INDEX('Vendor COIs'!$D$4:$D$503,(_calc!$E$324-500))))=0,"","Policy no.: "&amp;IF(LEN(INDEX('Vendor COIs'!$D$4:$D$503,(_calc!$E$324-500)))=0,"",INDEX('Vendor COIs'!$D$4:$D$503,(_calc!$E$324-500)))&amp;". ")&amp;IF(LEN(IF(LEN(INDEX('Vendor COIs'!$F$4:$F$503,(_calc!$E$324-500)))=0,"",INDEX('Vendor COIs'!$F$4:$F$503,(_calc!$E$324-500))))=0,"","Meets minimum: "&amp;IF(LEN(INDEX('Vendor COIs'!$F$4:$F$503,(_calc!$E$324-500)))=0,"",INDEX('Vendor COIs'!$F$4:$F$503,(_calc!$E$324-500)))&amp;". ")&amp;IF(LEN(IF(LEN(INDEX('Vendor COIs'!$G$4:$G$503,(_calc!$E$324-500)))=0,"",INDEX('Vendor COIs'!$G$4:$G$503,(_calc!$E$324-500))))=0,"","Additional insured: "&amp;IF(LEN(INDEX('Vendor COIs'!$G$4:$G$503,(_calc!$E$324-500)))=0,"",INDEX('Vendor COIs'!$G$4:$G$503,(_calc!$E$324-500)))&amp;". ")&amp;IF(LEN(IF(LEN(INDEX('Vendor COIs'!$M$4:$M$503,(_calc!$E$324-500)))=0,"",INDEX('Vendor COIs'!$M$4:$M$503,(_calc!$E$324-500))))=0,"","Vendor contact: "&amp;IF(LEN(INDEX('Vendor COIs'!$M$4:$M$503,(_calc!$E$324-500)))=0,"",INDEX('Vendor COIs'!$M$4:$M$503,(_calc!$E$324-500)))&amp;". ")&amp;IF(LEN(IF(LEN(INDEX('Vendor COIs'!$P$4:$P$503,(_calc!$E$324-500)))=0,"",INDEX('Vendor COIs'!$P$4:$P$503,(_calc!$E$324-500))))=0,"",IF(LEN(INDEX('Vendor COIs'!$P$4:$P$503,(_calc!$E$324-500)))=0,"",INDEX('Vendor COIs'!$P$4:$P$503,(_calc!$E$324-500)))))))</f>
        <v/>
      </c>
      <c r="G322" s="46">
        <f>IF(_calc!$E$324="","",IF(_calc!$E$324&lt;=500,IF(LEN(INDEX('Our policies'!$R$4:$R$503,_calc!$E$324))=0,"",INDEX('Our policies'!$R$4:$R$503,_calc!$E$324)),IF(LEN(INDEX('Vendor COIs'!$O$4:$O$503,(_calc!$E$324-500)))=0,"",INDEX('Vendor COIs'!$O$4:$O$503,(_calc!$E$324-500)))))</f>
        <v/>
      </c>
      <c r="H322" s="46">
        <f>IF(_calc!$E$324="","",IF(_calc!$E$324&lt;=500,IF(LEN(INDEX('Our policies'!$G$4:$G$503,_calc!$E$324))=0,"",INDEX('Our policies'!$G$4:$G$503,_calc!$E$324)),""))</f>
        <v/>
      </c>
      <c r="I322" s="46">
        <f>IF(_calc!$E$324="","",IF(_calc!$E$324&lt;=500,IF(LEN(INDEX('Our policies'!$H$4:$H$503,_calc!$E$324))=0,"",INDEX('Our policies'!$H$4:$H$503,_calc!$E$324)),""))</f>
        <v/>
      </c>
      <c r="K322" s="46">
        <f>IF(_calc!$E$324="","",IF(_calc!$E$324&lt;=500,IF(LEN(INDEX('Our policies'!$P$4:$P$503,_calc!$E$324))=0,"",INDEX('Our policies'!$P$4:$P$503,_calc!$E$324)),IF(LEN(INDEX('Vendor COIs'!$N$4:$N$503,(_calc!$E$324-500)))=0,"",INDEX('Vendor COIs'!$N$4:$N$503,(_calc!$E$324-500)))))</f>
        <v/>
      </c>
    </row>
    <row r="323">
      <c r="A323" s="46">
        <f>IF(_calc!$E$325="","",IF(_calc!$E$325&lt;=500,IF(LEN(INDEX('Our policies'!$A$4:$A$503,_calc!$E$325))=0,"",INDEX('Our policies'!$A$4:$A$503,_calc!$E$325)),"COI – "&amp;IF(LEN(INDEX('Vendor COIs'!$A$4:$A$503,(_calc!$E$325-500)))=0,"",INDEX('Vendor COIs'!$A$4:$A$503,(_calc!$E$325-500)))&amp;" – "&amp;IF(LEN(INDEX('Vendor COIs'!$B$4:$B$503,(_calc!$E$325-500)))=0,"",INDEX('Vendor COIs'!$B$4:$B$503,(_calc!$E$325-500)))))</f>
        <v/>
      </c>
      <c r="B323" s="46">
        <f>IF(_calc!$E$325="","",IF(_calc!$E$325&lt;=500,IF(ISNUMBER(INDEX('Our policies'!$J$4:$J$503,_calc!$E$325)),TEXT(INDEX('Our policies'!$J$4:$J$503,_calc!$E$325),"yyyy-mm-dd"),""),IF(ISNUMBER(INDEX('Vendor COIs'!$H$4:$H$503,(_calc!$E$325-500))),TEXT(INDEX('Vendor COIs'!$H$4:$H$503,(_calc!$E$325-500)),"yyyy-mm-dd"),"")))</f>
        <v/>
      </c>
      <c r="C323" s="46">
        <f>IF(_calc!$E$325="","",IF(_calc!$E$325&lt;=500,"Insurance","Certificate of insurance"))</f>
        <v/>
      </c>
      <c r="D323" s="46">
        <f>IF(_calc!$E$325="","",IF(_calc!$E$325&lt;=500,IF(ISNUMBER(INDEX('Our policies'!$I$4:$I$503,_calc!$E$325)),TEXT(INDEX('Our policies'!$I$4:$I$503,_calc!$E$325),"yyyy-mm-dd"),""),""))</f>
        <v/>
      </c>
      <c r="E323" s="46">
        <f>IF(_calc!$E$325="","",IF(_calc!$E$325&lt;=500,IF(LEN(INDEX('Our policies'!$Q$4:$Q$503,_calc!$E$325))=0,"",INDEX('Our policies'!$Q$4:$Q$503,_calc!$E$325)),"Medium"))</f>
        <v/>
      </c>
      <c r="F323" s="46">
        <f>IF(_calc!$E$325="","",IF(_calc!$E$325&lt;=500,TRIM(IF(LEN(IF(LEN(INDEX('Our policies'!$B$4:$B$503,_calc!$E$325))=0,"",INDEX('Our policies'!$B$4:$B$503,_calc!$E$325)))=0,"","Cover: "&amp;IF(LEN(INDEX('Our policies'!$B$4:$B$503,_calc!$E$325))=0,"",INDEX('Our policies'!$B$4:$B$503,_calc!$E$325))&amp;". ")&amp;IF(LEN(IF(LEN(INDEX('Our policies'!$C$4:$C$503,_calc!$E$325))=0,"",INDEX('Our policies'!$C$4:$C$503,_calc!$E$325)))=0,"","Insurer: "&amp;IF(LEN(INDEX('Our policies'!$C$4:$C$503,_calc!$E$325))=0,"",INDEX('Our policies'!$C$4:$C$503,_calc!$E$325))&amp;". ")&amp;IF(LEN(IF(LEN(INDEX('Our policies'!$D$4:$D$503,_calc!$E$325))=0,"",INDEX('Our policies'!$D$4:$D$503,_calc!$E$325)))=0,"","Broker: "&amp;IF(LEN(INDEX('Our policies'!$D$4:$D$503,_calc!$E$325))=0,"",INDEX('Our policies'!$D$4:$D$503,_calc!$E$325))&amp;". ")&amp;IF(LEN(IF(LEN(INDEX('Our policies'!$E$4:$E$503,_calc!$E$325))=0,"",INDEX('Our policies'!$E$4:$E$503,_calc!$E$325)))=0,"","Policy no.: "&amp;IF(LEN(INDEX('Our policies'!$E$4:$E$503,_calc!$E$325))=0,"",INDEX('Our policies'!$E$4:$E$503,_calc!$E$325))&amp;". ")&amp;IF(LEN(IF(LEN(INDEX('Our policies'!$S$4:$S$503,_calc!$E$325))=0,"",INDEX('Our policies'!$S$4:$S$503,_calc!$E$325)))=0,"",IF(LEN(INDEX('Our policies'!$S$4:$S$503,_calc!$E$325))=0,"",INDEX('Our policies'!$S$4:$S$503,_calc!$E$325)))),TRIM(IF(LEN(IF(LEN(INDEX('Vendor COIs'!$C$4:$C$503,(_calc!$E$325-500)))=0,"",INDEX('Vendor COIs'!$C$4:$C$503,(_calc!$E$325-500))))=0,"","Insurer: "&amp;IF(LEN(INDEX('Vendor COIs'!$C$4:$C$503,(_calc!$E$325-500)))=0,"",INDEX('Vendor COIs'!$C$4:$C$503,(_calc!$E$325-500)))&amp;". ")&amp;IF(LEN(IF(LEN(INDEX('Vendor COIs'!$D$4:$D$503,(_calc!$E$325-500)))=0,"",INDEX('Vendor COIs'!$D$4:$D$503,(_calc!$E$325-500))))=0,"","Policy no.: "&amp;IF(LEN(INDEX('Vendor COIs'!$D$4:$D$503,(_calc!$E$325-500)))=0,"",INDEX('Vendor COIs'!$D$4:$D$503,(_calc!$E$325-500)))&amp;". ")&amp;IF(LEN(IF(LEN(INDEX('Vendor COIs'!$F$4:$F$503,(_calc!$E$325-500)))=0,"",INDEX('Vendor COIs'!$F$4:$F$503,(_calc!$E$325-500))))=0,"","Meets minimum: "&amp;IF(LEN(INDEX('Vendor COIs'!$F$4:$F$503,(_calc!$E$325-500)))=0,"",INDEX('Vendor COIs'!$F$4:$F$503,(_calc!$E$325-500)))&amp;". ")&amp;IF(LEN(IF(LEN(INDEX('Vendor COIs'!$G$4:$G$503,(_calc!$E$325-500)))=0,"",INDEX('Vendor COIs'!$G$4:$G$503,(_calc!$E$325-500))))=0,"","Additional insured: "&amp;IF(LEN(INDEX('Vendor COIs'!$G$4:$G$503,(_calc!$E$325-500)))=0,"",INDEX('Vendor COIs'!$G$4:$G$503,(_calc!$E$325-500)))&amp;". ")&amp;IF(LEN(IF(LEN(INDEX('Vendor COIs'!$M$4:$M$503,(_calc!$E$325-500)))=0,"",INDEX('Vendor COIs'!$M$4:$M$503,(_calc!$E$325-500))))=0,"","Vendor contact: "&amp;IF(LEN(INDEX('Vendor COIs'!$M$4:$M$503,(_calc!$E$325-500)))=0,"",INDEX('Vendor COIs'!$M$4:$M$503,(_calc!$E$325-500)))&amp;". ")&amp;IF(LEN(IF(LEN(INDEX('Vendor COIs'!$P$4:$P$503,(_calc!$E$325-500)))=0,"",INDEX('Vendor COIs'!$P$4:$P$503,(_calc!$E$325-500))))=0,"",IF(LEN(INDEX('Vendor COIs'!$P$4:$P$503,(_calc!$E$325-500)))=0,"",INDEX('Vendor COIs'!$P$4:$P$503,(_calc!$E$325-500)))))))</f>
        <v/>
      </c>
      <c r="G323" s="46">
        <f>IF(_calc!$E$325="","",IF(_calc!$E$325&lt;=500,IF(LEN(INDEX('Our policies'!$R$4:$R$503,_calc!$E$325))=0,"",INDEX('Our policies'!$R$4:$R$503,_calc!$E$325)),IF(LEN(INDEX('Vendor COIs'!$O$4:$O$503,(_calc!$E$325-500)))=0,"",INDEX('Vendor COIs'!$O$4:$O$503,(_calc!$E$325-500)))))</f>
        <v/>
      </c>
      <c r="H323" s="46">
        <f>IF(_calc!$E$325="","",IF(_calc!$E$325&lt;=500,IF(LEN(INDEX('Our policies'!$G$4:$G$503,_calc!$E$325))=0,"",INDEX('Our policies'!$G$4:$G$503,_calc!$E$325)),""))</f>
        <v/>
      </c>
      <c r="I323" s="46">
        <f>IF(_calc!$E$325="","",IF(_calc!$E$325&lt;=500,IF(LEN(INDEX('Our policies'!$H$4:$H$503,_calc!$E$325))=0,"",INDEX('Our policies'!$H$4:$H$503,_calc!$E$325)),""))</f>
        <v/>
      </c>
      <c r="K323" s="46">
        <f>IF(_calc!$E$325="","",IF(_calc!$E$325&lt;=500,IF(LEN(INDEX('Our policies'!$P$4:$P$503,_calc!$E$325))=0,"",INDEX('Our policies'!$P$4:$P$503,_calc!$E$325)),IF(LEN(INDEX('Vendor COIs'!$N$4:$N$503,(_calc!$E$325-500)))=0,"",INDEX('Vendor COIs'!$N$4:$N$503,(_calc!$E$325-500)))))</f>
        <v/>
      </c>
    </row>
    <row r="324">
      <c r="A324" s="46">
        <f>IF(_calc!$E$326="","",IF(_calc!$E$326&lt;=500,IF(LEN(INDEX('Our policies'!$A$4:$A$503,_calc!$E$326))=0,"",INDEX('Our policies'!$A$4:$A$503,_calc!$E$326)),"COI – "&amp;IF(LEN(INDEX('Vendor COIs'!$A$4:$A$503,(_calc!$E$326-500)))=0,"",INDEX('Vendor COIs'!$A$4:$A$503,(_calc!$E$326-500)))&amp;" – "&amp;IF(LEN(INDEX('Vendor COIs'!$B$4:$B$503,(_calc!$E$326-500)))=0,"",INDEX('Vendor COIs'!$B$4:$B$503,(_calc!$E$326-500)))))</f>
        <v/>
      </c>
      <c r="B324" s="46">
        <f>IF(_calc!$E$326="","",IF(_calc!$E$326&lt;=500,IF(ISNUMBER(INDEX('Our policies'!$J$4:$J$503,_calc!$E$326)),TEXT(INDEX('Our policies'!$J$4:$J$503,_calc!$E$326),"yyyy-mm-dd"),""),IF(ISNUMBER(INDEX('Vendor COIs'!$H$4:$H$503,(_calc!$E$326-500))),TEXT(INDEX('Vendor COIs'!$H$4:$H$503,(_calc!$E$326-500)),"yyyy-mm-dd"),"")))</f>
        <v/>
      </c>
      <c r="C324" s="46">
        <f>IF(_calc!$E$326="","",IF(_calc!$E$326&lt;=500,"Insurance","Certificate of insurance"))</f>
        <v/>
      </c>
      <c r="D324" s="46">
        <f>IF(_calc!$E$326="","",IF(_calc!$E$326&lt;=500,IF(ISNUMBER(INDEX('Our policies'!$I$4:$I$503,_calc!$E$326)),TEXT(INDEX('Our policies'!$I$4:$I$503,_calc!$E$326),"yyyy-mm-dd"),""),""))</f>
        <v/>
      </c>
      <c r="E324" s="46">
        <f>IF(_calc!$E$326="","",IF(_calc!$E$326&lt;=500,IF(LEN(INDEX('Our policies'!$Q$4:$Q$503,_calc!$E$326))=0,"",INDEX('Our policies'!$Q$4:$Q$503,_calc!$E$326)),"Medium"))</f>
        <v/>
      </c>
      <c r="F324" s="46">
        <f>IF(_calc!$E$326="","",IF(_calc!$E$326&lt;=500,TRIM(IF(LEN(IF(LEN(INDEX('Our policies'!$B$4:$B$503,_calc!$E$326))=0,"",INDEX('Our policies'!$B$4:$B$503,_calc!$E$326)))=0,"","Cover: "&amp;IF(LEN(INDEX('Our policies'!$B$4:$B$503,_calc!$E$326))=0,"",INDEX('Our policies'!$B$4:$B$503,_calc!$E$326))&amp;". ")&amp;IF(LEN(IF(LEN(INDEX('Our policies'!$C$4:$C$503,_calc!$E$326))=0,"",INDEX('Our policies'!$C$4:$C$503,_calc!$E$326)))=0,"","Insurer: "&amp;IF(LEN(INDEX('Our policies'!$C$4:$C$503,_calc!$E$326))=0,"",INDEX('Our policies'!$C$4:$C$503,_calc!$E$326))&amp;". ")&amp;IF(LEN(IF(LEN(INDEX('Our policies'!$D$4:$D$503,_calc!$E$326))=0,"",INDEX('Our policies'!$D$4:$D$503,_calc!$E$326)))=0,"","Broker: "&amp;IF(LEN(INDEX('Our policies'!$D$4:$D$503,_calc!$E$326))=0,"",INDEX('Our policies'!$D$4:$D$503,_calc!$E$326))&amp;". ")&amp;IF(LEN(IF(LEN(INDEX('Our policies'!$E$4:$E$503,_calc!$E$326))=0,"",INDEX('Our policies'!$E$4:$E$503,_calc!$E$326)))=0,"","Policy no.: "&amp;IF(LEN(INDEX('Our policies'!$E$4:$E$503,_calc!$E$326))=0,"",INDEX('Our policies'!$E$4:$E$503,_calc!$E$326))&amp;". ")&amp;IF(LEN(IF(LEN(INDEX('Our policies'!$S$4:$S$503,_calc!$E$326))=0,"",INDEX('Our policies'!$S$4:$S$503,_calc!$E$326)))=0,"",IF(LEN(INDEX('Our policies'!$S$4:$S$503,_calc!$E$326))=0,"",INDEX('Our policies'!$S$4:$S$503,_calc!$E$326)))),TRIM(IF(LEN(IF(LEN(INDEX('Vendor COIs'!$C$4:$C$503,(_calc!$E$326-500)))=0,"",INDEX('Vendor COIs'!$C$4:$C$503,(_calc!$E$326-500))))=0,"","Insurer: "&amp;IF(LEN(INDEX('Vendor COIs'!$C$4:$C$503,(_calc!$E$326-500)))=0,"",INDEX('Vendor COIs'!$C$4:$C$503,(_calc!$E$326-500)))&amp;". ")&amp;IF(LEN(IF(LEN(INDEX('Vendor COIs'!$D$4:$D$503,(_calc!$E$326-500)))=0,"",INDEX('Vendor COIs'!$D$4:$D$503,(_calc!$E$326-500))))=0,"","Policy no.: "&amp;IF(LEN(INDEX('Vendor COIs'!$D$4:$D$503,(_calc!$E$326-500)))=0,"",INDEX('Vendor COIs'!$D$4:$D$503,(_calc!$E$326-500)))&amp;". ")&amp;IF(LEN(IF(LEN(INDEX('Vendor COIs'!$F$4:$F$503,(_calc!$E$326-500)))=0,"",INDEX('Vendor COIs'!$F$4:$F$503,(_calc!$E$326-500))))=0,"","Meets minimum: "&amp;IF(LEN(INDEX('Vendor COIs'!$F$4:$F$503,(_calc!$E$326-500)))=0,"",INDEX('Vendor COIs'!$F$4:$F$503,(_calc!$E$326-500)))&amp;". ")&amp;IF(LEN(IF(LEN(INDEX('Vendor COIs'!$G$4:$G$503,(_calc!$E$326-500)))=0,"",INDEX('Vendor COIs'!$G$4:$G$503,(_calc!$E$326-500))))=0,"","Additional insured: "&amp;IF(LEN(INDEX('Vendor COIs'!$G$4:$G$503,(_calc!$E$326-500)))=0,"",INDEX('Vendor COIs'!$G$4:$G$503,(_calc!$E$326-500)))&amp;". ")&amp;IF(LEN(IF(LEN(INDEX('Vendor COIs'!$M$4:$M$503,(_calc!$E$326-500)))=0,"",INDEX('Vendor COIs'!$M$4:$M$503,(_calc!$E$326-500))))=0,"","Vendor contact: "&amp;IF(LEN(INDEX('Vendor COIs'!$M$4:$M$503,(_calc!$E$326-500)))=0,"",INDEX('Vendor COIs'!$M$4:$M$503,(_calc!$E$326-500)))&amp;". ")&amp;IF(LEN(IF(LEN(INDEX('Vendor COIs'!$P$4:$P$503,(_calc!$E$326-500)))=0,"",INDEX('Vendor COIs'!$P$4:$P$503,(_calc!$E$326-500))))=0,"",IF(LEN(INDEX('Vendor COIs'!$P$4:$P$503,(_calc!$E$326-500)))=0,"",INDEX('Vendor COIs'!$P$4:$P$503,(_calc!$E$326-500)))))))</f>
        <v/>
      </c>
      <c r="G324" s="46">
        <f>IF(_calc!$E$326="","",IF(_calc!$E$326&lt;=500,IF(LEN(INDEX('Our policies'!$R$4:$R$503,_calc!$E$326))=0,"",INDEX('Our policies'!$R$4:$R$503,_calc!$E$326)),IF(LEN(INDEX('Vendor COIs'!$O$4:$O$503,(_calc!$E$326-500)))=0,"",INDEX('Vendor COIs'!$O$4:$O$503,(_calc!$E$326-500)))))</f>
        <v/>
      </c>
      <c r="H324" s="46">
        <f>IF(_calc!$E$326="","",IF(_calc!$E$326&lt;=500,IF(LEN(INDEX('Our policies'!$G$4:$G$503,_calc!$E$326))=0,"",INDEX('Our policies'!$G$4:$G$503,_calc!$E$326)),""))</f>
        <v/>
      </c>
      <c r="I324" s="46">
        <f>IF(_calc!$E$326="","",IF(_calc!$E$326&lt;=500,IF(LEN(INDEX('Our policies'!$H$4:$H$503,_calc!$E$326))=0,"",INDEX('Our policies'!$H$4:$H$503,_calc!$E$326)),""))</f>
        <v/>
      </c>
      <c r="K324" s="46">
        <f>IF(_calc!$E$326="","",IF(_calc!$E$326&lt;=500,IF(LEN(INDEX('Our policies'!$P$4:$P$503,_calc!$E$326))=0,"",INDEX('Our policies'!$P$4:$P$503,_calc!$E$326)),IF(LEN(INDEX('Vendor COIs'!$N$4:$N$503,(_calc!$E$326-500)))=0,"",INDEX('Vendor COIs'!$N$4:$N$503,(_calc!$E$326-500)))))</f>
        <v/>
      </c>
    </row>
    <row r="325">
      <c r="A325" s="46">
        <f>IF(_calc!$E$327="","",IF(_calc!$E$327&lt;=500,IF(LEN(INDEX('Our policies'!$A$4:$A$503,_calc!$E$327))=0,"",INDEX('Our policies'!$A$4:$A$503,_calc!$E$327)),"COI – "&amp;IF(LEN(INDEX('Vendor COIs'!$A$4:$A$503,(_calc!$E$327-500)))=0,"",INDEX('Vendor COIs'!$A$4:$A$503,(_calc!$E$327-500)))&amp;" – "&amp;IF(LEN(INDEX('Vendor COIs'!$B$4:$B$503,(_calc!$E$327-500)))=0,"",INDEX('Vendor COIs'!$B$4:$B$503,(_calc!$E$327-500)))))</f>
        <v/>
      </c>
      <c r="B325" s="46">
        <f>IF(_calc!$E$327="","",IF(_calc!$E$327&lt;=500,IF(ISNUMBER(INDEX('Our policies'!$J$4:$J$503,_calc!$E$327)),TEXT(INDEX('Our policies'!$J$4:$J$503,_calc!$E$327),"yyyy-mm-dd"),""),IF(ISNUMBER(INDEX('Vendor COIs'!$H$4:$H$503,(_calc!$E$327-500))),TEXT(INDEX('Vendor COIs'!$H$4:$H$503,(_calc!$E$327-500)),"yyyy-mm-dd"),"")))</f>
        <v/>
      </c>
      <c r="C325" s="46">
        <f>IF(_calc!$E$327="","",IF(_calc!$E$327&lt;=500,"Insurance","Certificate of insurance"))</f>
        <v/>
      </c>
      <c r="D325" s="46">
        <f>IF(_calc!$E$327="","",IF(_calc!$E$327&lt;=500,IF(ISNUMBER(INDEX('Our policies'!$I$4:$I$503,_calc!$E$327)),TEXT(INDEX('Our policies'!$I$4:$I$503,_calc!$E$327),"yyyy-mm-dd"),""),""))</f>
        <v/>
      </c>
      <c r="E325" s="46">
        <f>IF(_calc!$E$327="","",IF(_calc!$E$327&lt;=500,IF(LEN(INDEX('Our policies'!$Q$4:$Q$503,_calc!$E$327))=0,"",INDEX('Our policies'!$Q$4:$Q$503,_calc!$E$327)),"Medium"))</f>
        <v/>
      </c>
      <c r="F325" s="46">
        <f>IF(_calc!$E$327="","",IF(_calc!$E$327&lt;=500,TRIM(IF(LEN(IF(LEN(INDEX('Our policies'!$B$4:$B$503,_calc!$E$327))=0,"",INDEX('Our policies'!$B$4:$B$503,_calc!$E$327)))=0,"","Cover: "&amp;IF(LEN(INDEX('Our policies'!$B$4:$B$503,_calc!$E$327))=0,"",INDEX('Our policies'!$B$4:$B$503,_calc!$E$327))&amp;". ")&amp;IF(LEN(IF(LEN(INDEX('Our policies'!$C$4:$C$503,_calc!$E$327))=0,"",INDEX('Our policies'!$C$4:$C$503,_calc!$E$327)))=0,"","Insurer: "&amp;IF(LEN(INDEX('Our policies'!$C$4:$C$503,_calc!$E$327))=0,"",INDEX('Our policies'!$C$4:$C$503,_calc!$E$327))&amp;". ")&amp;IF(LEN(IF(LEN(INDEX('Our policies'!$D$4:$D$503,_calc!$E$327))=0,"",INDEX('Our policies'!$D$4:$D$503,_calc!$E$327)))=0,"","Broker: "&amp;IF(LEN(INDEX('Our policies'!$D$4:$D$503,_calc!$E$327))=0,"",INDEX('Our policies'!$D$4:$D$503,_calc!$E$327))&amp;". ")&amp;IF(LEN(IF(LEN(INDEX('Our policies'!$E$4:$E$503,_calc!$E$327))=0,"",INDEX('Our policies'!$E$4:$E$503,_calc!$E$327)))=0,"","Policy no.: "&amp;IF(LEN(INDEX('Our policies'!$E$4:$E$503,_calc!$E$327))=0,"",INDEX('Our policies'!$E$4:$E$503,_calc!$E$327))&amp;". ")&amp;IF(LEN(IF(LEN(INDEX('Our policies'!$S$4:$S$503,_calc!$E$327))=0,"",INDEX('Our policies'!$S$4:$S$503,_calc!$E$327)))=0,"",IF(LEN(INDEX('Our policies'!$S$4:$S$503,_calc!$E$327))=0,"",INDEX('Our policies'!$S$4:$S$503,_calc!$E$327)))),TRIM(IF(LEN(IF(LEN(INDEX('Vendor COIs'!$C$4:$C$503,(_calc!$E$327-500)))=0,"",INDEX('Vendor COIs'!$C$4:$C$503,(_calc!$E$327-500))))=0,"","Insurer: "&amp;IF(LEN(INDEX('Vendor COIs'!$C$4:$C$503,(_calc!$E$327-500)))=0,"",INDEX('Vendor COIs'!$C$4:$C$503,(_calc!$E$327-500)))&amp;". ")&amp;IF(LEN(IF(LEN(INDEX('Vendor COIs'!$D$4:$D$503,(_calc!$E$327-500)))=0,"",INDEX('Vendor COIs'!$D$4:$D$503,(_calc!$E$327-500))))=0,"","Policy no.: "&amp;IF(LEN(INDEX('Vendor COIs'!$D$4:$D$503,(_calc!$E$327-500)))=0,"",INDEX('Vendor COIs'!$D$4:$D$503,(_calc!$E$327-500)))&amp;". ")&amp;IF(LEN(IF(LEN(INDEX('Vendor COIs'!$F$4:$F$503,(_calc!$E$327-500)))=0,"",INDEX('Vendor COIs'!$F$4:$F$503,(_calc!$E$327-500))))=0,"","Meets minimum: "&amp;IF(LEN(INDEX('Vendor COIs'!$F$4:$F$503,(_calc!$E$327-500)))=0,"",INDEX('Vendor COIs'!$F$4:$F$503,(_calc!$E$327-500)))&amp;". ")&amp;IF(LEN(IF(LEN(INDEX('Vendor COIs'!$G$4:$G$503,(_calc!$E$327-500)))=0,"",INDEX('Vendor COIs'!$G$4:$G$503,(_calc!$E$327-500))))=0,"","Additional insured: "&amp;IF(LEN(INDEX('Vendor COIs'!$G$4:$G$503,(_calc!$E$327-500)))=0,"",INDEX('Vendor COIs'!$G$4:$G$503,(_calc!$E$327-500)))&amp;". ")&amp;IF(LEN(IF(LEN(INDEX('Vendor COIs'!$M$4:$M$503,(_calc!$E$327-500)))=0,"",INDEX('Vendor COIs'!$M$4:$M$503,(_calc!$E$327-500))))=0,"","Vendor contact: "&amp;IF(LEN(INDEX('Vendor COIs'!$M$4:$M$503,(_calc!$E$327-500)))=0,"",INDEX('Vendor COIs'!$M$4:$M$503,(_calc!$E$327-500)))&amp;". ")&amp;IF(LEN(IF(LEN(INDEX('Vendor COIs'!$P$4:$P$503,(_calc!$E$327-500)))=0,"",INDEX('Vendor COIs'!$P$4:$P$503,(_calc!$E$327-500))))=0,"",IF(LEN(INDEX('Vendor COIs'!$P$4:$P$503,(_calc!$E$327-500)))=0,"",INDEX('Vendor COIs'!$P$4:$P$503,(_calc!$E$327-500)))))))</f>
        <v/>
      </c>
      <c r="G325" s="46">
        <f>IF(_calc!$E$327="","",IF(_calc!$E$327&lt;=500,IF(LEN(INDEX('Our policies'!$R$4:$R$503,_calc!$E$327))=0,"",INDEX('Our policies'!$R$4:$R$503,_calc!$E$327)),IF(LEN(INDEX('Vendor COIs'!$O$4:$O$503,(_calc!$E$327-500)))=0,"",INDEX('Vendor COIs'!$O$4:$O$503,(_calc!$E$327-500)))))</f>
        <v/>
      </c>
      <c r="H325" s="46">
        <f>IF(_calc!$E$327="","",IF(_calc!$E$327&lt;=500,IF(LEN(INDEX('Our policies'!$G$4:$G$503,_calc!$E$327))=0,"",INDEX('Our policies'!$G$4:$G$503,_calc!$E$327)),""))</f>
        <v/>
      </c>
      <c r="I325" s="46">
        <f>IF(_calc!$E$327="","",IF(_calc!$E$327&lt;=500,IF(LEN(INDEX('Our policies'!$H$4:$H$503,_calc!$E$327))=0,"",INDEX('Our policies'!$H$4:$H$503,_calc!$E$327)),""))</f>
        <v/>
      </c>
      <c r="K325" s="46">
        <f>IF(_calc!$E$327="","",IF(_calc!$E$327&lt;=500,IF(LEN(INDEX('Our policies'!$P$4:$P$503,_calc!$E$327))=0,"",INDEX('Our policies'!$P$4:$P$503,_calc!$E$327)),IF(LEN(INDEX('Vendor COIs'!$N$4:$N$503,(_calc!$E$327-500)))=0,"",INDEX('Vendor COIs'!$N$4:$N$503,(_calc!$E$327-500)))))</f>
        <v/>
      </c>
    </row>
    <row r="326">
      <c r="A326" s="46">
        <f>IF(_calc!$E$328="","",IF(_calc!$E$328&lt;=500,IF(LEN(INDEX('Our policies'!$A$4:$A$503,_calc!$E$328))=0,"",INDEX('Our policies'!$A$4:$A$503,_calc!$E$328)),"COI – "&amp;IF(LEN(INDEX('Vendor COIs'!$A$4:$A$503,(_calc!$E$328-500)))=0,"",INDEX('Vendor COIs'!$A$4:$A$503,(_calc!$E$328-500)))&amp;" – "&amp;IF(LEN(INDEX('Vendor COIs'!$B$4:$B$503,(_calc!$E$328-500)))=0,"",INDEX('Vendor COIs'!$B$4:$B$503,(_calc!$E$328-500)))))</f>
        <v/>
      </c>
      <c r="B326" s="46">
        <f>IF(_calc!$E$328="","",IF(_calc!$E$328&lt;=500,IF(ISNUMBER(INDEX('Our policies'!$J$4:$J$503,_calc!$E$328)),TEXT(INDEX('Our policies'!$J$4:$J$503,_calc!$E$328),"yyyy-mm-dd"),""),IF(ISNUMBER(INDEX('Vendor COIs'!$H$4:$H$503,(_calc!$E$328-500))),TEXT(INDEX('Vendor COIs'!$H$4:$H$503,(_calc!$E$328-500)),"yyyy-mm-dd"),"")))</f>
        <v/>
      </c>
      <c r="C326" s="46">
        <f>IF(_calc!$E$328="","",IF(_calc!$E$328&lt;=500,"Insurance","Certificate of insurance"))</f>
        <v/>
      </c>
      <c r="D326" s="46">
        <f>IF(_calc!$E$328="","",IF(_calc!$E$328&lt;=500,IF(ISNUMBER(INDEX('Our policies'!$I$4:$I$503,_calc!$E$328)),TEXT(INDEX('Our policies'!$I$4:$I$503,_calc!$E$328),"yyyy-mm-dd"),""),""))</f>
        <v/>
      </c>
      <c r="E326" s="46">
        <f>IF(_calc!$E$328="","",IF(_calc!$E$328&lt;=500,IF(LEN(INDEX('Our policies'!$Q$4:$Q$503,_calc!$E$328))=0,"",INDEX('Our policies'!$Q$4:$Q$503,_calc!$E$328)),"Medium"))</f>
        <v/>
      </c>
      <c r="F326" s="46">
        <f>IF(_calc!$E$328="","",IF(_calc!$E$328&lt;=500,TRIM(IF(LEN(IF(LEN(INDEX('Our policies'!$B$4:$B$503,_calc!$E$328))=0,"",INDEX('Our policies'!$B$4:$B$503,_calc!$E$328)))=0,"","Cover: "&amp;IF(LEN(INDEX('Our policies'!$B$4:$B$503,_calc!$E$328))=0,"",INDEX('Our policies'!$B$4:$B$503,_calc!$E$328))&amp;". ")&amp;IF(LEN(IF(LEN(INDEX('Our policies'!$C$4:$C$503,_calc!$E$328))=0,"",INDEX('Our policies'!$C$4:$C$503,_calc!$E$328)))=0,"","Insurer: "&amp;IF(LEN(INDEX('Our policies'!$C$4:$C$503,_calc!$E$328))=0,"",INDEX('Our policies'!$C$4:$C$503,_calc!$E$328))&amp;". ")&amp;IF(LEN(IF(LEN(INDEX('Our policies'!$D$4:$D$503,_calc!$E$328))=0,"",INDEX('Our policies'!$D$4:$D$503,_calc!$E$328)))=0,"","Broker: "&amp;IF(LEN(INDEX('Our policies'!$D$4:$D$503,_calc!$E$328))=0,"",INDEX('Our policies'!$D$4:$D$503,_calc!$E$328))&amp;". ")&amp;IF(LEN(IF(LEN(INDEX('Our policies'!$E$4:$E$503,_calc!$E$328))=0,"",INDEX('Our policies'!$E$4:$E$503,_calc!$E$328)))=0,"","Policy no.: "&amp;IF(LEN(INDEX('Our policies'!$E$4:$E$503,_calc!$E$328))=0,"",INDEX('Our policies'!$E$4:$E$503,_calc!$E$328))&amp;". ")&amp;IF(LEN(IF(LEN(INDEX('Our policies'!$S$4:$S$503,_calc!$E$328))=0,"",INDEX('Our policies'!$S$4:$S$503,_calc!$E$328)))=0,"",IF(LEN(INDEX('Our policies'!$S$4:$S$503,_calc!$E$328))=0,"",INDEX('Our policies'!$S$4:$S$503,_calc!$E$328)))),TRIM(IF(LEN(IF(LEN(INDEX('Vendor COIs'!$C$4:$C$503,(_calc!$E$328-500)))=0,"",INDEX('Vendor COIs'!$C$4:$C$503,(_calc!$E$328-500))))=0,"","Insurer: "&amp;IF(LEN(INDEX('Vendor COIs'!$C$4:$C$503,(_calc!$E$328-500)))=0,"",INDEX('Vendor COIs'!$C$4:$C$503,(_calc!$E$328-500)))&amp;". ")&amp;IF(LEN(IF(LEN(INDEX('Vendor COIs'!$D$4:$D$503,(_calc!$E$328-500)))=0,"",INDEX('Vendor COIs'!$D$4:$D$503,(_calc!$E$328-500))))=0,"","Policy no.: "&amp;IF(LEN(INDEX('Vendor COIs'!$D$4:$D$503,(_calc!$E$328-500)))=0,"",INDEX('Vendor COIs'!$D$4:$D$503,(_calc!$E$328-500)))&amp;". ")&amp;IF(LEN(IF(LEN(INDEX('Vendor COIs'!$F$4:$F$503,(_calc!$E$328-500)))=0,"",INDEX('Vendor COIs'!$F$4:$F$503,(_calc!$E$328-500))))=0,"","Meets minimum: "&amp;IF(LEN(INDEX('Vendor COIs'!$F$4:$F$503,(_calc!$E$328-500)))=0,"",INDEX('Vendor COIs'!$F$4:$F$503,(_calc!$E$328-500)))&amp;". ")&amp;IF(LEN(IF(LEN(INDEX('Vendor COIs'!$G$4:$G$503,(_calc!$E$328-500)))=0,"",INDEX('Vendor COIs'!$G$4:$G$503,(_calc!$E$328-500))))=0,"","Additional insured: "&amp;IF(LEN(INDEX('Vendor COIs'!$G$4:$G$503,(_calc!$E$328-500)))=0,"",INDEX('Vendor COIs'!$G$4:$G$503,(_calc!$E$328-500)))&amp;". ")&amp;IF(LEN(IF(LEN(INDEX('Vendor COIs'!$M$4:$M$503,(_calc!$E$328-500)))=0,"",INDEX('Vendor COIs'!$M$4:$M$503,(_calc!$E$328-500))))=0,"","Vendor contact: "&amp;IF(LEN(INDEX('Vendor COIs'!$M$4:$M$503,(_calc!$E$328-500)))=0,"",INDEX('Vendor COIs'!$M$4:$M$503,(_calc!$E$328-500)))&amp;". ")&amp;IF(LEN(IF(LEN(INDEX('Vendor COIs'!$P$4:$P$503,(_calc!$E$328-500)))=0,"",INDEX('Vendor COIs'!$P$4:$P$503,(_calc!$E$328-500))))=0,"",IF(LEN(INDEX('Vendor COIs'!$P$4:$P$503,(_calc!$E$328-500)))=0,"",INDEX('Vendor COIs'!$P$4:$P$503,(_calc!$E$328-500)))))))</f>
        <v/>
      </c>
      <c r="G326" s="46">
        <f>IF(_calc!$E$328="","",IF(_calc!$E$328&lt;=500,IF(LEN(INDEX('Our policies'!$R$4:$R$503,_calc!$E$328))=0,"",INDEX('Our policies'!$R$4:$R$503,_calc!$E$328)),IF(LEN(INDEX('Vendor COIs'!$O$4:$O$503,(_calc!$E$328-500)))=0,"",INDEX('Vendor COIs'!$O$4:$O$503,(_calc!$E$328-500)))))</f>
        <v/>
      </c>
      <c r="H326" s="46">
        <f>IF(_calc!$E$328="","",IF(_calc!$E$328&lt;=500,IF(LEN(INDEX('Our policies'!$G$4:$G$503,_calc!$E$328))=0,"",INDEX('Our policies'!$G$4:$G$503,_calc!$E$328)),""))</f>
        <v/>
      </c>
      <c r="I326" s="46">
        <f>IF(_calc!$E$328="","",IF(_calc!$E$328&lt;=500,IF(LEN(INDEX('Our policies'!$H$4:$H$503,_calc!$E$328))=0,"",INDEX('Our policies'!$H$4:$H$503,_calc!$E$328)),""))</f>
        <v/>
      </c>
      <c r="K326" s="46">
        <f>IF(_calc!$E$328="","",IF(_calc!$E$328&lt;=500,IF(LEN(INDEX('Our policies'!$P$4:$P$503,_calc!$E$328))=0,"",INDEX('Our policies'!$P$4:$P$503,_calc!$E$328)),IF(LEN(INDEX('Vendor COIs'!$N$4:$N$503,(_calc!$E$328-500)))=0,"",INDEX('Vendor COIs'!$N$4:$N$503,(_calc!$E$328-500)))))</f>
        <v/>
      </c>
    </row>
    <row r="327">
      <c r="A327" s="46">
        <f>IF(_calc!$E$329="","",IF(_calc!$E$329&lt;=500,IF(LEN(INDEX('Our policies'!$A$4:$A$503,_calc!$E$329))=0,"",INDEX('Our policies'!$A$4:$A$503,_calc!$E$329)),"COI – "&amp;IF(LEN(INDEX('Vendor COIs'!$A$4:$A$503,(_calc!$E$329-500)))=0,"",INDEX('Vendor COIs'!$A$4:$A$503,(_calc!$E$329-500)))&amp;" – "&amp;IF(LEN(INDEX('Vendor COIs'!$B$4:$B$503,(_calc!$E$329-500)))=0,"",INDEX('Vendor COIs'!$B$4:$B$503,(_calc!$E$329-500)))))</f>
        <v/>
      </c>
      <c r="B327" s="46">
        <f>IF(_calc!$E$329="","",IF(_calc!$E$329&lt;=500,IF(ISNUMBER(INDEX('Our policies'!$J$4:$J$503,_calc!$E$329)),TEXT(INDEX('Our policies'!$J$4:$J$503,_calc!$E$329),"yyyy-mm-dd"),""),IF(ISNUMBER(INDEX('Vendor COIs'!$H$4:$H$503,(_calc!$E$329-500))),TEXT(INDEX('Vendor COIs'!$H$4:$H$503,(_calc!$E$329-500)),"yyyy-mm-dd"),"")))</f>
        <v/>
      </c>
      <c r="C327" s="46">
        <f>IF(_calc!$E$329="","",IF(_calc!$E$329&lt;=500,"Insurance","Certificate of insurance"))</f>
        <v/>
      </c>
      <c r="D327" s="46">
        <f>IF(_calc!$E$329="","",IF(_calc!$E$329&lt;=500,IF(ISNUMBER(INDEX('Our policies'!$I$4:$I$503,_calc!$E$329)),TEXT(INDEX('Our policies'!$I$4:$I$503,_calc!$E$329),"yyyy-mm-dd"),""),""))</f>
        <v/>
      </c>
      <c r="E327" s="46">
        <f>IF(_calc!$E$329="","",IF(_calc!$E$329&lt;=500,IF(LEN(INDEX('Our policies'!$Q$4:$Q$503,_calc!$E$329))=0,"",INDEX('Our policies'!$Q$4:$Q$503,_calc!$E$329)),"Medium"))</f>
        <v/>
      </c>
      <c r="F327" s="46">
        <f>IF(_calc!$E$329="","",IF(_calc!$E$329&lt;=500,TRIM(IF(LEN(IF(LEN(INDEX('Our policies'!$B$4:$B$503,_calc!$E$329))=0,"",INDEX('Our policies'!$B$4:$B$503,_calc!$E$329)))=0,"","Cover: "&amp;IF(LEN(INDEX('Our policies'!$B$4:$B$503,_calc!$E$329))=0,"",INDEX('Our policies'!$B$4:$B$503,_calc!$E$329))&amp;". ")&amp;IF(LEN(IF(LEN(INDEX('Our policies'!$C$4:$C$503,_calc!$E$329))=0,"",INDEX('Our policies'!$C$4:$C$503,_calc!$E$329)))=0,"","Insurer: "&amp;IF(LEN(INDEX('Our policies'!$C$4:$C$503,_calc!$E$329))=0,"",INDEX('Our policies'!$C$4:$C$503,_calc!$E$329))&amp;". ")&amp;IF(LEN(IF(LEN(INDEX('Our policies'!$D$4:$D$503,_calc!$E$329))=0,"",INDEX('Our policies'!$D$4:$D$503,_calc!$E$329)))=0,"","Broker: "&amp;IF(LEN(INDEX('Our policies'!$D$4:$D$503,_calc!$E$329))=0,"",INDEX('Our policies'!$D$4:$D$503,_calc!$E$329))&amp;". ")&amp;IF(LEN(IF(LEN(INDEX('Our policies'!$E$4:$E$503,_calc!$E$329))=0,"",INDEX('Our policies'!$E$4:$E$503,_calc!$E$329)))=0,"","Policy no.: "&amp;IF(LEN(INDEX('Our policies'!$E$4:$E$503,_calc!$E$329))=0,"",INDEX('Our policies'!$E$4:$E$503,_calc!$E$329))&amp;". ")&amp;IF(LEN(IF(LEN(INDEX('Our policies'!$S$4:$S$503,_calc!$E$329))=0,"",INDEX('Our policies'!$S$4:$S$503,_calc!$E$329)))=0,"",IF(LEN(INDEX('Our policies'!$S$4:$S$503,_calc!$E$329))=0,"",INDEX('Our policies'!$S$4:$S$503,_calc!$E$329)))),TRIM(IF(LEN(IF(LEN(INDEX('Vendor COIs'!$C$4:$C$503,(_calc!$E$329-500)))=0,"",INDEX('Vendor COIs'!$C$4:$C$503,(_calc!$E$329-500))))=0,"","Insurer: "&amp;IF(LEN(INDEX('Vendor COIs'!$C$4:$C$503,(_calc!$E$329-500)))=0,"",INDEX('Vendor COIs'!$C$4:$C$503,(_calc!$E$329-500)))&amp;". ")&amp;IF(LEN(IF(LEN(INDEX('Vendor COIs'!$D$4:$D$503,(_calc!$E$329-500)))=0,"",INDEX('Vendor COIs'!$D$4:$D$503,(_calc!$E$329-500))))=0,"","Policy no.: "&amp;IF(LEN(INDEX('Vendor COIs'!$D$4:$D$503,(_calc!$E$329-500)))=0,"",INDEX('Vendor COIs'!$D$4:$D$503,(_calc!$E$329-500)))&amp;". ")&amp;IF(LEN(IF(LEN(INDEX('Vendor COIs'!$F$4:$F$503,(_calc!$E$329-500)))=0,"",INDEX('Vendor COIs'!$F$4:$F$503,(_calc!$E$329-500))))=0,"","Meets minimum: "&amp;IF(LEN(INDEX('Vendor COIs'!$F$4:$F$503,(_calc!$E$329-500)))=0,"",INDEX('Vendor COIs'!$F$4:$F$503,(_calc!$E$329-500)))&amp;". ")&amp;IF(LEN(IF(LEN(INDEX('Vendor COIs'!$G$4:$G$503,(_calc!$E$329-500)))=0,"",INDEX('Vendor COIs'!$G$4:$G$503,(_calc!$E$329-500))))=0,"","Additional insured: "&amp;IF(LEN(INDEX('Vendor COIs'!$G$4:$G$503,(_calc!$E$329-500)))=0,"",INDEX('Vendor COIs'!$G$4:$G$503,(_calc!$E$329-500)))&amp;". ")&amp;IF(LEN(IF(LEN(INDEX('Vendor COIs'!$M$4:$M$503,(_calc!$E$329-500)))=0,"",INDEX('Vendor COIs'!$M$4:$M$503,(_calc!$E$329-500))))=0,"","Vendor contact: "&amp;IF(LEN(INDEX('Vendor COIs'!$M$4:$M$503,(_calc!$E$329-500)))=0,"",INDEX('Vendor COIs'!$M$4:$M$503,(_calc!$E$329-500)))&amp;". ")&amp;IF(LEN(IF(LEN(INDEX('Vendor COIs'!$P$4:$P$503,(_calc!$E$329-500)))=0,"",INDEX('Vendor COIs'!$P$4:$P$503,(_calc!$E$329-500))))=0,"",IF(LEN(INDEX('Vendor COIs'!$P$4:$P$503,(_calc!$E$329-500)))=0,"",INDEX('Vendor COIs'!$P$4:$P$503,(_calc!$E$329-500)))))))</f>
        <v/>
      </c>
      <c r="G327" s="46">
        <f>IF(_calc!$E$329="","",IF(_calc!$E$329&lt;=500,IF(LEN(INDEX('Our policies'!$R$4:$R$503,_calc!$E$329))=0,"",INDEX('Our policies'!$R$4:$R$503,_calc!$E$329)),IF(LEN(INDEX('Vendor COIs'!$O$4:$O$503,(_calc!$E$329-500)))=0,"",INDEX('Vendor COIs'!$O$4:$O$503,(_calc!$E$329-500)))))</f>
        <v/>
      </c>
      <c r="H327" s="46">
        <f>IF(_calc!$E$329="","",IF(_calc!$E$329&lt;=500,IF(LEN(INDEX('Our policies'!$G$4:$G$503,_calc!$E$329))=0,"",INDEX('Our policies'!$G$4:$G$503,_calc!$E$329)),""))</f>
        <v/>
      </c>
      <c r="I327" s="46">
        <f>IF(_calc!$E$329="","",IF(_calc!$E$329&lt;=500,IF(LEN(INDEX('Our policies'!$H$4:$H$503,_calc!$E$329))=0,"",INDEX('Our policies'!$H$4:$H$503,_calc!$E$329)),""))</f>
        <v/>
      </c>
      <c r="K327" s="46">
        <f>IF(_calc!$E$329="","",IF(_calc!$E$329&lt;=500,IF(LEN(INDEX('Our policies'!$P$4:$P$503,_calc!$E$329))=0,"",INDEX('Our policies'!$P$4:$P$503,_calc!$E$329)),IF(LEN(INDEX('Vendor COIs'!$N$4:$N$503,(_calc!$E$329-500)))=0,"",INDEX('Vendor COIs'!$N$4:$N$503,(_calc!$E$329-500)))))</f>
        <v/>
      </c>
    </row>
    <row r="328">
      <c r="A328" s="46">
        <f>IF(_calc!$E$330="","",IF(_calc!$E$330&lt;=500,IF(LEN(INDEX('Our policies'!$A$4:$A$503,_calc!$E$330))=0,"",INDEX('Our policies'!$A$4:$A$503,_calc!$E$330)),"COI – "&amp;IF(LEN(INDEX('Vendor COIs'!$A$4:$A$503,(_calc!$E$330-500)))=0,"",INDEX('Vendor COIs'!$A$4:$A$503,(_calc!$E$330-500)))&amp;" – "&amp;IF(LEN(INDEX('Vendor COIs'!$B$4:$B$503,(_calc!$E$330-500)))=0,"",INDEX('Vendor COIs'!$B$4:$B$503,(_calc!$E$330-500)))))</f>
        <v/>
      </c>
      <c r="B328" s="46">
        <f>IF(_calc!$E$330="","",IF(_calc!$E$330&lt;=500,IF(ISNUMBER(INDEX('Our policies'!$J$4:$J$503,_calc!$E$330)),TEXT(INDEX('Our policies'!$J$4:$J$503,_calc!$E$330),"yyyy-mm-dd"),""),IF(ISNUMBER(INDEX('Vendor COIs'!$H$4:$H$503,(_calc!$E$330-500))),TEXT(INDEX('Vendor COIs'!$H$4:$H$503,(_calc!$E$330-500)),"yyyy-mm-dd"),"")))</f>
        <v/>
      </c>
      <c r="C328" s="46">
        <f>IF(_calc!$E$330="","",IF(_calc!$E$330&lt;=500,"Insurance","Certificate of insurance"))</f>
        <v/>
      </c>
      <c r="D328" s="46">
        <f>IF(_calc!$E$330="","",IF(_calc!$E$330&lt;=500,IF(ISNUMBER(INDEX('Our policies'!$I$4:$I$503,_calc!$E$330)),TEXT(INDEX('Our policies'!$I$4:$I$503,_calc!$E$330),"yyyy-mm-dd"),""),""))</f>
        <v/>
      </c>
      <c r="E328" s="46">
        <f>IF(_calc!$E$330="","",IF(_calc!$E$330&lt;=500,IF(LEN(INDEX('Our policies'!$Q$4:$Q$503,_calc!$E$330))=0,"",INDEX('Our policies'!$Q$4:$Q$503,_calc!$E$330)),"Medium"))</f>
        <v/>
      </c>
      <c r="F328" s="46">
        <f>IF(_calc!$E$330="","",IF(_calc!$E$330&lt;=500,TRIM(IF(LEN(IF(LEN(INDEX('Our policies'!$B$4:$B$503,_calc!$E$330))=0,"",INDEX('Our policies'!$B$4:$B$503,_calc!$E$330)))=0,"","Cover: "&amp;IF(LEN(INDEX('Our policies'!$B$4:$B$503,_calc!$E$330))=0,"",INDEX('Our policies'!$B$4:$B$503,_calc!$E$330))&amp;". ")&amp;IF(LEN(IF(LEN(INDEX('Our policies'!$C$4:$C$503,_calc!$E$330))=0,"",INDEX('Our policies'!$C$4:$C$503,_calc!$E$330)))=0,"","Insurer: "&amp;IF(LEN(INDEX('Our policies'!$C$4:$C$503,_calc!$E$330))=0,"",INDEX('Our policies'!$C$4:$C$503,_calc!$E$330))&amp;". ")&amp;IF(LEN(IF(LEN(INDEX('Our policies'!$D$4:$D$503,_calc!$E$330))=0,"",INDEX('Our policies'!$D$4:$D$503,_calc!$E$330)))=0,"","Broker: "&amp;IF(LEN(INDEX('Our policies'!$D$4:$D$503,_calc!$E$330))=0,"",INDEX('Our policies'!$D$4:$D$503,_calc!$E$330))&amp;". ")&amp;IF(LEN(IF(LEN(INDEX('Our policies'!$E$4:$E$503,_calc!$E$330))=0,"",INDEX('Our policies'!$E$4:$E$503,_calc!$E$330)))=0,"","Policy no.: "&amp;IF(LEN(INDEX('Our policies'!$E$4:$E$503,_calc!$E$330))=0,"",INDEX('Our policies'!$E$4:$E$503,_calc!$E$330))&amp;". ")&amp;IF(LEN(IF(LEN(INDEX('Our policies'!$S$4:$S$503,_calc!$E$330))=0,"",INDEX('Our policies'!$S$4:$S$503,_calc!$E$330)))=0,"",IF(LEN(INDEX('Our policies'!$S$4:$S$503,_calc!$E$330))=0,"",INDEX('Our policies'!$S$4:$S$503,_calc!$E$330)))),TRIM(IF(LEN(IF(LEN(INDEX('Vendor COIs'!$C$4:$C$503,(_calc!$E$330-500)))=0,"",INDEX('Vendor COIs'!$C$4:$C$503,(_calc!$E$330-500))))=0,"","Insurer: "&amp;IF(LEN(INDEX('Vendor COIs'!$C$4:$C$503,(_calc!$E$330-500)))=0,"",INDEX('Vendor COIs'!$C$4:$C$503,(_calc!$E$330-500)))&amp;". ")&amp;IF(LEN(IF(LEN(INDEX('Vendor COIs'!$D$4:$D$503,(_calc!$E$330-500)))=0,"",INDEX('Vendor COIs'!$D$4:$D$503,(_calc!$E$330-500))))=0,"","Policy no.: "&amp;IF(LEN(INDEX('Vendor COIs'!$D$4:$D$503,(_calc!$E$330-500)))=0,"",INDEX('Vendor COIs'!$D$4:$D$503,(_calc!$E$330-500)))&amp;". ")&amp;IF(LEN(IF(LEN(INDEX('Vendor COIs'!$F$4:$F$503,(_calc!$E$330-500)))=0,"",INDEX('Vendor COIs'!$F$4:$F$503,(_calc!$E$330-500))))=0,"","Meets minimum: "&amp;IF(LEN(INDEX('Vendor COIs'!$F$4:$F$503,(_calc!$E$330-500)))=0,"",INDEX('Vendor COIs'!$F$4:$F$503,(_calc!$E$330-500)))&amp;". ")&amp;IF(LEN(IF(LEN(INDEX('Vendor COIs'!$G$4:$G$503,(_calc!$E$330-500)))=0,"",INDEX('Vendor COIs'!$G$4:$G$503,(_calc!$E$330-500))))=0,"","Additional insured: "&amp;IF(LEN(INDEX('Vendor COIs'!$G$4:$G$503,(_calc!$E$330-500)))=0,"",INDEX('Vendor COIs'!$G$4:$G$503,(_calc!$E$330-500)))&amp;". ")&amp;IF(LEN(IF(LEN(INDEX('Vendor COIs'!$M$4:$M$503,(_calc!$E$330-500)))=0,"",INDEX('Vendor COIs'!$M$4:$M$503,(_calc!$E$330-500))))=0,"","Vendor contact: "&amp;IF(LEN(INDEX('Vendor COIs'!$M$4:$M$503,(_calc!$E$330-500)))=0,"",INDEX('Vendor COIs'!$M$4:$M$503,(_calc!$E$330-500)))&amp;". ")&amp;IF(LEN(IF(LEN(INDEX('Vendor COIs'!$P$4:$P$503,(_calc!$E$330-500)))=0,"",INDEX('Vendor COIs'!$P$4:$P$503,(_calc!$E$330-500))))=0,"",IF(LEN(INDEX('Vendor COIs'!$P$4:$P$503,(_calc!$E$330-500)))=0,"",INDEX('Vendor COIs'!$P$4:$P$503,(_calc!$E$330-500)))))))</f>
        <v/>
      </c>
      <c r="G328" s="46">
        <f>IF(_calc!$E$330="","",IF(_calc!$E$330&lt;=500,IF(LEN(INDEX('Our policies'!$R$4:$R$503,_calc!$E$330))=0,"",INDEX('Our policies'!$R$4:$R$503,_calc!$E$330)),IF(LEN(INDEX('Vendor COIs'!$O$4:$O$503,(_calc!$E$330-500)))=0,"",INDEX('Vendor COIs'!$O$4:$O$503,(_calc!$E$330-500)))))</f>
        <v/>
      </c>
      <c r="H328" s="46">
        <f>IF(_calc!$E$330="","",IF(_calc!$E$330&lt;=500,IF(LEN(INDEX('Our policies'!$G$4:$G$503,_calc!$E$330))=0,"",INDEX('Our policies'!$G$4:$G$503,_calc!$E$330)),""))</f>
        <v/>
      </c>
      <c r="I328" s="46">
        <f>IF(_calc!$E$330="","",IF(_calc!$E$330&lt;=500,IF(LEN(INDEX('Our policies'!$H$4:$H$503,_calc!$E$330))=0,"",INDEX('Our policies'!$H$4:$H$503,_calc!$E$330)),""))</f>
        <v/>
      </c>
      <c r="K328" s="46">
        <f>IF(_calc!$E$330="","",IF(_calc!$E$330&lt;=500,IF(LEN(INDEX('Our policies'!$P$4:$P$503,_calc!$E$330))=0,"",INDEX('Our policies'!$P$4:$P$503,_calc!$E$330)),IF(LEN(INDEX('Vendor COIs'!$N$4:$N$503,(_calc!$E$330-500)))=0,"",INDEX('Vendor COIs'!$N$4:$N$503,(_calc!$E$330-500)))))</f>
        <v/>
      </c>
    </row>
    <row r="329">
      <c r="A329" s="46">
        <f>IF(_calc!$E$331="","",IF(_calc!$E$331&lt;=500,IF(LEN(INDEX('Our policies'!$A$4:$A$503,_calc!$E$331))=0,"",INDEX('Our policies'!$A$4:$A$503,_calc!$E$331)),"COI – "&amp;IF(LEN(INDEX('Vendor COIs'!$A$4:$A$503,(_calc!$E$331-500)))=0,"",INDEX('Vendor COIs'!$A$4:$A$503,(_calc!$E$331-500)))&amp;" – "&amp;IF(LEN(INDEX('Vendor COIs'!$B$4:$B$503,(_calc!$E$331-500)))=0,"",INDEX('Vendor COIs'!$B$4:$B$503,(_calc!$E$331-500)))))</f>
        <v/>
      </c>
      <c r="B329" s="46">
        <f>IF(_calc!$E$331="","",IF(_calc!$E$331&lt;=500,IF(ISNUMBER(INDEX('Our policies'!$J$4:$J$503,_calc!$E$331)),TEXT(INDEX('Our policies'!$J$4:$J$503,_calc!$E$331),"yyyy-mm-dd"),""),IF(ISNUMBER(INDEX('Vendor COIs'!$H$4:$H$503,(_calc!$E$331-500))),TEXT(INDEX('Vendor COIs'!$H$4:$H$503,(_calc!$E$331-500)),"yyyy-mm-dd"),"")))</f>
        <v/>
      </c>
      <c r="C329" s="46">
        <f>IF(_calc!$E$331="","",IF(_calc!$E$331&lt;=500,"Insurance","Certificate of insurance"))</f>
        <v/>
      </c>
      <c r="D329" s="46">
        <f>IF(_calc!$E$331="","",IF(_calc!$E$331&lt;=500,IF(ISNUMBER(INDEX('Our policies'!$I$4:$I$503,_calc!$E$331)),TEXT(INDEX('Our policies'!$I$4:$I$503,_calc!$E$331),"yyyy-mm-dd"),""),""))</f>
        <v/>
      </c>
      <c r="E329" s="46">
        <f>IF(_calc!$E$331="","",IF(_calc!$E$331&lt;=500,IF(LEN(INDEX('Our policies'!$Q$4:$Q$503,_calc!$E$331))=0,"",INDEX('Our policies'!$Q$4:$Q$503,_calc!$E$331)),"Medium"))</f>
        <v/>
      </c>
      <c r="F329" s="46">
        <f>IF(_calc!$E$331="","",IF(_calc!$E$331&lt;=500,TRIM(IF(LEN(IF(LEN(INDEX('Our policies'!$B$4:$B$503,_calc!$E$331))=0,"",INDEX('Our policies'!$B$4:$B$503,_calc!$E$331)))=0,"","Cover: "&amp;IF(LEN(INDEX('Our policies'!$B$4:$B$503,_calc!$E$331))=0,"",INDEX('Our policies'!$B$4:$B$503,_calc!$E$331))&amp;". ")&amp;IF(LEN(IF(LEN(INDEX('Our policies'!$C$4:$C$503,_calc!$E$331))=0,"",INDEX('Our policies'!$C$4:$C$503,_calc!$E$331)))=0,"","Insurer: "&amp;IF(LEN(INDEX('Our policies'!$C$4:$C$503,_calc!$E$331))=0,"",INDEX('Our policies'!$C$4:$C$503,_calc!$E$331))&amp;". ")&amp;IF(LEN(IF(LEN(INDEX('Our policies'!$D$4:$D$503,_calc!$E$331))=0,"",INDEX('Our policies'!$D$4:$D$503,_calc!$E$331)))=0,"","Broker: "&amp;IF(LEN(INDEX('Our policies'!$D$4:$D$503,_calc!$E$331))=0,"",INDEX('Our policies'!$D$4:$D$503,_calc!$E$331))&amp;". ")&amp;IF(LEN(IF(LEN(INDEX('Our policies'!$E$4:$E$503,_calc!$E$331))=0,"",INDEX('Our policies'!$E$4:$E$503,_calc!$E$331)))=0,"","Policy no.: "&amp;IF(LEN(INDEX('Our policies'!$E$4:$E$503,_calc!$E$331))=0,"",INDEX('Our policies'!$E$4:$E$503,_calc!$E$331))&amp;". ")&amp;IF(LEN(IF(LEN(INDEX('Our policies'!$S$4:$S$503,_calc!$E$331))=0,"",INDEX('Our policies'!$S$4:$S$503,_calc!$E$331)))=0,"",IF(LEN(INDEX('Our policies'!$S$4:$S$503,_calc!$E$331))=0,"",INDEX('Our policies'!$S$4:$S$503,_calc!$E$331)))),TRIM(IF(LEN(IF(LEN(INDEX('Vendor COIs'!$C$4:$C$503,(_calc!$E$331-500)))=0,"",INDEX('Vendor COIs'!$C$4:$C$503,(_calc!$E$331-500))))=0,"","Insurer: "&amp;IF(LEN(INDEX('Vendor COIs'!$C$4:$C$503,(_calc!$E$331-500)))=0,"",INDEX('Vendor COIs'!$C$4:$C$503,(_calc!$E$331-500)))&amp;". ")&amp;IF(LEN(IF(LEN(INDEX('Vendor COIs'!$D$4:$D$503,(_calc!$E$331-500)))=0,"",INDEX('Vendor COIs'!$D$4:$D$503,(_calc!$E$331-500))))=0,"","Policy no.: "&amp;IF(LEN(INDEX('Vendor COIs'!$D$4:$D$503,(_calc!$E$331-500)))=0,"",INDEX('Vendor COIs'!$D$4:$D$503,(_calc!$E$331-500)))&amp;". ")&amp;IF(LEN(IF(LEN(INDEX('Vendor COIs'!$F$4:$F$503,(_calc!$E$331-500)))=0,"",INDEX('Vendor COIs'!$F$4:$F$503,(_calc!$E$331-500))))=0,"","Meets minimum: "&amp;IF(LEN(INDEX('Vendor COIs'!$F$4:$F$503,(_calc!$E$331-500)))=0,"",INDEX('Vendor COIs'!$F$4:$F$503,(_calc!$E$331-500)))&amp;". ")&amp;IF(LEN(IF(LEN(INDEX('Vendor COIs'!$G$4:$G$503,(_calc!$E$331-500)))=0,"",INDEX('Vendor COIs'!$G$4:$G$503,(_calc!$E$331-500))))=0,"","Additional insured: "&amp;IF(LEN(INDEX('Vendor COIs'!$G$4:$G$503,(_calc!$E$331-500)))=0,"",INDEX('Vendor COIs'!$G$4:$G$503,(_calc!$E$331-500)))&amp;". ")&amp;IF(LEN(IF(LEN(INDEX('Vendor COIs'!$M$4:$M$503,(_calc!$E$331-500)))=0,"",INDEX('Vendor COIs'!$M$4:$M$503,(_calc!$E$331-500))))=0,"","Vendor contact: "&amp;IF(LEN(INDEX('Vendor COIs'!$M$4:$M$503,(_calc!$E$331-500)))=0,"",INDEX('Vendor COIs'!$M$4:$M$503,(_calc!$E$331-500)))&amp;". ")&amp;IF(LEN(IF(LEN(INDEX('Vendor COIs'!$P$4:$P$503,(_calc!$E$331-500)))=0,"",INDEX('Vendor COIs'!$P$4:$P$503,(_calc!$E$331-500))))=0,"",IF(LEN(INDEX('Vendor COIs'!$P$4:$P$503,(_calc!$E$331-500)))=0,"",INDEX('Vendor COIs'!$P$4:$P$503,(_calc!$E$331-500)))))))</f>
        <v/>
      </c>
      <c r="G329" s="46">
        <f>IF(_calc!$E$331="","",IF(_calc!$E$331&lt;=500,IF(LEN(INDEX('Our policies'!$R$4:$R$503,_calc!$E$331))=0,"",INDEX('Our policies'!$R$4:$R$503,_calc!$E$331)),IF(LEN(INDEX('Vendor COIs'!$O$4:$O$503,(_calc!$E$331-500)))=0,"",INDEX('Vendor COIs'!$O$4:$O$503,(_calc!$E$331-500)))))</f>
        <v/>
      </c>
      <c r="H329" s="46">
        <f>IF(_calc!$E$331="","",IF(_calc!$E$331&lt;=500,IF(LEN(INDEX('Our policies'!$G$4:$G$503,_calc!$E$331))=0,"",INDEX('Our policies'!$G$4:$G$503,_calc!$E$331)),""))</f>
        <v/>
      </c>
      <c r="I329" s="46">
        <f>IF(_calc!$E$331="","",IF(_calc!$E$331&lt;=500,IF(LEN(INDEX('Our policies'!$H$4:$H$503,_calc!$E$331))=0,"",INDEX('Our policies'!$H$4:$H$503,_calc!$E$331)),""))</f>
        <v/>
      </c>
      <c r="K329" s="46">
        <f>IF(_calc!$E$331="","",IF(_calc!$E$331&lt;=500,IF(LEN(INDEX('Our policies'!$P$4:$P$503,_calc!$E$331))=0,"",INDEX('Our policies'!$P$4:$P$503,_calc!$E$331)),IF(LEN(INDEX('Vendor COIs'!$N$4:$N$503,(_calc!$E$331-500)))=0,"",INDEX('Vendor COIs'!$N$4:$N$503,(_calc!$E$331-500)))))</f>
        <v/>
      </c>
    </row>
    <row r="330">
      <c r="A330" s="46">
        <f>IF(_calc!$E$332="","",IF(_calc!$E$332&lt;=500,IF(LEN(INDEX('Our policies'!$A$4:$A$503,_calc!$E$332))=0,"",INDEX('Our policies'!$A$4:$A$503,_calc!$E$332)),"COI – "&amp;IF(LEN(INDEX('Vendor COIs'!$A$4:$A$503,(_calc!$E$332-500)))=0,"",INDEX('Vendor COIs'!$A$4:$A$503,(_calc!$E$332-500)))&amp;" – "&amp;IF(LEN(INDEX('Vendor COIs'!$B$4:$B$503,(_calc!$E$332-500)))=0,"",INDEX('Vendor COIs'!$B$4:$B$503,(_calc!$E$332-500)))))</f>
        <v/>
      </c>
      <c r="B330" s="46">
        <f>IF(_calc!$E$332="","",IF(_calc!$E$332&lt;=500,IF(ISNUMBER(INDEX('Our policies'!$J$4:$J$503,_calc!$E$332)),TEXT(INDEX('Our policies'!$J$4:$J$503,_calc!$E$332),"yyyy-mm-dd"),""),IF(ISNUMBER(INDEX('Vendor COIs'!$H$4:$H$503,(_calc!$E$332-500))),TEXT(INDEX('Vendor COIs'!$H$4:$H$503,(_calc!$E$332-500)),"yyyy-mm-dd"),"")))</f>
        <v/>
      </c>
      <c r="C330" s="46">
        <f>IF(_calc!$E$332="","",IF(_calc!$E$332&lt;=500,"Insurance","Certificate of insurance"))</f>
        <v/>
      </c>
      <c r="D330" s="46">
        <f>IF(_calc!$E$332="","",IF(_calc!$E$332&lt;=500,IF(ISNUMBER(INDEX('Our policies'!$I$4:$I$503,_calc!$E$332)),TEXT(INDEX('Our policies'!$I$4:$I$503,_calc!$E$332),"yyyy-mm-dd"),""),""))</f>
        <v/>
      </c>
      <c r="E330" s="46">
        <f>IF(_calc!$E$332="","",IF(_calc!$E$332&lt;=500,IF(LEN(INDEX('Our policies'!$Q$4:$Q$503,_calc!$E$332))=0,"",INDEX('Our policies'!$Q$4:$Q$503,_calc!$E$332)),"Medium"))</f>
        <v/>
      </c>
      <c r="F330" s="46">
        <f>IF(_calc!$E$332="","",IF(_calc!$E$332&lt;=500,TRIM(IF(LEN(IF(LEN(INDEX('Our policies'!$B$4:$B$503,_calc!$E$332))=0,"",INDEX('Our policies'!$B$4:$B$503,_calc!$E$332)))=0,"","Cover: "&amp;IF(LEN(INDEX('Our policies'!$B$4:$B$503,_calc!$E$332))=0,"",INDEX('Our policies'!$B$4:$B$503,_calc!$E$332))&amp;". ")&amp;IF(LEN(IF(LEN(INDEX('Our policies'!$C$4:$C$503,_calc!$E$332))=0,"",INDEX('Our policies'!$C$4:$C$503,_calc!$E$332)))=0,"","Insurer: "&amp;IF(LEN(INDEX('Our policies'!$C$4:$C$503,_calc!$E$332))=0,"",INDEX('Our policies'!$C$4:$C$503,_calc!$E$332))&amp;". ")&amp;IF(LEN(IF(LEN(INDEX('Our policies'!$D$4:$D$503,_calc!$E$332))=0,"",INDEX('Our policies'!$D$4:$D$503,_calc!$E$332)))=0,"","Broker: "&amp;IF(LEN(INDEX('Our policies'!$D$4:$D$503,_calc!$E$332))=0,"",INDEX('Our policies'!$D$4:$D$503,_calc!$E$332))&amp;". ")&amp;IF(LEN(IF(LEN(INDEX('Our policies'!$E$4:$E$503,_calc!$E$332))=0,"",INDEX('Our policies'!$E$4:$E$503,_calc!$E$332)))=0,"","Policy no.: "&amp;IF(LEN(INDEX('Our policies'!$E$4:$E$503,_calc!$E$332))=0,"",INDEX('Our policies'!$E$4:$E$503,_calc!$E$332))&amp;". ")&amp;IF(LEN(IF(LEN(INDEX('Our policies'!$S$4:$S$503,_calc!$E$332))=0,"",INDEX('Our policies'!$S$4:$S$503,_calc!$E$332)))=0,"",IF(LEN(INDEX('Our policies'!$S$4:$S$503,_calc!$E$332))=0,"",INDEX('Our policies'!$S$4:$S$503,_calc!$E$332)))),TRIM(IF(LEN(IF(LEN(INDEX('Vendor COIs'!$C$4:$C$503,(_calc!$E$332-500)))=0,"",INDEX('Vendor COIs'!$C$4:$C$503,(_calc!$E$332-500))))=0,"","Insurer: "&amp;IF(LEN(INDEX('Vendor COIs'!$C$4:$C$503,(_calc!$E$332-500)))=0,"",INDEX('Vendor COIs'!$C$4:$C$503,(_calc!$E$332-500)))&amp;". ")&amp;IF(LEN(IF(LEN(INDEX('Vendor COIs'!$D$4:$D$503,(_calc!$E$332-500)))=0,"",INDEX('Vendor COIs'!$D$4:$D$503,(_calc!$E$332-500))))=0,"","Policy no.: "&amp;IF(LEN(INDEX('Vendor COIs'!$D$4:$D$503,(_calc!$E$332-500)))=0,"",INDEX('Vendor COIs'!$D$4:$D$503,(_calc!$E$332-500)))&amp;". ")&amp;IF(LEN(IF(LEN(INDEX('Vendor COIs'!$F$4:$F$503,(_calc!$E$332-500)))=0,"",INDEX('Vendor COIs'!$F$4:$F$503,(_calc!$E$332-500))))=0,"","Meets minimum: "&amp;IF(LEN(INDEX('Vendor COIs'!$F$4:$F$503,(_calc!$E$332-500)))=0,"",INDEX('Vendor COIs'!$F$4:$F$503,(_calc!$E$332-500)))&amp;". ")&amp;IF(LEN(IF(LEN(INDEX('Vendor COIs'!$G$4:$G$503,(_calc!$E$332-500)))=0,"",INDEX('Vendor COIs'!$G$4:$G$503,(_calc!$E$332-500))))=0,"","Additional insured: "&amp;IF(LEN(INDEX('Vendor COIs'!$G$4:$G$503,(_calc!$E$332-500)))=0,"",INDEX('Vendor COIs'!$G$4:$G$503,(_calc!$E$332-500)))&amp;". ")&amp;IF(LEN(IF(LEN(INDEX('Vendor COIs'!$M$4:$M$503,(_calc!$E$332-500)))=0,"",INDEX('Vendor COIs'!$M$4:$M$503,(_calc!$E$332-500))))=0,"","Vendor contact: "&amp;IF(LEN(INDEX('Vendor COIs'!$M$4:$M$503,(_calc!$E$332-500)))=0,"",INDEX('Vendor COIs'!$M$4:$M$503,(_calc!$E$332-500)))&amp;". ")&amp;IF(LEN(IF(LEN(INDEX('Vendor COIs'!$P$4:$P$503,(_calc!$E$332-500)))=0,"",INDEX('Vendor COIs'!$P$4:$P$503,(_calc!$E$332-500))))=0,"",IF(LEN(INDEX('Vendor COIs'!$P$4:$P$503,(_calc!$E$332-500)))=0,"",INDEX('Vendor COIs'!$P$4:$P$503,(_calc!$E$332-500)))))))</f>
        <v/>
      </c>
      <c r="G330" s="46">
        <f>IF(_calc!$E$332="","",IF(_calc!$E$332&lt;=500,IF(LEN(INDEX('Our policies'!$R$4:$R$503,_calc!$E$332))=0,"",INDEX('Our policies'!$R$4:$R$503,_calc!$E$332)),IF(LEN(INDEX('Vendor COIs'!$O$4:$O$503,(_calc!$E$332-500)))=0,"",INDEX('Vendor COIs'!$O$4:$O$503,(_calc!$E$332-500)))))</f>
        <v/>
      </c>
      <c r="H330" s="46">
        <f>IF(_calc!$E$332="","",IF(_calc!$E$332&lt;=500,IF(LEN(INDEX('Our policies'!$G$4:$G$503,_calc!$E$332))=0,"",INDEX('Our policies'!$G$4:$G$503,_calc!$E$332)),""))</f>
        <v/>
      </c>
      <c r="I330" s="46">
        <f>IF(_calc!$E$332="","",IF(_calc!$E$332&lt;=500,IF(LEN(INDEX('Our policies'!$H$4:$H$503,_calc!$E$332))=0,"",INDEX('Our policies'!$H$4:$H$503,_calc!$E$332)),""))</f>
        <v/>
      </c>
      <c r="K330" s="46">
        <f>IF(_calc!$E$332="","",IF(_calc!$E$332&lt;=500,IF(LEN(INDEX('Our policies'!$P$4:$P$503,_calc!$E$332))=0,"",INDEX('Our policies'!$P$4:$P$503,_calc!$E$332)),IF(LEN(INDEX('Vendor COIs'!$N$4:$N$503,(_calc!$E$332-500)))=0,"",INDEX('Vendor COIs'!$N$4:$N$503,(_calc!$E$332-500)))))</f>
        <v/>
      </c>
    </row>
    <row r="331">
      <c r="A331" s="46">
        <f>IF(_calc!$E$333="","",IF(_calc!$E$333&lt;=500,IF(LEN(INDEX('Our policies'!$A$4:$A$503,_calc!$E$333))=0,"",INDEX('Our policies'!$A$4:$A$503,_calc!$E$333)),"COI – "&amp;IF(LEN(INDEX('Vendor COIs'!$A$4:$A$503,(_calc!$E$333-500)))=0,"",INDEX('Vendor COIs'!$A$4:$A$503,(_calc!$E$333-500)))&amp;" – "&amp;IF(LEN(INDEX('Vendor COIs'!$B$4:$B$503,(_calc!$E$333-500)))=0,"",INDEX('Vendor COIs'!$B$4:$B$503,(_calc!$E$333-500)))))</f>
        <v/>
      </c>
      <c r="B331" s="46">
        <f>IF(_calc!$E$333="","",IF(_calc!$E$333&lt;=500,IF(ISNUMBER(INDEX('Our policies'!$J$4:$J$503,_calc!$E$333)),TEXT(INDEX('Our policies'!$J$4:$J$503,_calc!$E$333),"yyyy-mm-dd"),""),IF(ISNUMBER(INDEX('Vendor COIs'!$H$4:$H$503,(_calc!$E$333-500))),TEXT(INDEX('Vendor COIs'!$H$4:$H$503,(_calc!$E$333-500)),"yyyy-mm-dd"),"")))</f>
        <v/>
      </c>
      <c r="C331" s="46">
        <f>IF(_calc!$E$333="","",IF(_calc!$E$333&lt;=500,"Insurance","Certificate of insurance"))</f>
        <v/>
      </c>
      <c r="D331" s="46">
        <f>IF(_calc!$E$333="","",IF(_calc!$E$333&lt;=500,IF(ISNUMBER(INDEX('Our policies'!$I$4:$I$503,_calc!$E$333)),TEXT(INDEX('Our policies'!$I$4:$I$503,_calc!$E$333),"yyyy-mm-dd"),""),""))</f>
        <v/>
      </c>
      <c r="E331" s="46">
        <f>IF(_calc!$E$333="","",IF(_calc!$E$333&lt;=500,IF(LEN(INDEX('Our policies'!$Q$4:$Q$503,_calc!$E$333))=0,"",INDEX('Our policies'!$Q$4:$Q$503,_calc!$E$333)),"Medium"))</f>
        <v/>
      </c>
      <c r="F331" s="46">
        <f>IF(_calc!$E$333="","",IF(_calc!$E$333&lt;=500,TRIM(IF(LEN(IF(LEN(INDEX('Our policies'!$B$4:$B$503,_calc!$E$333))=0,"",INDEX('Our policies'!$B$4:$B$503,_calc!$E$333)))=0,"","Cover: "&amp;IF(LEN(INDEX('Our policies'!$B$4:$B$503,_calc!$E$333))=0,"",INDEX('Our policies'!$B$4:$B$503,_calc!$E$333))&amp;". ")&amp;IF(LEN(IF(LEN(INDEX('Our policies'!$C$4:$C$503,_calc!$E$333))=0,"",INDEX('Our policies'!$C$4:$C$503,_calc!$E$333)))=0,"","Insurer: "&amp;IF(LEN(INDEX('Our policies'!$C$4:$C$503,_calc!$E$333))=0,"",INDEX('Our policies'!$C$4:$C$503,_calc!$E$333))&amp;". ")&amp;IF(LEN(IF(LEN(INDEX('Our policies'!$D$4:$D$503,_calc!$E$333))=0,"",INDEX('Our policies'!$D$4:$D$503,_calc!$E$333)))=0,"","Broker: "&amp;IF(LEN(INDEX('Our policies'!$D$4:$D$503,_calc!$E$333))=0,"",INDEX('Our policies'!$D$4:$D$503,_calc!$E$333))&amp;". ")&amp;IF(LEN(IF(LEN(INDEX('Our policies'!$E$4:$E$503,_calc!$E$333))=0,"",INDEX('Our policies'!$E$4:$E$503,_calc!$E$333)))=0,"","Policy no.: "&amp;IF(LEN(INDEX('Our policies'!$E$4:$E$503,_calc!$E$333))=0,"",INDEX('Our policies'!$E$4:$E$503,_calc!$E$333))&amp;". ")&amp;IF(LEN(IF(LEN(INDEX('Our policies'!$S$4:$S$503,_calc!$E$333))=0,"",INDEX('Our policies'!$S$4:$S$503,_calc!$E$333)))=0,"",IF(LEN(INDEX('Our policies'!$S$4:$S$503,_calc!$E$333))=0,"",INDEX('Our policies'!$S$4:$S$503,_calc!$E$333)))),TRIM(IF(LEN(IF(LEN(INDEX('Vendor COIs'!$C$4:$C$503,(_calc!$E$333-500)))=0,"",INDEX('Vendor COIs'!$C$4:$C$503,(_calc!$E$333-500))))=0,"","Insurer: "&amp;IF(LEN(INDEX('Vendor COIs'!$C$4:$C$503,(_calc!$E$333-500)))=0,"",INDEX('Vendor COIs'!$C$4:$C$503,(_calc!$E$333-500)))&amp;". ")&amp;IF(LEN(IF(LEN(INDEX('Vendor COIs'!$D$4:$D$503,(_calc!$E$333-500)))=0,"",INDEX('Vendor COIs'!$D$4:$D$503,(_calc!$E$333-500))))=0,"","Policy no.: "&amp;IF(LEN(INDEX('Vendor COIs'!$D$4:$D$503,(_calc!$E$333-500)))=0,"",INDEX('Vendor COIs'!$D$4:$D$503,(_calc!$E$333-500)))&amp;". ")&amp;IF(LEN(IF(LEN(INDEX('Vendor COIs'!$F$4:$F$503,(_calc!$E$333-500)))=0,"",INDEX('Vendor COIs'!$F$4:$F$503,(_calc!$E$333-500))))=0,"","Meets minimum: "&amp;IF(LEN(INDEX('Vendor COIs'!$F$4:$F$503,(_calc!$E$333-500)))=0,"",INDEX('Vendor COIs'!$F$4:$F$503,(_calc!$E$333-500)))&amp;". ")&amp;IF(LEN(IF(LEN(INDEX('Vendor COIs'!$G$4:$G$503,(_calc!$E$333-500)))=0,"",INDEX('Vendor COIs'!$G$4:$G$503,(_calc!$E$333-500))))=0,"","Additional insured: "&amp;IF(LEN(INDEX('Vendor COIs'!$G$4:$G$503,(_calc!$E$333-500)))=0,"",INDEX('Vendor COIs'!$G$4:$G$503,(_calc!$E$333-500)))&amp;". ")&amp;IF(LEN(IF(LEN(INDEX('Vendor COIs'!$M$4:$M$503,(_calc!$E$333-500)))=0,"",INDEX('Vendor COIs'!$M$4:$M$503,(_calc!$E$333-500))))=0,"","Vendor contact: "&amp;IF(LEN(INDEX('Vendor COIs'!$M$4:$M$503,(_calc!$E$333-500)))=0,"",INDEX('Vendor COIs'!$M$4:$M$503,(_calc!$E$333-500)))&amp;". ")&amp;IF(LEN(IF(LEN(INDEX('Vendor COIs'!$P$4:$P$503,(_calc!$E$333-500)))=0,"",INDEX('Vendor COIs'!$P$4:$P$503,(_calc!$E$333-500))))=0,"",IF(LEN(INDEX('Vendor COIs'!$P$4:$P$503,(_calc!$E$333-500)))=0,"",INDEX('Vendor COIs'!$P$4:$P$503,(_calc!$E$333-500)))))))</f>
        <v/>
      </c>
      <c r="G331" s="46">
        <f>IF(_calc!$E$333="","",IF(_calc!$E$333&lt;=500,IF(LEN(INDEX('Our policies'!$R$4:$R$503,_calc!$E$333))=0,"",INDEX('Our policies'!$R$4:$R$503,_calc!$E$333)),IF(LEN(INDEX('Vendor COIs'!$O$4:$O$503,(_calc!$E$333-500)))=0,"",INDEX('Vendor COIs'!$O$4:$O$503,(_calc!$E$333-500)))))</f>
        <v/>
      </c>
      <c r="H331" s="46">
        <f>IF(_calc!$E$333="","",IF(_calc!$E$333&lt;=500,IF(LEN(INDEX('Our policies'!$G$4:$G$503,_calc!$E$333))=0,"",INDEX('Our policies'!$G$4:$G$503,_calc!$E$333)),""))</f>
        <v/>
      </c>
      <c r="I331" s="46">
        <f>IF(_calc!$E$333="","",IF(_calc!$E$333&lt;=500,IF(LEN(INDEX('Our policies'!$H$4:$H$503,_calc!$E$333))=0,"",INDEX('Our policies'!$H$4:$H$503,_calc!$E$333)),""))</f>
        <v/>
      </c>
      <c r="K331" s="46">
        <f>IF(_calc!$E$333="","",IF(_calc!$E$333&lt;=500,IF(LEN(INDEX('Our policies'!$P$4:$P$503,_calc!$E$333))=0,"",INDEX('Our policies'!$P$4:$P$503,_calc!$E$333)),IF(LEN(INDEX('Vendor COIs'!$N$4:$N$503,(_calc!$E$333-500)))=0,"",INDEX('Vendor COIs'!$N$4:$N$503,(_calc!$E$333-500)))))</f>
        <v/>
      </c>
    </row>
    <row r="332">
      <c r="A332" s="46">
        <f>IF(_calc!$E$334="","",IF(_calc!$E$334&lt;=500,IF(LEN(INDEX('Our policies'!$A$4:$A$503,_calc!$E$334))=0,"",INDEX('Our policies'!$A$4:$A$503,_calc!$E$334)),"COI – "&amp;IF(LEN(INDEX('Vendor COIs'!$A$4:$A$503,(_calc!$E$334-500)))=0,"",INDEX('Vendor COIs'!$A$4:$A$503,(_calc!$E$334-500)))&amp;" – "&amp;IF(LEN(INDEX('Vendor COIs'!$B$4:$B$503,(_calc!$E$334-500)))=0,"",INDEX('Vendor COIs'!$B$4:$B$503,(_calc!$E$334-500)))))</f>
        <v/>
      </c>
      <c r="B332" s="46">
        <f>IF(_calc!$E$334="","",IF(_calc!$E$334&lt;=500,IF(ISNUMBER(INDEX('Our policies'!$J$4:$J$503,_calc!$E$334)),TEXT(INDEX('Our policies'!$J$4:$J$503,_calc!$E$334),"yyyy-mm-dd"),""),IF(ISNUMBER(INDEX('Vendor COIs'!$H$4:$H$503,(_calc!$E$334-500))),TEXT(INDEX('Vendor COIs'!$H$4:$H$503,(_calc!$E$334-500)),"yyyy-mm-dd"),"")))</f>
        <v/>
      </c>
      <c r="C332" s="46">
        <f>IF(_calc!$E$334="","",IF(_calc!$E$334&lt;=500,"Insurance","Certificate of insurance"))</f>
        <v/>
      </c>
      <c r="D332" s="46">
        <f>IF(_calc!$E$334="","",IF(_calc!$E$334&lt;=500,IF(ISNUMBER(INDEX('Our policies'!$I$4:$I$503,_calc!$E$334)),TEXT(INDEX('Our policies'!$I$4:$I$503,_calc!$E$334),"yyyy-mm-dd"),""),""))</f>
        <v/>
      </c>
      <c r="E332" s="46">
        <f>IF(_calc!$E$334="","",IF(_calc!$E$334&lt;=500,IF(LEN(INDEX('Our policies'!$Q$4:$Q$503,_calc!$E$334))=0,"",INDEX('Our policies'!$Q$4:$Q$503,_calc!$E$334)),"Medium"))</f>
        <v/>
      </c>
      <c r="F332" s="46">
        <f>IF(_calc!$E$334="","",IF(_calc!$E$334&lt;=500,TRIM(IF(LEN(IF(LEN(INDEX('Our policies'!$B$4:$B$503,_calc!$E$334))=0,"",INDEX('Our policies'!$B$4:$B$503,_calc!$E$334)))=0,"","Cover: "&amp;IF(LEN(INDEX('Our policies'!$B$4:$B$503,_calc!$E$334))=0,"",INDEX('Our policies'!$B$4:$B$503,_calc!$E$334))&amp;". ")&amp;IF(LEN(IF(LEN(INDEX('Our policies'!$C$4:$C$503,_calc!$E$334))=0,"",INDEX('Our policies'!$C$4:$C$503,_calc!$E$334)))=0,"","Insurer: "&amp;IF(LEN(INDEX('Our policies'!$C$4:$C$503,_calc!$E$334))=0,"",INDEX('Our policies'!$C$4:$C$503,_calc!$E$334))&amp;". ")&amp;IF(LEN(IF(LEN(INDEX('Our policies'!$D$4:$D$503,_calc!$E$334))=0,"",INDEX('Our policies'!$D$4:$D$503,_calc!$E$334)))=0,"","Broker: "&amp;IF(LEN(INDEX('Our policies'!$D$4:$D$503,_calc!$E$334))=0,"",INDEX('Our policies'!$D$4:$D$503,_calc!$E$334))&amp;". ")&amp;IF(LEN(IF(LEN(INDEX('Our policies'!$E$4:$E$503,_calc!$E$334))=0,"",INDEX('Our policies'!$E$4:$E$503,_calc!$E$334)))=0,"","Policy no.: "&amp;IF(LEN(INDEX('Our policies'!$E$4:$E$503,_calc!$E$334))=0,"",INDEX('Our policies'!$E$4:$E$503,_calc!$E$334))&amp;". ")&amp;IF(LEN(IF(LEN(INDEX('Our policies'!$S$4:$S$503,_calc!$E$334))=0,"",INDEX('Our policies'!$S$4:$S$503,_calc!$E$334)))=0,"",IF(LEN(INDEX('Our policies'!$S$4:$S$503,_calc!$E$334))=0,"",INDEX('Our policies'!$S$4:$S$503,_calc!$E$334)))),TRIM(IF(LEN(IF(LEN(INDEX('Vendor COIs'!$C$4:$C$503,(_calc!$E$334-500)))=0,"",INDEX('Vendor COIs'!$C$4:$C$503,(_calc!$E$334-500))))=0,"","Insurer: "&amp;IF(LEN(INDEX('Vendor COIs'!$C$4:$C$503,(_calc!$E$334-500)))=0,"",INDEX('Vendor COIs'!$C$4:$C$503,(_calc!$E$334-500)))&amp;". ")&amp;IF(LEN(IF(LEN(INDEX('Vendor COIs'!$D$4:$D$503,(_calc!$E$334-500)))=0,"",INDEX('Vendor COIs'!$D$4:$D$503,(_calc!$E$334-500))))=0,"","Policy no.: "&amp;IF(LEN(INDEX('Vendor COIs'!$D$4:$D$503,(_calc!$E$334-500)))=0,"",INDEX('Vendor COIs'!$D$4:$D$503,(_calc!$E$334-500)))&amp;". ")&amp;IF(LEN(IF(LEN(INDEX('Vendor COIs'!$F$4:$F$503,(_calc!$E$334-500)))=0,"",INDEX('Vendor COIs'!$F$4:$F$503,(_calc!$E$334-500))))=0,"","Meets minimum: "&amp;IF(LEN(INDEX('Vendor COIs'!$F$4:$F$503,(_calc!$E$334-500)))=0,"",INDEX('Vendor COIs'!$F$4:$F$503,(_calc!$E$334-500)))&amp;". ")&amp;IF(LEN(IF(LEN(INDEX('Vendor COIs'!$G$4:$G$503,(_calc!$E$334-500)))=0,"",INDEX('Vendor COIs'!$G$4:$G$503,(_calc!$E$334-500))))=0,"","Additional insured: "&amp;IF(LEN(INDEX('Vendor COIs'!$G$4:$G$503,(_calc!$E$334-500)))=0,"",INDEX('Vendor COIs'!$G$4:$G$503,(_calc!$E$334-500)))&amp;". ")&amp;IF(LEN(IF(LEN(INDEX('Vendor COIs'!$M$4:$M$503,(_calc!$E$334-500)))=0,"",INDEX('Vendor COIs'!$M$4:$M$503,(_calc!$E$334-500))))=0,"","Vendor contact: "&amp;IF(LEN(INDEX('Vendor COIs'!$M$4:$M$503,(_calc!$E$334-500)))=0,"",INDEX('Vendor COIs'!$M$4:$M$503,(_calc!$E$334-500)))&amp;". ")&amp;IF(LEN(IF(LEN(INDEX('Vendor COIs'!$P$4:$P$503,(_calc!$E$334-500)))=0,"",INDEX('Vendor COIs'!$P$4:$P$503,(_calc!$E$334-500))))=0,"",IF(LEN(INDEX('Vendor COIs'!$P$4:$P$503,(_calc!$E$334-500)))=0,"",INDEX('Vendor COIs'!$P$4:$P$503,(_calc!$E$334-500)))))))</f>
        <v/>
      </c>
      <c r="G332" s="46">
        <f>IF(_calc!$E$334="","",IF(_calc!$E$334&lt;=500,IF(LEN(INDEX('Our policies'!$R$4:$R$503,_calc!$E$334))=0,"",INDEX('Our policies'!$R$4:$R$503,_calc!$E$334)),IF(LEN(INDEX('Vendor COIs'!$O$4:$O$503,(_calc!$E$334-500)))=0,"",INDEX('Vendor COIs'!$O$4:$O$503,(_calc!$E$334-500)))))</f>
        <v/>
      </c>
      <c r="H332" s="46">
        <f>IF(_calc!$E$334="","",IF(_calc!$E$334&lt;=500,IF(LEN(INDEX('Our policies'!$G$4:$G$503,_calc!$E$334))=0,"",INDEX('Our policies'!$G$4:$G$503,_calc!$E$334)),""))</f>
        <v/>
      </c>
      <c r="I332" s="46">
        <f>IF(_calc!$E$334="","",IF(_calc!$E$334&lt;=500,IF(LEN(INDEX('Our policies'!$H$4:$H$503,_calc!$E$334))=0,"",INDEX('Our policies'!$H$4:$H$503,_calc!$E$334)),""))</f>
        <v/>
      </c>
      <c r="K332" s="46">
        <f>IF(_calc!$E$334="","",IF(_calc!$E$334&lt;=500,IF(LEN(INDEX('Our policies'!$P$4:$P$503,_calc!$E$334))=0,"",INDEX('Our policies'!$P$4:$P$503,_calc!$E$334)),IF(LEN(INDEX('Vendor COIs'!$N$4:$N$503,(_calc!$E$334-500)))=0,"",INDEX('Vendor COIs'!$N$4:$N$503,(_calc!$E$334-500)))))</f>
        <v/>
      </c>
    </row>
    <row r="333">
      <c r="A333" s="46">
        <f>IF(_calc!$E$335="","",IF(_calc!$E$335&lt;=500,IF(LEN(INDEX('Our policies'!$A$4:$A$503,_calc!$E$335))=0,"",INDEX('Our policies'!$A$4:$A$503,_calc!$E$335)),"COI – "&amp;IF(LEN(INDEX('Vendor COIs'!$A$4:$A$503,(_calc!$E$335-500)))=0,"",INDEX('Vendor COIs'!$A$4:$A$503,(_calc!$E$335-500)))&amp;" – "&amp;IF(LEN(INDEX('Vendor COIs'!$B$4:$B$503,(_calc!$E$335-500)))=0,"",INDEX('Vendor COIs'!$B$4:$B$503,(_calc!$E$335-500)))))</f>
        <v/>
      </c>
      <c r="B333" s="46">
        <f>IF(_calc!$E$335="","",IF(_calc!$E$335&lt;=500,IF(ISNUMBER(INDEX('Our policies'!$J$4:$J$503,_calc!$E$335)),TEXT(INDEX('Our policies'!$J$4:$J$503,_calc!$E$335),"yyyy-mm-dd"),""),IF(ISNUMBER(INDEX('Vendor COIs'!$H$4:$H$503,(_calc!$E$335-500))),TEXT(INDEX('Vendor COIs'!$H$4:$H$503,(_calc!$E$335-500)),"yyyy-mm-dd"),"")))</f>
        <v/>
      </c>
      <c r="C333" s="46">
        <f>IF(_calc!$E$335="","",IF(_calc!$E$335&lt;=500,"Insurance","Certificate of insurance"))</f>
        <v/>
      </c>
      <c r="D333" s="46">
        <f>IF(_calc!$E$335="","",IF(_calc!$E$335&lt;=500,IF(ISNUMBER(INDEX('Our policies'!$I$4:$I$503,_calc!$E$335)),TEXT(INDEX('Our policies'!$I$4:$I$503,_calc!$E$335),"yyyy-mm-dd"),""),""))</f>
        <v/>
      </c>
      <c r="E333" s="46">
        <f>IF(_calc!$E$335="","",IF(_calc!$E$335&lt;=500,IF(LEN(INDEX('Our policies'!$Q$4:$Q$503,_calc!$E$335))=0,"",INDEX('Our policies'!$Q$4:$Q$503,_calc!$E$335)),"Medium"))</f>
        <v/>
      </c>
      <c r="F333" s="46">
        <f>IF(_calc!$E$335="","",IF(_calc!$E$335&lt;=500,TRIM(IF(LEN(IF(LEN(INDEX('Our policies'!$B$4:$B$503,_calc!$E$335))=0,"",INDEX('Our policies'!$B$4:$B$503,_calc!$E$335)))=0,"","Cover: "&amp;IF(LEN(INDEX('Our policies'!$B$4:$B$503,_calc!$E$335))=0,"",INDEX('Our policies'!$B$4:$B$503,_calc!$E$335))&amp;". ")&amp;IF(LEN(IF(LEN(INDEX('Our policies'!$C$4:$C$503,_calc!$E$335))=0,"",INDEX('Our policies'!$C$4:$C$503,_calc!$E$335)))=0,"","Insurer: "&amp;IF(LEN(INDEX('Our policies'!$C$4:$C$503,_calc!$E$335))=0,"",INDEX('Our policies'!$C$4:$C$503,_calc!$E$335))&amp;". ")&amp;IF(LEN(IF(LEN(INDEX('Our policies'!$D$4:$D$503,_calc!$E$335))=0,"",INDEX('Our policies'!$D$4:$D$503,_calc!$E$335)))=0,"","Broker: "&amp;IF(LEN(INDEX('Our policies'!$D$4:$D$503,_calc!$E$335))=0,"",INDEX('Our policies'!$D$4:$D$503,_calc!$E$335))&amp;". ")&amp;IF(LEN(IF(LEN(INDEX('Our policies'!$E$4:$E$503,_calc!$E$335))=0,"",INDEX('Our policies'!$E$4:$E$503,_calc!$E$335)))=0,"","Policy no.: "&amp;IF(LEN(INDEX('Our policies'!$E$4:$E$503,_calc!$E$335))=0,"",INDEX('Our policies'!$E$4:$E$503,_calc!$E$335))&amp;". ")&amp;IF(LEN(IF(LEN(INDEX('Our policies'!$S$4:$S$503,_calc!$E$335))=0,"",INDEX('Our policies'!$S$4:$S$503,_calc!$E$335)))=0,"",IF(LEN(INDEX('Our policies'!$S$4:$S$503,_calc!$E$335))=0,"",INDEX('Our policies'!$S$4:$S$503,_calc!$E$335)))),TRIM(IF(LEN(IF(LEN(INDEX('Vendor COIs'!$C$4:$C$503,(_calc!$E$335-500)))=0,"",INDEX('Vendor COIs'!$C$4:$C$503,(_calc!$E$335-500))))=0,"","Insurer: "&amp;IF(LEN(INDEX('Vendor COIs'!$C$4:$C$503,(_calc!$E$335-500)))=0,"",INDEX('Vendor COIs'!$C$4:$C$503,(_calc!$E$335-500)))&amp;". ")&amp;IF(LEN(IF(LEN(INDEX('Vendor COIs'!$D$4:$D$503,(_calc!$E$335-500)))=0,"",INDEX('Vendor COIs'!$D$4:$D$503,(_calc!$E$335-500))))=0,"","Policy no.: "&amp;IF(LEN(INDEX('Vendor COIs'!$D$4:$D$503,(_calc!$E$335-500)))=0,"",INDEX('Vendor COIs'!$D$4:$D$503,(_calc!$E$335-500)))&amp;". ")&amp;IF(LEN(IF(LEN(INDEX('Vendor COIs'!$F$4:$F$503,(_calc!$E$335-500)))=0,"",INDEX('Vendor COIs'!$F$4:$F$503,(_calc!$E$335-500))))=0,"","Meets minimum: "&amp;IF(LEN(INDEX('Vendor COIs'!$F$4:$F$503,(_calc!$E$335-500)))=0,"",INDEX('Vendor COIs'!$F$4:$F$503,(_calc!$E$335-500)))&amp;". ")&amp;IF(LEN(IF(LEN(INDEX('Vendor COIs'!$G$4:$G$503,(_calc!$E$335-500)))=0,"",INDEX('Vendor COIs'!$G$4:$G$503,(_calc!$E$335-500))))=0,"","Additional insured: "&amp;IF(LEN(INDEX('Vendor COIs'!$G$4:$G$503,(_calc!$E$335-500)))=0,"",INDEX('Vendor COIs'!$G$4:$G$503,(_calc!$E$335-500)))&amp;". ")&amp;IF(LEN(IF(LEN(INDEX('Vendor COIs'!$M$4:$M$503,(_calc!$E$335-500)))=0,"",INDEX('Vendor COIs'!$M$4:$M$503,(_calc!$E$335-500))))=0,"","Vendor contact: "&amp;IF(LEN(INDEX('Vendor COIs'!$M$4:$M$503,(_calc!$E$335-500)))=0,"",INDEX('Vendor COIs'!$M$4:$M$503,(_calc!$E$335-500)))&amp;". ")&amp;IF(LEN(IF(LEN(INDEX('Vendor COIs'!$P$4:$P$503,(_calc!$E$335-500)))=0,"",INDEX('Vendor COIs'!$P$4:$P$503,(_calc!$E$335-500))))=0,"",IF(LEN(INDEX('Vendor COIs'!$P$4:$P$503,(_calc!$E$335-500)))=0,"",INDEX('Vendor COIs'!$P$4:$P$503,(_calc!$E$335-500)))))))</f>
        <v/>
      </c>
      <c r="G333" s="46">
        <f>IF(_calc!$E$335="","",IF(_calc!$E$335&lt;=500,IF(LEN(INDEX('Our policies'!$R$4:$R$503,_calc!$E$335))=0,"",INDEX('Our policies'!$R$4:$R$503,_calc!$E$335)),IF(LEN(INDEX('Vendor COIs'!$O$4:$O$503,(_calc!$E$335-500)))=0,"",INDEX('Vendor COIs'!$O$4:$O$503,(_calc!$E$335-500)))))</f>
        <v/>
      </c>
      <c r="H333" s="46">
        <f>IF(_calc!$E$335="","",IF(_calc!$E$335&lt;=500,IF(LEN(INDEX('Our policies'!$G$4:$G$503,_calc!$E$335))=0,"",INDEX('Our policies'!$G$4:$G$503,_calc!$E$335)),""))</f>
        <v/>
      </c>
      <c r="I333" s="46">
        <f>IF(_calc!$E$335="","",IF(_calc!$E$335&lt;=500,IF(LEN(INDEX('Our policies'!$H$4:$H$503,_calc!$E$335))=0,"",INDEX('Our policies'!$H$4:$H$503,_calc!$E$335)),""))</f>
        <v/>
      </c>
      <c r="K333" s="46">
        <f>IF(_calc!$E$335="","",IF(_calc!$E$335&lt;=500,IF(LEN(INDEX('Our policies'!$P$4:$P$503,_calc!$E$335))=0,"",INDEX('Our policies'!$P$4:$P$503,_calc!$E$335)),IF(LEN(INDEX('Vendor COIs'!$N$4:$N$503,(_calc!$E$335-500)))=0,"",INDEX('Vendor COIs'!$N$4:$N$503,(_calc!$E$335-500)))))</f>
        <v/>
      </c>
    </row>
    <row r="334">
      <c r="A334" s="46">
        <f>IF(_calc!$E$336="","",IF(_calc!$E$336&lt;=500,IF(LEN(INDEX('Our policies'!$A$4:$A$503,_calc!$E$336))=0,"",INDEX('Our policies'!$A$4:$A$503,_calc!$E$336)),"COI – "&amp;IF(LEN(INDEX('Vendor COIs'!$A$4:$A$503,(_calc!$E$336-500)))=0,"",INDEX('Vendor COIs'!$A$4:$A$503,(_calc!$E$336-500)))&amp;" – "&amp;IF(LEN(INDEX('Vendor COIs'!$B$4:$B$503,(_calc!$E$336-500)))=0,"",INDEX('Vendor COIs'!$B$4:$B$503,(_calc!$E$336-500)))))</f>
        <v/>
      </c>
      <c r="B334" s="46">
        <f>IF(_calc!$E$336="","",IF(_calc!$E$336&lt;=500,IF(ISNUMBER(INDEX('Our policies'!$J$4:$J$503,_calc!$E$336)),TEXT(INDEX('Our policies'!$J$4:$J$503,_calc!$E$336),"yyyy-mm-dd"),""),IF(ISNUMBER(INDEX('Vendor COIs'!$H$4:$H$503,(_calc!$E$336-500))),TEXT(INDEX('Vendor COIs'!$H$4:$H$503,(_calc!$E$336-500)),"yyyy-mm-dd"),"")))</f>
        <v/>
      </c>
      <c r="C334" s="46">
        <f>IF(_calc!$E$336="","",IF(_calc!$E$336&lt;=500,"Insurance","Certificate of insurance"))</f>
        <v/>
      </c>
      <c r="D334" s="46">
        <f>IF(_calc!$E$336="","",IF(_calc!$E$336&lt;=500,IF(ISNUMBER(INDEX('Our policies'!$I$4:$I$503,_calc!$E$336)),TEXT(INDEX('Our policies'!$I$4:$I$503,_calc!$E$336),"yyyy-mm-dd"),""),""))</f>
        <v/>
      </c>
      <c r="E334" s="46">
        <f>IF(_calc!$E$336="","",IF(_calc!$E$336&lt;=500,IF(LEN(INDEX('Our policies'!$Q$4:$Q$503,_calc!$E$336))=0,"",INDEX('Our policies'!$Q$4:$Q$503,_calc!$E$336)),"Medium"))</f>
        <v/>
      </c>
      <c r="F334" s="46">
        <f>IF(_calc!$E$336="","",IF(_calc!$E$336&lt;=500,TRIM(IF(LEN(IF(LEN(INDEX('Our policies'!$B$4:$B$503,_calc!$E$336))=0,"",INDEX('Our policies'!$B$4:$B$503,_calc!$E$336)))=0,"","Cover: "&amp;IF(LEN(INDEX('Our policies'!$B$4:$B$503,_calc!$E$336))=0,"",INDEX('Our policies'!$B$4:$B$503,_calc!$E$336))&amp;". ")&amp;IF(LEN(IF(LEN(INDEX('Our policies'!$C$4:$C$503,_calc!$E$336))=0,"",INDEX('Our policies'!$C$4:$C$503,_calc!$E$336)))=0,"","Insurer: "&amp;IF(LEN(INDEX('Our policies'!$C$4:$C$503,_calc!$E$336))=0,"",INDEX('Our policies'!$C$4:$C$503,_calc!$E$336))&amp;". ")&amp;IF(LEN(IF(LEN(INDEX('Our policies'!$D$4:$D$503,_calc!$E$336))=0,"",INDEX('Our policies'!$D$4:$D$503,_calc!$E$336)))=0,"","Broker: "&amp;IF(LEN(INDEX('Our policies'!$D$4:$D$503,_calc!$E$336))=0,"",INDEX('Our policies'!$D$4:$D$503,_calc!$E$336))&amp;". ")&amp;IF(LEN(IF(LEN(INDEX('Our policies'!$E$4:$E$503,_calc!$E$336))=0,"",INDEX('Our policies'!$E$4:$E$503,_calc!$E$336)))=0,"","Policy no.: "&amp;IF(LEN(INDEX('Our policies'!$E$4:$E$503,_calc!$E$336))=0,"",INDEX('Our policies'!$E$4:$E$503,_calc!$E$336))&amp;". ")&amp;IF(LEN(IF(LEN(INDEX('Our policies'!$S$4:$S$503,_calc!$E$336))=0,"",INDEX('Our policies'!$S$4:$S$503,_calc!$E$336)))=0,"",IF(LEN(INDEX('Our policies'!$S$4:$S$503,_calc!$E$336))=0,"",INDEX('Our policies'!$S$4:$S$503,_calc!$E$336)))),TRIM(IF(LEN(IF(LEN(INDEX('Vendor COIs'!$C$4:$C$503,(_calc!$E$336-500)))=0,"",INDEX('Vendor COIs'!$C$4:$C$503,(_calc!$E$336-500))))=0,"","Insurer: "&amp;IF(LEN(INDEX('Vendor COIs'!$C$4:$C$503,(_calc!$E$336-500)))=0,"",INDEX('Vendor COIs'!$C$4:$C$503,(_calc!$E$336-500)))&amp;". ")&amp;IF(LEN(IF(LEN(INDEX('Vendor COIs'!$D$4:$D$503,(_calc!$E$336-500)))=0,"",INDEX('Vendor COIs'!$D$4:$D$503,(_calc!$E$336-500))))=0,"","Policy no.: "&amp;IF(LEN(INDEX('Vendor COIs'!$D$4:$D$503,(_calc!$E$336-500)))=0,"",INDEX('Vendor COIs'!$D$4:$D$503,(_calc!$E$336-500)))&amp;". ")&amp;IF(LEN(IF(LEN(INDEX('Vendor COIs'!$F$4:$F$503,(_calc!$E$336-500)))=0,"",INDEX('Vendor COIs'!$F$4:$F$503,(_calc!$E$336-500))))=0,"","Meets minimum: "&amp;IF(LEN(INDEX('Vendor COIs'!$F$4:$F$503,(_calc!$E$336-500)))=0,"",INDEX('Vendor COIs'!$F$4:$F$503,(_calc!$E$336-500)))&amp;". ")&amp;IF(LEN(IF(LEN(INDEX('Vendor COIs'!$G$4:$G$503,(_calc!$E$336-500)))=0,"",INDEX('Vendor COIs'!$G$4:$G$503,(_calc!$E$336-500))))=0,"","Additional insured: "&amp;IF(LEN(INDEX('Vendor COIs'!$G$4:$G$503,(_calc!$E$336-500)))=0,"",INDEX('Vendor COIs'!$G$4:$G$503,(_calc!$E$336-500)))&amp;". ")&amp;IF(LEN(IF(LEN(INDEX('Vendor COIs'!$M$4:$M$503,(_calc!$E$336-500)))=0,"",INDEX('Vendor COIs'!$M$4:$M$503,(_calc!$E$336-500))))=0,"","Vendor contact: "&amp;IF(LEN(INDEX('Vendor COIs'!$M$4:$M$503,(_calc!$E$336-500)))=0,"",INDEX('Vendor COIs'!$M$4:$M$503,(_calc!$E$336-500)))&amp;". ")&amp;IF(LEN(IF(LEN(INDEX('Vendor COIs'!$P$4:$P$503,(_calc!$E$336-500)))=0,"",INDEX('Vendor COIs'!$P$4:$P$503,(_calc!$E$336-500))))=0,"",IF(LEN(INDEX('Vendor COIs'!$P$4:$P$503,(_calc!$E$336-500)))=0,"",INDEX('Vendor COIs'!$P$4:$P$503,(_calc!$E$336-500)))))))</f>
        <v/>
      </c>
      <c r="G334" s="46">
        <f>IF(_calc!$E$336="","",IF(_calc!$E$336&lt;=500,IF(LEN(INDEX('Our policies'!$R$4:$R$503,_calc!$E$336))=0,"",INDEX('Our policies'!$R$4:$R$503,_calc!$E$336)),IF(LEN(INDEX('Vendor COIs'!$O$4:$O$503,(_calc!$E$336-500)))=0,"",INDEX('Vendor COIs'!$O$4:$O$503,(_calc!$E$336-500)))))</f>
        <v/>
      </c>
      <c r="H334" s="46">
        <f>IF(_calc!$E$336="","",IF(_calc!$E$336&lt;=500,IF(LEN(INDEX('Our policies'!$G$4:$G$503,_calc!$E$336))=0,"",INDEX('Our policies'!$G$4:$G$503,_calc!$E$336)),""))</f>
        <v/>
      </c>
      <c r="I334" s="46">
        <f>IF(_calc!$E$336="","",IF(_calc!$E$336&lt;=500,IF(LEN(INDEX('Our policies'!$H$4:$H$503,_calc!$E$336))=0,"",INDEX('Our policies'!$H$4:$H$503,_calc!$E$336)),""))</f>
        <v/>
      </c>
      <c r="K334" s="46">
        <f>IF(_calc!$E$336="","",IF(_calc!$E$336&lt;=500,IF(LEN(INDEX('Our policies'!$P$4:$P$503,_calc!$E$336))=0,"",INDEX('Our policies'!$P$4:$P$503,_calc!$E$336)),IF(LEN(INDEX('Vendor COIs'!$N$4:$N$503,(_calc!$E$336-500)))=0,"",INDEX('Vendor COIs'!$N$4:$N$503,(_calc!$E$336-500)))))</f>
        <v/>
      </c>
    </row>
    <row r="335">
      <c r="A335" s="46">
        <f>IF(_calc!$E$337="","",IF(_calc!$E$337&lt;=500,IF(LEN(INDEX('Our policies'!$A$4:$A$503,_calc!$E$337))=0,"",INDEX('Our policies'!$A$4:$A$503,_calc!$E$337)),"COI – "&amp;IF(LEN(INDEX('Vendor COIs'!$A$4:$A$503,(_calc!$E$337-500)))=0,"",INDEX('Vendor COIs'!$A$4:$A$503,(_calc!$E$337-500)))&amp;" – "&amp;IF(LEN(INDEX('Vendor COIs'!$B$4:$B$503,(_calc!$E$337-500)))=0,"",INDEX('Vendor COIs'!$B$4:$B$503,(_calc!$E$337-500)))))</f>
        <v/>
      </c>
      <c r="B335" s="46">
        <f>IF(_calc!$E$337="","",IF(_calc!$E$337&lt;=500,IF(ISNUMBER(INDEX('Our policies'!$J$4:$J$503,_calc!$E$337)),TEXT(INDEX('Our policies'!$J$4:$J$503,_calc!$E$337),"yyyy-mm-dd"),""),IF(ISNUMBER(INDEX('Vendor COIs'!$H$4:$H$503,(_calc!$E$337-500))),TEXT(INDEX('Vendor COIs'!$H$4:$H$503,(_calc!$E$337-500)),"yyyy-mm-dd"),"")))</f>
        <v/>
      </c>
      <c r="C335" s="46">
        <f>IF(_calc!$E$337="","",IF(_calc!$E$337&lt;=500,"Insurance","Certificate of insurance"))</f>
        <v/>
      </c>
      <c r="D335" s="46">
        <f>IF(_calc!$E$337="","",IF(_calc!$E$337&lt;=500,IF(ISNUMBER(INDEX('Our policies'!$I$4:$I$503,_calc!$E$337)),TEXT(INDEX('Our policies'!$I$4:$I$503,_calc!$E$337),"yyyy-mm-dd"),""),""))</f>
        <v/>
      </c>
      <c r="E335" s="46">
        <f>IF(_calc!$E$337="","",IF(_calc!$E$337&lt;=500,IF(LEN(INDEX('Our policies'!$Q$4:$Q$503,_calc!$E$337))=0,"",INDEX('Our policies'!$Q$4:$Q$503,_calc!$E$337)),"Medium"))</f>
        <v/>
      </c>
      <c r="F335" s="46">
        <f>IF(_calc!$E$337="","",IF(_calc!$E$337&lt;=500,TRIM(IF(LEN(IF(LEN(INDEX('Our policies'!$B$4:$B$503,_calc!$E$337))=0,"",INDEX('Our policies'!$B$4:$B$503,_calc!$E$337)))=0,"","Cover: "&amp;IF(LEN(INDEX('Our policies'!$B$4:$B$503,_calc!$E$337))=0,"",INDEX('Our policies'!$B$4:$B$503,_calc!$E$337))&amp;". ")&amp;IF(LEN(IF(LEN(INDEX('Our policies'!$C$4:$C$503,_calc!$E$337))=0,"",INDEX('Our policies'!$C$4:$C$503,_calc!$E$337)))=0,"","Insurer: "&amp;IF(LEN(INDEX('Our policies'!$C$4:$C$503,_calc!$E$337))=0,"",INDEX('Our policies'!$C$4:$C$503,_calc!$E$337))&amp;". ")&amp;IF(LEN(IF(LEN(INDEX('Our policies'!$D$4:$D$503,_calc!$E$337))=0,"",INDEX('Our policies'!$D$4:$D$503,_calc!$E$337)))=0,"","Broker: "&amp;IF(LEN(INDEX('Our policies'!$D$4:$D$503,_calc!$E$337))=0,"",INDEX('Our policies'!$D$4:$D$503,_calc!$E$337))&amp;". ")&amp;IF(LEN(IF(LEN(INDEX('Our policies'!$E$4:$E$503,_calc!$E$337))=0,"",INDEX('Our policies'!$E$4:$E$503,_calc!$E$337)))=0,"","Policy no.: "&amp;IF(LEN(INDEX('Our policies'!$E$4:$E$503,_calc!$E$337))=0,"",INDEX('Our policies'!$E$4:$E$503,_calc!$E$337))&amp;". ")&amp;IF(LEN(IF(LEN(INDEX('Our policies'!$S$4:$S$503,_calc!$E$337))=0,"",INDEX('Our policies'!$S$4:$S$503,_calc!$E$337)))=0,"",IF(LEN(INDEX('Our policies'!$S$4:$S$503,_calc!$E$337))=0,"",INDEX('Our policies'!$S$4:$S$503,_calc!$E$337)))),TRIM(IF(LEN(IF(LEN(INDEX('Vendor COIs'!$C$4:$C$503,(_calc!$E$337-500)))=0,"",INDEX('Vendor COIs'!$C$4:$C$503,(_calc!$E$337-500))))=0,"","Insurer: "&amp;IF(LEN(INDEX('Vendor COIs'!$C$4:$C$503,(_calc!$E$337-500)))=0,"",INDEX('Vendor COIs'!$C$4:$C$503,(_calc!$E$337-500)))&amp;". ")&amp;IF(LEN(IF(LEN(INDEX('Vendor COIs'!$D$4:$D$503,(_calc!$E$337-500)))=0,"",INDEX('Vendor COIs'!$D$4:$D$503,(_calc!$E$337-500))))=0,"","Policy no.: "&amp;IF(LEN(INDEX('Vendor COIs'!$D$4:$D$503,(_calc!$E$337-500)))=0,"",INDEX('Vendor COIs'!$D$4:$D$503,(_calc!$E$337-500)))&amp;". ")&amp;IF(LEN(IF(LEN(INDEX('Vendor COIs'!$F$4:$F$503,(_calc!$E$337-500)))=0,"",INDEX('Vendor COIs'!$F$4:$F$503,(_calc!$E$337-500))))=0,"","Meets minimum: "&amp;IF(LEN(INDEX('Vendor COIs'!$F$4:$F$503,(_calc!$E$337-500)))=0,"",INDEX('Vendor COIs'!$F$4:$F$503,(_calc!$E$337-500)))&amp;". ")&amp;IF(LEN(IF(LEN(INDEX('Vendor COIs'!$G$4:$G$503,(_calc!$E$337-500)))=0,"",INDEX('Vendor COIs'!$G$4:$G$503,(_calc!$E$337-500))))=0,"","Additional insured: "&amp;IF(LEN(INDEX('Vendor COIs'!$G$4:$G$503,(_calc!$E$337-500)))=0,"",INDEX('Vendor COIs'!$G$4:$G$503,(_calc!$E$337-500)))&amp;". ")&amp;IF(LEN(IF(LEN(INDEX('Vendor COIs'!$M$4:$M$503,(_calc!$E$337-500)))=0,"",INDEX('Vendor COIs'!$M$4:$M$503,(_calc!$E$337-500))))=0,"","Vendor contact: "&amp;IF(LEN(INDEX('Vendor COIs'!$M$4:$M$503,(_calc!$E$337-500)))=0,"",INDEX('Vendor COIs'!$M$4:$M$503,(_calc!$E$337-500)))&amp;". ")&amp;IF(LEN(IF(LEN(INDEX('Vendor COIs'!$P$4:$P$503,(_calc!$E$337-500)))=0,"",INDEX('Vendor COIs'!$P$4:$P$503,(_calc!$E$337-500))))=0,"",IF(LEN(INDEX('Vendor COIs'!$P$4:$P$503,(_calc!$E$337-500)))=0,"",INDEX('Vendor COIs'!$P$4:$P$503,(_calc!$E$337-500)))))))</f>
        <v/>
      </c>
      <c r="G335" s="46">
        <f>IF(_calc!$E$337="","",IF(_calc!$E$337&lt;=500,IF(LEN(INDEX('Our policies'!$R$4:$R$503,_calc!$E$337))=0,"",INDEX('Our policies'!$R$4:$R$503,_calc!$E$337)),IF(LEN(INDEX('Vendor COIs'!$O$4:$O$503,(_calc!$E$337-500)))=0,"",INDEX('Vendor COIs'!$O$4:$O$503,(_calc!$E$337-500)))))</f>
        <v/>
      </c>
      <c r="H335" s="46">
        <f>IF(_calc!$E$337="","",IF(_calc!$E$337&lt;=500,IF(LEN(INDEX('Our policies'!$G$4:$G$503,_calc!$E$337))=0,"",INDEX('Our policies'!$G$4:$G$503,_calc!$E$337)),""))</f>
        <v/>
      </c>
      <c r="I335" s="46">
        <f>IF(_calc!$E$337="","",IF(_calc!$E$337&lt;=500,IF(LEN(INDEX('Our policies'!$H$4:$H$503,_calc!$E$337))=0,"",INDEX('Our policies'!$H$4:$H$503,_calc!$E$337)),""))</f>
        <v/>
      </c>
      <c r="K335" s="46">
        <f>IF(_calc!$E$337="","",IF(_calc!$E$337&lt;=500,IF(LEN(INDEX('Our policies'!$P$4:$P$503,_calc!$E$337))=0,"",INDEX('Our policies'!$P$4:$P$503,_calc!$E$337)),IF(LEN(INDEX('Vendor COIs'!$N$4:$N$503,(_calc!$E$337-500)))=0,"",INDEX('Vendor COIs'!$N$4:$N$503,(_calc!$E$337-500)))))</f>
        <v/>
      </c>
    </row>
    <row r="336">
      <c r="A336" s="46">
        <f>IF(_calc!$E$338="","",IF(_calc!$E$338&lt;=500,IF(LEN(INDEX('Our policies'!$A$4:$A$503,_calc!$E$338))=0,"",INDEX('Our policies'!$A$4:$A$503,_calc!$E$338)),"COI – "&amp;IF(LEN(INDEX('Vendor COIs'!$A$4:$A$503,(_calc!$E$338-500)))=0,"",INDEX('Vendor COIs'!$A$4:$A$503,(_calc!$E$338-500)))&amp;" – "&amp;IF(LEN(INDEX('Vendor COIs'!$B$4:$B$503,(_calc!$E$338-500)))=0,"",INDEX('Vendor COIs'!$B$4:$B$503,(_calc!$E$338-500)))))</f>
        <v/>
      </c>
      <c r="B336" s="46">
        <f>IF(_calc!$E$338="","",IF(_calc!$E$338&lt;=500,IF(ISNUMBER(INDEX('Our policies'!$J$4:$J$503,_calc!$E$338)),TEXT(INDEX('Our policies'!$J$4:$J$503,_calc!$E$338),"yyyy-mm-dd"),""),IF(ISNUMBER(INDEX('Vendor COIs'!$H$4:$H$503,(_calc!$E$338-500))),TEXT(INDEX('Vendor COIs'!$H$4:$H$503,(_calc!$E$338-500)),"yyyy-mm-dd"),"")))</f>
        <v/>
      </c>
      <c r="C336" s="46">
        <f>IF(_calc!$E$338="","",IF(_calc!$E$338&lt;=500,"Insurance","Certificate of insurance"))</f>
        <v/>
      </c>
      <c r="D336" s="46">
        <f>IF(_calc!$E$338="","",IF(_calc!$E$338&lt;=500,IF(ISNUMBER(INDEX('Our policies'!$I$4:$I$503,_calc!$E$338)),TEXT(INDEX('Our policies'!$I$4:$I$503,_calc!$E$338),"yyyy-mm-dd"),""),""))</f>
        <v/>
      </c>
      <c r="E336" s="46">
        <f>IF(_calc!$E$338="","",IF(_calc!$E$338&lt;=500,IF(LEN(INDEX('Our policies'!$Q$4:$Q$503,_calc!$E$338))=0,"",INDEX('Our policies'!$Q$4:$Q$503,_calc!$E$338)),"Medium"))</f>
        <v/>
      </c>
      <c r="F336" s="46">
        <f>IF(_calc!$E$338="","",IF(_calc!$E$338&lt;=500,TRIM(IF(LEN(IF(LEN(INDEX('Our policies'!$B$4:$B$503,_calc!$E$338))=0,"",INDEX('Our policies'!$B$4:$B$503,_calc!$E$338)))=0,"","Cover: "&amp;IF(LEN(INDEX('Our policies'!$B$4:$B$503,_calc!$E$338))=0,"",INDEX('Our policies'!$B$4:$B$503,_calc!$E$338))&amp;". ")&amp;IF(LEN(IF(LEN(INDEX('Our policies'!$C$4:$C$503,_calc!$E$338))=0,"",INDEX('Our policies'!$C$4:$C$503,_calc!$E$338)))=0,"","Insurer: "&amp;IF(LEN(INDEX('Our policies'!$C$4:$C$503,_calc!$E$338))=0,"",INDEX('Our policies'!$C$4:$C$503,_calc!$E$338))&amp;". ")&amp;IF(LEN(IF(LEN(INDEX('Our policies'!$D$4:$D$503,_calc!$E$338))=0,"",INDEX('Our policies'!$D$4:$D$503,_calc!$E$338)))=0,"","Broker: "&amp;IF(LEN(INDEX('Our policies'!$D$4:$D$503,_calc!$E$338))=0,"",INDEX('Our policies'!$D$4:$D$503,_calc!$E$338))&amp;". ")&amp;IF(LEN(IF(LEN(INDEX('Our policies'!$E$4:$E$503,_calc!$E$338))=0,"",INDEX('Our policies'!$E$4:$E$503,_calc!$E$338)))=0,"","Policy no.: "&amp;IF(LEN(INDEX('Our policies'!$E$4:$E$503,_calc!$E$338))=0,"",INDEX('Our policies'!$E$4:$E$503,_calc!$E$338))&amp;". ")&amp;IF(LEN(IF(LEN(INDEX('Our policies'!$S$4:$S$503,_calc!$E$338))=0,"",INDEX('Our policies'!$S$4:$S$503,_calc!$E$338)))=0,"",IF(LEN(INDEX('Our policies'!$S$4:$S$503,_calc!$E$338))=0,"",INDEX('Our policies'!$S$4:$S$503,_calc!$E$338)))),TRIM(IF(LEN(IF(LEN(INDEX('Vendor COIs'!$C$4:$C$503,(_calc!$E$338-500)))=0,"",INDEX('Vendor COIs'!$C$4:$C$503,(_calc!$E$338-500))))=0,"","Insurer: "&amp;IF(LEN(INDEX('Vendor COIs'!$C$4:$C$503,(_calc!$E$338-500)))=0,"",INDEX('Vendor COIs'!$C$4:$C$503,(_calc!$E$338-500)))&amp;". ")&amp;IF(LEN(IF(LEN(INDEX('Vendor COIs'!$D$4:$D$503,(_calc!$E$338-500)))=0,"",INDEX('Vendor COIs'!$D$4:$D$503,(_calc!$E$338-500))))=0,"","Policy no.: "&amp;IF(LEN(INDEX('Vendor COIs'!$D$4:$D$503,(_calc!$E$338-500)))=0,"",INDEX('Vendor COIs'!$D$4:$D$503,(_calc!$E$338-500)))&amp;". ")&amp;IF(LEN(IF(LEN(INDEX('Vendor COIs'!$F$4:$F$503,(_calc!$E$338-500)))=0,"",INDEX('Vendor COIs'!$F$4:$F$503,(_calc!$E$338-500))))=0,"","Meets minimum: "&amp;IF(LEN(INDEX('Vendor COIs'!$F$4:$F$503,(_calc!$E$338-500)))=0,"",INDEX('Vendor COIs'!$F$4:$F$503,(_calc!$E$338-500)))&amp;". ")&amp;IF(LEN(IF(LEN(INDEX('Vendor COIs'!$G$4:$G$503,(_calc!$E$338-500)))=0,"",INDEX('Vendor COIs'!$G$4:$G$503,(_calc!$E$338-500))))=0,"","Additional insured: "&amp;IF(LEN(INDEX('Vendor COIs'!$G$4:$G$503,(_calc!$E$338-500)))=0,"",INDEX('Vendor COIs'!$G$4:$G$503,(_calc!$E$338-500)))&amp;". ")&amp;IF(LEN(IF(LEN(INDEX('Vendor COIs'!$M$4:$M$503,(_calc!$E$338-500)))=0,"",INDEX('Vendor COIs'!$M$4:$M$503,(_calc!$E$338-500))))=0,"","Vendor contact: "&amp;IF(LEN(INDEX('Vendor COIs'!$M$4:$M$503,(_calc!$E$338-500)))=0,"",INDEX('Vendor COIs'!$M$4:$M$503,(_calc!$E$338-500)))&amp;". ")&amp;IF(LEN(IF(LEN(INDEX('Vendor COIs'!$P$4:$P$503,(_calc!$E$338-500)))=0,"",INDEX('Vendor COIs'!$P$4:$P$503,(_calc!$E$338-500))))=0,"",IF(LEN(INDEX('Vendor COIs'!$P$4:$P$503,(_calc!$E$338-500)))=0,"",INDEX('Vendor COIs'!$P$4:$P$503,(_calc!$E$338-500)))))))</f>
        <v/>
      </c>
      <c r="G336" s="46">
        <f>IF(_calc!$E$338="","",IF(_calc!$E$338&lt;=500,IF(LEN(INDEX('Our policies'!$R$4:$R$503,_calc!$E$338))=0,"",INDEX('Our policies'!$R$4:$R$503,_calc!$E$338)),IF(LEN(INDEX('Vendor COIs'!$O$4:$O$503,(_calc!$E$338-500)))=0,"",INDEX('Vendor COIs'!$O$4:$O$503,(_calc!$E$338-500)))))</f>
        <v/>
      </c>
      <c r="H336" s="46">
        <f>IF(_calc!$E$338="","",IF(_calc!$E$338&lt;=500,IF(LEN(INDEX('Our policies'!$G$4:$G$503,_calc!$E$338))=0,"",INDEX('Our policies'!$G$4:$G$503,_calc!$E$338)),""))</f>
        <v/>
      </c>
      <c r="I336" s="46">
        <f>IF(_calc!$E$338="","",IF(_calc!$E$338&lt;=500,IF(LEN(INDEX('Our policies'!$H$4:$H$503,_calc!$E$338))=0,"",INDEX('Our policies'!$H$4:$H$503,_calc!$E$338)),""))</f>
        <v/>
      </c>
      <c r="K336" s="46">
        <f>IF(_calc!$E$338="","",IF(_calc!$E$338&lt;=500,IF(LEN(INDEX('Our policies'!$P$4:$P$503,_calc!$E$338))=0,"",INDEX('Our policies'!$P$4:$P$503,_calc!$E$338)),IF(LEN(INDEX('Vendor COIs'!$N$4:$N$503,(_calc!$E$338-500)))=0,"",INDEX('Vendor COIs'!$N$4:$N$503,(_calc!$E$338-500)))))</f>
        <v/>
      </c>
    </row>
    <row r="337">
      <c r="A337" s="46">
        <f>IF(_calc!$E$339="","",IF(_calc!$E$339&lt;=500,IF(LEN(INDEX('Our policies'!$A$4:$A$503,_calc!$E$339))=0,"",INDEX('Our policies'!$A$4:$A$503,_calc!$E$339)),"COI – "&amp;IF(LEN(INDEX('Vendor COIs'!$A$4:$A$503,(_calc!$E$339-500)))=0,"",INDEX('Vendor COIs'!$A$4:$A$503,(_calc!$E$339-500)))&amp;" – "&amp;IF(LEN(INDEX('Vendor COIs'!$B$4:$B$503,(_calc!$E$339-500)))=0,"",INDEX('Vendor COIs'!$B$4:$B$503,(_calc!$E$339-500)))))</f>
        <v/>
      </c>
      <c r="B337" s="46">
        <f>IF(_calc!$E$339="","",IF(_calc!$E$339&lt;=500,IF(ISNUMBER(INDEX('Our policies'!$J$4:$J$503,_calc!$E$339)),TEXT(INDEX('Our policies'!$J$4:$J$503,_calc!$E$339),"yyyy-mm-dd"),""),IF(ISNUMBER(INDEX('Vendor COIs'!$H$4:$H$503,(_calc!$E$339-500))),TEXT(INDEX('Vendor COIs'!$H$4:$H$503,(_calc!$E$339-500)),"yyyy-mm-dd"),"")))</f>
        <v/>
      </c>
      <c r="C337" s="46">
        <f>IF(_calc!$E$339="","",IF(_calc!$E$339&lt;=500,"Insurance","Certificate of insurance"))</f>
        <v/>
      </c>
      <c r="D337" s="46">
        <f>IF(_calc!$E$339="","",IF(_calc!$E$339&lt;=500,IF(ISNUMBER(INDEX('Our policies'!$I$4:$I$503,_calc!$E$339)),TEXT(INDEX('Our policies'!$I$4:$I$503,_calc!$E$339),"yyyy-mm-dd"),""),""))</f>
        <v/>
      </c>
      <c r="E337" s="46">
        <f>IF(_calc!$E$339="","",IF(_calc!$E$339&lt;=500,IF(LEN(INDEX('Our policies'!$Q$4:$Q$503,_calc!$E$339))=0,"",INDEX('Our policies'!$Q$4:$Q$503,_calc!$E$339)),"Medium"))</f>
        <v/>
      </c>
      <c r="F337" s="46">
        <f>IF(_calc!$E$339="","",IF(_calc!$E$339&lt;=500,TRIM(IF(LEN(IF(LEN(INDEX('Our policies'!$B$4:$B$503,_calc!$E$339))=0,"",INDEX('Our policies'!$B$4:$B$503,_calc!$E$339)))=0,"","Cover: "&amp;IF(LEN(INDEX('Our policies'!$B$4:$B$503,_calc!$E$339))=0,"",INDEX('Our policies'!$B$4:$B$503,_calc!$E$339))&amp;". ")&amp;IF(LEN(IF(LEN(INDEX('Our policies'!$C$4:$C$503,_calc!$E$339))=0,"",INDEX('Our policies'!$C$4:$C$503,_calc!$E$339)))=0,"","Insurer: "&amp;IF(LEN(INDEX('Our policies'!$C$4:$C$503,_calc!$E$339))=0,"",INDEX('Our policies'!$C$4:$C$503,_calc!$E$339))&amp;". ")&amp;IF(LEN(IF(LEN(INDEX('Our policies'!$D$4:$D$503,_calc!$E$339))=0,"",INDEX('Our policies'!$D$4:$D$503,_calc!$E$339)))=0,"","Broker: "&amp;IF(LEN(INDEX('Our policies'!$D$4:$D$503,_calc!$E$339))=0,"",INDEX('Our policies'!$D$4:$D$503,_calc!$E$339))&amp;". ")&amp;IF(LEN(IF(LEN(INDEX('Our policies'!$E$4:$E$503,_calc!$E$339))=0,"",INDEX('Our policies'!$E$4:$E$503,_calc!$E$339)))=0,"","Policy no.: "&amp;IF(LEN(INDEX('Our policies'!$E$4:$E$503,_calc!$E$339))=0,"",INDEX('Our policies'!$E$4:$E$503,_calc!$E$339))&amp;". ")&amp;IF(LEN(IF(LEN(INDEX('Our policies'!$S$4:$S$503,_calc!$E$339))=0,"",INDEX('Our policies'!$S$4:$S$503,_calc!$E$339)))=0,"",IF(LEN(INDEX('Our policies'!$S$4:$S$503,_calc!$E$339))=0,"",INDEX('Our policies'!$S$4:$S$503,_calc!$E$339)))),TRIM(IF(LEN(IF(LEN(INDEX('Vendor COIs'!$C$4:$C$503,(_calc!$E$339-500)))=0,"",INDEX('Vendor COIs'!$C$4:$C$503,(_calc!$E$339-500))))=0,"","Insurer: "&amp;IF(LEN(INDEX('Vendor COIs'!$C$4:$C$503,(_calc!$E$339-500)))=0,"",INDEX('Vendor COIs'!$C$4:$C$503,(_calc!$E$339-500)))&amp;". ")&amp;IF(LEN(IF(LEN(INDEX('Vendor COIs'!$D$4:$D$503,(_calc!$E$339-500)))=0,"",INDEX('Vendor COIs'!$D$4:$D$503,(_calc!$E$339-500))))=0,"","Policy no.: "&amp;IF(LEN(INDEX('Vendor COIs'!$D$4:$D$503,(_calc!$E$339-500)))=0,"",INDEX('Vendor COIs'!$D$4:$D$503,(_calc!$E$339-500)))&amp;". ")&amp;IF(LEN(IF(LEN(INDEX('Vendor COIs'!$F$4:$F$503,(_calc!$E$339-500)))=0,"",INDEX('Vendor COIs'!$F$4:$F$503,(_calc!$E$339-500))))=0,"","Meets minimum: "&amp;IF(LEN(INDEX('Vendor COIs'!$F$4:$F$503,(_calc!$E$339-500)))=0,"",INDEX('Vendor COIs'!$F$4:$F$503,(_calc!$E$339-500)))&amp;". ")&amp;IF(LEN(IF(LEN(INDEX('Vendor COIs'!$G$4:$G$503,(_calc!$E$339-500)))=0,"",INDEX('Vendor COIs'!$G$4:$G$503,(_calc!$E$339-500))))=0,"","Additional insured: "&amp;IF(LEN(INDEX('Vendor COIs'!$G$4:$G$503,(_calc!$E$339-500)))=0,"",INDEX('Vendor COIs'!$G$4:$G$503,(_calc!$E$339-500)))&amp;". ")&amp;IF(LEN(IF(LEN(INDEX('Vendor COIs'!$M$4:$M$503,(_calc!$E$339-500)))=0,"",INDEX('Vendor COIs'!$M$4:$M$503,(_calc!$E$339-500))))=0,"","Vendor contact: "&amp;IF(LEN(INDEX('Vendor COIs'!$M$4:$M$503,(_calc!$E$339-500)))=0,"",INDEX('Vendor COIs'!$M$4:$M$503,(_calc!$E$339-500)))&amp;". ")&amp;IF(LEN(IF(LEN(INDEX('Vendor COIs'!$P$4:$P$503,(_calc!$E$339-500)))=0,"",INDEX('Vendor COIs'!$P$4:$P$503,(_calc!$E$339-500))))=0,"",IF(LEN(INDEX('Vendor COIs'!$P$4:$P$503,(_calc!$E$339-500)))=0,"",INDEX('Vendor COIs'!$P$4:$P$503,(_calc!$E$339-500)))))))</f>
        <v/>
      </c>
      <c r="G337" s="46">
        <f>IF(_calc!$E$339="","",IF(_calc!$E$339&lt;=500,IF(LEN(INDEX('Our policies'!$R$4:$R$503,_calc!$E$339))=0,"",INDEX('Our policies'!$R$4:$R$503,_calc!$E$339)),IF(LEN(INDEX('Vendor COIs'!$O$4:$O$503,(_calc!$E$339-500)))=0,"",INDEX('Vendor COIs'!$O$4:$O$503,(_calc!$E$339-500)))))</f>
        <v/>
      </c>
      <c r="H337" s="46">
        <f>IF(_calc!$E$339="","",IF(_calc!$E$339&lt;=500,IF(LEN(INDEX('Our policies'!$G$4:$G$503,_calc!$E$339))=0,"",INDEX('Our policies'!$G$4:$G$503,_calc!$E$339)),""))</f>
        <v/>
      </c>
      <c r="I337" s="46">
        <f>IF(_calc!$E$339="","",IF(_calc!$E$339&lt;=500,IF(LEN(INDEX('Our policies'!$H$4:$H$503,_calc!$E$339))=0,"",INDEX('Our policies'!$H$4:$H$503,_calc!$E$339)),""))</f>
        <v/>
      </c>
      <c r="K337" s="46">
        <f>IF(_calc!$E$339="","",IF(_calc!$E$339&lt;=500,IF(LEN(INDEX('Our policies'!$P$4:$P$503,_calc!$E$339))=0,"",INDEX('Our policies'!$P$4:$P$503,_calc!$E$339)),IF(LEN(INDEX('Vendor COIs'!$N$4:$N$503,(_calc!$E$339-500)))=0,"",INDEX('Vendor COIs'!$N$4:$N$503,(_calc!$E$339-500)))))</f>
        <v/>
      </c>
    </row>
    <row r="338">
      <c r="A338" s="46">
        <f>IF(_calc!$E$340="","",IF(_calc!$E$340&lt;=500,IF(LEN(INDEX('Our policies'!$A$4:$A$503,_calc!$E$340))=0,"",INDEX('Our policies'!$A$4:$A$503,_calc!$E$340)),"COI – "&amp;IF(LEN(INDEX('Vendor COIs'!$A$4:$A$503,(_calc!$E$340-500)))=0,"",INDEX('Vendor COIs'!$A$4:$A$503,(_calc!$E$340-500)))&amp;" – "&amp;IF(LEN(INDEX('Vendor COIs'!$B$4:$B$503,(_calc!$E$340-500)))=0,"",INDEX('Vendor COIs'!$B$4:$B$503,(_calc!$E$340-500)))))</f>
        <v/>
      </c>
      <c r="B338" s="46">
        <f>IF(_calc!$E$340="","",IF(_calc!$E$340&lt;=500,IF(ISNUMBER(INDEX('Our policies'!$J$4:$J$503,_calc!$E$340)),TEXT(INDEX('Our policies'!$J$4:$J$503,_calc!$E$340),"yyyy-mm-dd"),""),IF(ISNUMBER(INDEX('Vendor COIs'!$H$4:$H$503,(_calc!$E$340-500))),TEXT(INDEX('Vendor COIs'!$H$4:$H$503,(_calc!$E$340-500)),"yyyy-mm-dd"),"")))</f>
        <v/>
      </c>
      <c r="C338" s="46">
        <f>IF(_calc!$E$340="","",IF(_calc!$E$340&lt;=500,"Insurance","Certificate of insurance"))</f>
        <v/>
      </c>
      <c r="D338" s="46">
        <f>IF(_calc!$E$340="","",IF(_calc!$E$340&lt;=500,IF(ISNUMBER(INDEX('Our policies'!$I$4:$I$503,_calc!$E$340)),TEXT(INDEX('Our policies'!$I$4:$I$503,_calc!$E$340),"yyyy-mm-dd"),""),""))</f>
        <v/>
      </c>
      <c r="E338" s="46">
        <f>IF(_calc!$E$340="","",IF(_calc!$E$340&lt;=500,IF(LEN(INDEX('Our policies'!$Q$4:$Q$503,_calc!$E$340))=0,"",INDEX('Our policies'!$Q$4:$Q$503,_calc!$E$340)),"Medium"))</f>
        <v/>
      </c>
      <c r="F338" s="46">
        <f>IF(_calc!$E$340="","",IF(_calc!$E$340&lt;=500,TRIM(IF(LEN(IF(LEN(INDEX('Our policies'!$B$4:$B$503,_calc!$E$340))=0,"",INDEX('Our policies'!$B$4:$B$503,_calc!$E$340)))=0,"","Cover: "&amp;IF(LEN(INDEX('Our policies'!$B$4:$B$503,_calc!$E$340))=0,"",INDEX('Our policies'!$B$4:$B$503,_calc!$E$340))&amp;". ")&amp;IF(LEN(IF(LEN(INDEX('Our policies'!$C$4:$C$503,_calc!$E$340))=0,"",INDEX('Our policies'!$C$4:$C$503,_calc!$E$340)))=0,"","Insurer: "&amp;IF(LEN(INDEX('Our policies'!$C$4:$C$503,_calc!$E$340))=0,"",INDEX('Our policies'!$C$4:$C$503,_calc!$E$340))&amp;". ")&amp;IF(LEN(IF(LEN(INDEX('Our policies'!$D$4:$D$503,_calc!$E$340))=0,"",INDEX('Our policies'!$D$4:$D$503,_calc!$E$340)))=0,"","Broker: "&amp;IF(LEN(INDEX('Our policies'!$D$4:$D$503,_calc!$E$340))=0,"",INDEX('Our policies'!$D$4:$D$503,_calc!$E$340))&amp;". ")&amp;IF(LEN(IF(LEN(INDEX('Our policies'!$E$4:$E$503,_calc!$E$340))=0,"",INDEX('Our policies'!$E$4:$E$503,_calc!$E$340)))=0,"","Policy no.: "&amp;IF(LEN(INDEX('Our policies'!$E$4:$E$503,_calc!$E$340))=0,"",INDEX('Our policies'!$E$4:$E$503,_calc!$E$340))&amp;". ")&amp;IF(LEN(IF(LEN(INDEX('Our policies'!$S$4:$S$503,_calc!$E$340))=0,"",INDEX('Our policies'!$S$4:$S$503,_calc!$E$340)))=0,"",IF(LEN(INDEX('Our policies'!$S$4:$S$503,_calc!$E$340))=0,"",INDEX('Our policies'!$S$4:$S$503,_calc!$E$340)))),TRIM(IF(LEN(IF(LEN(INDEX('Vendor COIs'!$C$4:$C$503,(_calc!$E$340-500)))=0,"",INDEX('Vendor COIs'!$C$4:$C$503,(_calc!$E$340-500))))=0,"","Insurer: "&amp;IF(LEN(INDEX('Vendor COIs'!$C$4:$C$503,(_calc!$E$340-500)))=0,"",INDEX('Vendor COIs'!$C$4:$C$503,(_calc!$E$340-500)))&amp;". ")&amp;IF(LEN(IF(LEN(INDEX('Vendor COIs'!$D$4:$D$503,(_calc!$E$340-500)))=0,"",INDEX('Vendor COIs'!$D$4:$D$503,(_calc!$E$340-500))))=0,"","Policy no.: "&amp;IF(LEN(INDEX('Vendor COIs'!$D$4:$D$503,(_calc!$E$340-500)))=0,"",INDEX('Vendor COIs'!$D$4:$D$503,(_calc!$E$340-500)))&amp;". ")&amp;IF(LEN(IF(LEN(INDEX('Vendor COIs'!$F$4:$F$503,(_calc!$E$340-500)))=0,"",INDEX('Vendor COIs'!$F$4:$F$503,(_calc!$E$340-500))))=0,"","Meets minimum: "&amp;IF(LEN(INDEX('Vendor COIs'!$F$4:$F$503,(_calc!$E$340-500)))=0,"",INDEX('Vendor COIs'!$F$4:$F$503,(_calc!$E$340-500)))&amp;". ")&amp;IF(LEN(IF(LEN(INDEX('Vendor COIs'!$G$4:$G$503,(_calc!$E$340-500)))=0,"",INDEX('Vendor COIs'!$G$4:$G$503,(_calc!$E$340-500))))=0,"","Additional insured: "&amp;IF(LEN(INDEX('Vendor COIs'!$G$4:$G$503,(_calc!$E$340-500)))=0,"",INDEX('Vendor COIs'!$G$4:$G$503,(_calc!$E$340-500)))&amp;". ")&amp;IF(LEN(IF(LEN(INDEX('Vendor COIs'!$M$4:$M$503,(_calc!$E$340-500)))=0,"",INDEX('Vendor COIs'!$M$4:$M$503,(_calc!$E$340-500))))=0,"","Vendor contact: "&amp;IF(LEN(INDEX('Vendor COIs'!$M$4:$M$503,(_calc!$E$340-500)))=0,"",INDEX('Vendor COIs'!$M$4:$M$503,(_calc!$E$340-500)))&amp;". ")&amp;IF(LEN(IF(LEN(INDEX('Vendor COIs'!$P$4:$P$503,(_calc!$E$340-500)))=0,"",INDEX('Vendor COIs'!$P$4:$P$503,(_calc!$E$340-500))))=0,"",IF(LEN(INDEX('Vendor COIs'!$P$4:$P$503,(_calc!$E$340-500)))=0,"",INDEX('Vendor COIs'!$P$4:$P$503,(_calc!$E$340-500)))))))</f>
        <v/>
      </c>
      <c r="G338" s="46">
        <f>IF(_calc!$E$340="","",IF(_calc!$E$340&lt;=500,IF(LEN(INDEX('Our policies'!$R$4:$R$503,_calc!$E$340))=0,"",INDEX('Our policies'!$R$4:$R$503,_calc!$E$340)),IF(LEN(INDEX('Vendor COIs'!$O$4:$O$503,(_calc!$E$340-500)))=0,"",INDEX('Vendor COIs'!$O$4:$O$503,(_calc!$E$340-500)))))</f>
        <v/>
      </c>
      <c r="H338" s="46">
        <f>IF(_calc!$E$340="","",IF(_calc!$E$340&lt;=500,IF(LEN(INDEX('Our policies'!$G$4:$G$503,_calc!$E$340))=0,"",INDEX('Our policies'!$G$4:$G$503,_calc!$E$340)),""))</f>
        <v/>
      </c>
      <c r="I338" s="46">
        <f>IF(_calc!$E$340="","",IF(_calc!$E$340&lt;=500,IF(LEN(INDEX('Our policies'!$H$4:$H$503,_calc!$E$340))=0,"",INDEX('Our policies'!$H$4:$H$503,_calc!$E$340)),""))</f>
        <v/>
      </c>
      <c r="K338" s="46">
        <f>IF(_calc!$E$340="","",IF(_calc!$E$340&lt;=500,IF(LEN(INDEX('Our policies'!$P$4:$P$503,_calc!$E$340))=0,"",INDEX('Our policies'!$P$4:$P$503,_calc!$E$340)),IF(LEN(INDEX('Vendor COIs'!$N$4:$N$503,(_calc!$E$340-500)))=0,"",INDEX('Vendor COIs'!$N$4:$N$503,(_calc!$E$340-500)))))</f>
        <v/>
      </c>
    </row>
    <row r="339">
      <c r="A339" s="46">
        <f>IF(_calc!$E$341="","",IF(_calc!$E$341&lt;=500,IF(LEN(INDEX('Our policies'!$A$4:$A$503,_calc!$E$341))=0,"",INDEX('Our policies'!$A$4:$A$503,_calc!$E$341)),"COI – "&amp;IF(LEN(INDEX('Vendor COIs'!$A$4:$A$503,(_calc!$E$341-500)))=0,"",INDEX('Vendor COIs'!$A$4:$A$503,(_calc!$E$341-500)))&amp;" – "&amp;IF(LEN(INDEX('Vendor COIs'!$B$4:$B$503,(_calc!$E$341-500)))=0,"",INDEX('Vendor COIs'!$B$4:$B$503,(_calc!$E$341-500)))))</f>
        <v/>
      </c>
      <c r="B339" s="46">
        <f>IF(_calc!$E$341="","",IF(_calc!$E$341&lt;=500,IF(ISNUMBER(INDEX('Our policies'!$J$4:$J$503,_calc!$E$341)),TEXT(INDEX('Our policies'!$J$4:$J$503,_calc!$E$341),"yyyy-mm-dd"),""),IF(ISNUMBER(INDEX('Vendor COIs'!$H$4:$H$503,(_calc!$E$341-500))),TEXT(INDEX('Vendor COIs'!$H$4:$H$503,(_calc!$E$341-500)),"yyyy-mm-dd"),"")))</f>
        <v/>
      </c>
      <c r="C339" s="46">
        <f>IF(_calc!$E$341="","",IF(_calc!$E$341&lt;=500,"Insurance","Certificate of insurance"))</f>
        <v/>
      </c>
      <c r="D339" s="46">
        <f>IF(_calc!$E$341="","",IF(_calc!$E$341&lt;=500,IF(ISNUMBER(INDEX('Our policies'!$I$4:$I$503,_calc!$E$341)),TEXT(INDEX('Our policies'!$I$4:$I$503,_calc!$E$341),"yyyy-mm-dd"),""),""))</f>
        <v/>
      </c>
      <c r="E339" s="46">
        <f>IF(_calc!$E$341="","",IF(_calc!$E$341&lt;=500,IF(LEN(INDEX('Our policies'!$Q$4:$Q$503,_calc!$E$341))=0,"",INDEX('Our policies'!$Q$4:$Q$503,_calc!$E$341)),"Medium"))</f>
        <v/>
      </c>
      <c r="F339" s="46">
        <f>IF(_calc!$E$341="","",IF(_calc!$E$341&lt;=500,TRIM(IF(LEN(IF(LEN(INDEX('Our policies'!$B$4:$B$503,_calc!$E$341))=0,"",INDEX('Our policies'!$B$4:$B$503,_calc!$E$341)))=0,"","Cover: "&amp;IF(LEN(INDEX('Our policies'!$B$4:$B$503,_calc!$E$341))=0,"",INDEX('Our policies'!$B$4:$B$503,_calc!$E$341))&amp;". ")&amp;IF(LEN(IF(LEN(INDEX('Our policies'!$C$4:$C$503,_calc!$E$341))=0,"",INDEX('Our policies'!$C$4:$C$503,_calc!$E$341)))=0,"","Insurer: "&amp;IF(LEN(INDEX('Our policies'!$C$4:$C$503,_calc!$E$341))=0,"",INDEX('Our policies'!$C$4:$C$503,_calc!$E$341))&amp;". ")&amp;IF(LEN(IF(LEN(INDEX('Our policies'!$D$4:$D$503,_calc!$E$341))=0,"",INDEX('Our policies'!$D$4:$D$503,_calc!$E$341)))=0,"","Broker: "&amp;IF(LEN(INDEX('Our policies'!$D$4:$D$503,_calc!$E$341))=0,"",INDEX('Our policies'!$D$4:$D$503,_calc!$E$341))&amp;". ")&amp;IF(LEN(IF(LEN(INDEX('Our policies'!$E$4:$E$503,_calc!$E$341))=0,"",INDEX('Our policies'!$E$4:$E$503,_calc!$E$341)))=0,"","Policy no.: "&amp;IF(LEN(INDEX('Our policies'!$E$4:$E$503,_calc!$E$341))=0,"",INDEX('Our policies'!$E$4:$E$503,_calc!$E$341))&amp;". ")&amp;IF(LEN(IF(LEN(INDEX('Our policies'!$S$4:$S$503,_calc!$E$341))=0,"",INDEX('Our policies'!$S$4:$S$503,_calc!$E$341)))=0,"",IF(LEN(INDEX('Our policies'!$S$4:$S$503,_calc!$E$341))=0,"",INDEX('Our policies'!$S$4:$S$503,_calc!$E$341)))),TRIM(IF(LEN(IF(LEN(INDEX('Vendor COIs'!$C$4:$C$503,(_calc!$E$341-500)))=0,"",INDEX('Vendor COIs'!$C$4:$C$503,(_calc!$E$341-500))))=0,"","Insurer: "&amp;IF(LEN(INDEX('Vendor COIs'!$C$4:$C$503,(_calc!$E$341-500)))=0,"",INDEX('Vendor COIs'!$C$4:$C$503,(_calc!$E$341-500)))&amp;". ")&amp;IF(LEN(IF(LEN(INDEX('Vendor COIs'!$D$4:$D$503,(_calc!$E$341-500)))=0,"",INDEX('Vendor COIs'!$D$4:$D$503,(_calc!$E$341-500))))=0,"","Policy no.: "&amp;IF(LEN(INDEX('Vendor COIs'!$D$4:$D$503,(_calc!$E$341-500)))=0,"",INDEX('Vendor COIs'!$D$4:$D$503,(_calc!$E$341-500)))&amp;". ")&amp;IF(LEN(IF(LEN(INDEX('Vendor COIs'!$F$4:$F$503,(_calc!$E$341-500)))=0,"",INDEX('Vendor COIs'!$F$4:$F$503,(_calc!$E$341-500))))=0,"","Meets minimum: "&amp;IF(LEN(INDEX('Vendor COIs'!$F$4:$F$503,(_calc!$E$341-500)))=0,"",INDEX('Vendor COIs'!$F$4:$F$503,(_calc!$E$341-500)))&amp;". ")&amp;IF(LEN(IF(LEN(INDEX('Vendor COIs'!$G$4:$G$503,(_calc!$E$341-500)))=0,"",INDEX('Vendor COIs'!$G$4:$G$503,(_calc!$E$341-500))))=0,"","Additional insured: "&amp;IF(LEN(INDEX('Vendor COIs'!$G$4:$G$503,(_calc!$E$341-500)))=0,"",INDEX('Vendor COIs'!$G$4:$G$503,(_calc!$E$341-500)))&amp;". ")&amp;IF(LEN(IF(LEN(INDEX('Vendor COIs'!$M$4:$M$503,(_calc!$E$341-500)))=0,"",INDEX('Vendor COIs'!$M$4:$M$503,(_calc!$E$341-500))))=0,"","Vendor contact: "&amp;IF(LEN(INDEX('Vendor COIs'!$M$4:$M$503,(_calc!$E$341-500)))=0,"",INDEX('Vendor COIs'!$M$4:$M$503,(_calc!$E$341-500)))&amp;". ")&amp;IF(LEN(IF(LEN(INDEX('Vendor COIs'!$P$4:$P$503,(_calc!$E$341-500)))=0,"",INDEX('Vendor COIs'!$P$4:$P$503,(_calc!$E$341-500))))=0,"",IF(LEN(INDEX('Vendor COIs'!$P$4:$P$503,(_calc!$E$341-500)))=0,"",INDEX('Vendor COIs'!$P$4:$P$503,(_calc!$E$341-500)))))))</f>
        <v/>
      </c>
      <c r="G339" s="46">
        <f>IF(_calc!$E$341="","",IF(_calc!$E$341&lt;=500,IF(LEN(INDEX('Our policies'!$R$4:$R$503,_calc!$E$341))=0,"",INDEX('Our policies'!$R$4:$R$503,_calc!$E$341)),IF(LEN(INDEX('Vendor COIs'!$O$4:$O$503,(_calc!$E$341-500)))=0,"",INDEX('Vendor COIs'!$O$4:$O$503,(_calc!$E$341-500)))))</f>
        <v/>
      </c>
      <c r="H339" s="46">
        <f>IF(_calc!$E$341="","",IF(_calc!$E$341&lt;=500,IF(LEN(INDEX('Our policies'!$G$4:$G$503,_calc!$E$341))=0,"",INDEX('Our policies'!$G$4:$G$503,_calc!$E$341)),""))</f>
        <v/>
      </c>
      <c r="I339" s="46">
        <f>IF(_calc!$E$341="","",IF(_calc!$E$341&lt;=500,IF(LEN(INDEX('Our policies'!$H$4:$H$503,_calc!$E$341))=0,"",INDEX('Our policies'!$H$4:$H$503,_calc!$E$341)),""))</f>
        <v/>
      </c>
      <c r="K339" s="46">
        <f>IF(_calc!$E$341="","",IF(_calc!$E$341&lt;=500,IF(LEN(INDEX('Our policies'!$P$4:$P$503,_calc!$E$341))=0,"",INDEX('Our policies'!$P$4:$P$503,_calc!$E$341)),IF(LEN(INDEX('Vendor COIs'!$N$4:$N$503,(_calc!$E$341-500)))=0,"",INDEX('Vendor COIs'!$N$4:$N$503,(_calc!$E$341-500)))))</f>
        <v/>
      </c>
    </row>
    <row r="340">
      <c r="A340" s="46">
        <f>IF(_calc!$E$342="","",IF(_calc!$E$342&lt;=500,IF(LEN(INDEX('Our policies'!$A$4:$A$503,_calc!$E$342))=0,"",INDEX('Our policies'!$A$4:$A$503,_calc!$E$342)),"COI – "&amp;IF(LEN(INDEX('Vendor COIs'!$A$4:$A$503,(_calc!$E$342-500)))=0,"",INDEX('Vendor COIs'!$A$4:$A$503,(_calc!$E$342-500)))&amp;" – "&amp;IF(LEN(INDEX('Vendor COIs'!$B$4:$B$503,(_calc!$E$342-500)))=0,"",INDEX('Vendor COIs'!$B$4:$B$503,(_calc!$E$342-500)))))</f>
        <v/>
      </c>
      <c r="B340" s="46">
        <f>IF(_calc!$E$342="","",IF(_calc!$E$342&lt;=500,IF(ISNUMBER(INDEX('Our policies'!$J$4:$J$503,_calc!$E$342)),TEXT(INDEX('Our policies'!$J$4:$J$503,_calc!$E$342),"yyyy-mm-dd"),""),IF(ISNUMBER(INDEX('Vendor COIs'!$H$4:$H$503,(_calc!$E$342-500))),TEXT(INDEX('Vendor COIs'!$H$4:$H$503,(_calc!$E$342-500)),"yyyy-mm-dd"),"")))</f>
        <v/>
      </c>
      <c r="C340" s="46">
        <f>IF(_calc!$E$342="","",IF(_calc!$E$342&lt;=500,"Insurance","Certificate of insurance"))</f>
        <v/>
      </c>
      <c r="D340" s="46">
        <f>IF(_calc!$E$342="","",IF(_calc!$E$342&lt;=500,IF(ISNUMBER(INDEX('Our policies'!$I$4:$I$503,_calc!$E$342)),TEXT(INDEX('Our policies'!$I$4:$I$503,_calc!$E$342),"yyyy-mm-dd"),""),""))</f>
        <v/>
      </c>
      <c r="E340" s="46">
        <f>IF(_calc!$E$342="","",IF(_calc!$E$342&lt;=500,IF(LEN(INDEX('Our policies'!$Q$4:$Q$503,_calc!$E$342))=0,"",INDEX('Our policies'!$Q$4:$Q$503,_calc!$E$342)),"Medium"))</f>
        <v/>
      </c>
      <c r="F340" s="46">
        <f>IF(_calc!$E$342="","",IF(_calc!$E$342&lt;=500,TRIM(IF(LEN(IF(LEN(INDEX('Our policies'!$B$4:$B$503,_calc!$E$342))=0,"",INDEX('Our policies'!$B$4:$B$503,_calc!$E$342)))=0,"","Cover: "&amp;IF(LEN(INDEX('Our policies'!$B$4:$B$503,_calc!$E$342))=0,"",INDEX('Our policies'!$B$4:$B$503,_calc!$E$342))&amp;". ")&amp;IF(LEN(IF(LEN(INDEX('Our policies'!$C$4:$C$503,_calc!$E$342))=0,"",INDEX('Our policies'!$C$4:$C$503,_calc!$E$342)))=0,"","Insurer: "&amp;IF(LEN(INDEX('Our policies'!$C$4:$C$503,_calc!$E$342))=0,"",INDEX('Our policies'!$C$4:$C$503,_calc!$E$342))&amp;". ")&amp;IF(LEN(IF(LEN(INDEX('Our policies'!$D$4:$D$503,_calc!$E$342))=0,"",INDEX('Our policies'!$D$4:$D$503,_calc!$E$342)))=0,"","Broker: "&amp;IF(LEN(INDEX('Our policies'!$D$4:$D$503,_calc!$E$342))=0,"",INDEX('Our policies'!$D$4:$D$503,_calc!$E$342))&amp;". ")&amp;IF(LEN(IF(LEN(INDEX('Our policies'!$E$4:$E$503,_calc!$E$342))=0,"",INDEX('Our policies'!$E$4:$E$503,_calc!$E$342)))=0,"","Policy no.: "&amp;IF(LEN(INDEX('Our policies'!$E$4:$E$503,_calc!$E$342))=0,"",INDEX('Our policies'!$E$4:$E$503,_calc!$E$342))&amp;". ")&amp;IF(LEN(IF(LEN(INDEX('Our policies'!$S$4:$S$503,_calc!$E$342))=0,"",INDEX('Our policies'!$S$4:$S$503,_calc!$E$342)))=0,"",IF(LEN(INDEX('Our policies'!$S$4:$S$503,_calc!$E$342))=0,"",INDEX('Our policies'!$S$4:$S$503,_calc!$E$342)))),TRIM(IF(LEN(IF(LEN(INDEX('Vendor COIs'!$C$4:$C$503,(_calc!$E$342-500)))=0,"",INDEX('Vendor COIs'!$C$4:$C$503,(_calc!$E$342-500))))=0,"","Insurer: "&amp;IF(LEN(INDEX('Vendor COIs'!$C$4:$C$503,(_calc!$E$342-500)))=0,"",INDEX('Vendor COIs'!$C$4:$C$503,(_calc!$E$342-500)))&amp;". ")&amp;IF(LEN(IF(LEN(INDEX('Vendor COIs'!$D$4:$D$503,(_calc!$E$342-500)))=0,"",INDEX('Vendor COIs'!$D$4:$D$503,(_calc!$E$342-500))))=0,"","Policy no.: "&amp;IF(LEN(INDEX('Vendor COIs'!$D$4:$D$503,(_calc!$E$342-500)))=0,"",INDEX('Vendor COIs'!$D$4:$D$503,(_calc!$E$342-500)))&amp;". ")&amp;IF(LEN(IF(LEN(INDEX('Vendor COIs'!$F$4:$F$503,(_calc!$E$342-500)))=0,"",INDEX('Vendor COIs'!$F$4:$F$503,(_calc!$E$342-500))))=0,"","Meets minimum: "&amp;IF(LEN(INDEX('Vendor COIs'!$F$4:$F$503,(_calc!$E$342-500)))=0,"",INDEX('Vendor COIs'!$F$4:$F$503,(_calc!$E$342-500)))&amp;". ")&amp;IF(LEN(IF(LEN(INDEX('Vendor COIs'!$G$4:$G$503,(_calc!$E$342-500)))=0,"",INDEX('Vendor COIs'!$G$4:$G$503,(_calc!$E$342-500))))=0,"","Additional insured: "&amp;IF(LEN(INDEX('Vendor COIs'!$G$4:$G$503,(_calc!$E$342-500)))=0,"",INDEX('Vendor COIs'!$G$4:$G$503,(_calc!$E$342-500)))&amp;". ")&amp;IF(LEN(IF(LEN(INDEX('Vendor COIs'!$M$4:$M$503,(_calc!$E$342-500)))=0,"",INDEX('Vendor COIs'!$M$4:$M$503,(_calc!$E$342-500))))=0,"","Vendor contact: "&amp;IF(LEN(INDEX('Vendor COIs'!$M$4:$M$503,(_calc!$E$342-500)))=0,"",INDEX('Vendor COIs'!$M$4:$M$503,(_calc!$E$342-500)))&amp;". ")&amp;IF(LEN(IF(LEN(INDEX('Vendor COIs'!$P$4:$P$503,(_calc!$E$342-500)))=0,"",INDEX('Vendor COIs'!$P$4:$P$503,(_calc!$E$342-500))))=0,"",IF(LEN(INDEX('Vendor COIs'!$P$4:$P$503,(_calc!$E$342-500)))=0,"",INDEX('Vendor COIs'!$P$4:$P$503,(_calc!$E$342-500)))))))</f>
        <v/>
      </c>
      <c r="G340" s="46">
        <f>IF(_calc!$E$342="","",IF(_calc!$E$342&lt;=500,IF(LEN(INDEX('Our policies'!$R$4:$R$503,_calc!$E$342))=0,"",INDEX('Our policies'!$R$4:$R$503,_calc!$E$342)),IF(LEN(INDEX('Vendor COIs'!$O$4:$O$503,(_calc!$E$342-500)))=0,"",INDEX('Vendor COIs'!$O$4:$O$503,(_calc!$E$342-500)))))</f>
        <v/>
      </c>
      <c r="H340" s="46">
        <f>IF(_calc!$E$342="","",IF(_calc!$E$342&lt;=500,IF(LEN(INDEX('Our policies'!$G$4:$G$503,_calc!$E$342))=0,"",INDEX('Our policies'!$G$4:$G$503,_calc!$E$342)),""))</f>
        <v/>
      </c>
      <c r="I340" s="46">
        <f>IF(_calc!$E$342="","",IF(_calc!$E$342&lt;=500,IF(LEN(INDEX('Our policies'!$H$4:$H$503,_calc!$E$342))=0,"",INDEX('Our policies'!$H$4:$H$503,_calc!$E$342)),""))</f>
        <v/>
      </c>
      <c r="K340" s="46">
        <f>IF(_calc!$E$342="","",IF(_calc!$E$342&lt;=500,IF(LEN(INDEX('Our policies'!$P$4:$P$503,_calc!$E$342))=0,"",INDEX('Our policies'!$P$4:$P$503,_calc!$E$342)),IF(LEN(INDEX('Vendor COIs'!$N$4:$N$503,(_calc!$E$342-500)))=0,"",INDEX('Vendor COIs'!$N$4:$N$503,(_calc!$E$342-500)))))</f>
        <v/>
      </c>
    </row>
    <row r="341">
      <c r="A341" s="46">
        <f>IF(_calc!$E$343="","",IF(_calc!$E$343&lt;=500,IF(LEN(INDEX('Our policies'!$A$4:$A$503,_calc!$E$343))=0,"",INDEX('Our policies'!$A$4:$A$503,_calc!$E$343)),"COI – "&amp;IF(LEN(INDEX('Vendor COIs'!$A$4:$A$503,(_calc!$E$343-500)))=0,"",INDEX('Vendor COIs'!$A$4:$A$503,(_calc!$E$343-500)))&amp;" – "&amp;IF(LEN(INDEX('Vendor COIs'!$B$4:$B$503,(_calc!$E$343-500)))=0,"",INDEX('Vendor COIs'!$B$4:$B$503,(_calc!$E$343-500)))))</f>
        <v/>
      </c>
      <c r="B341" s="46">
        <f>IF(_calc!$E$343="","",IF(_calc!$E$343&lt;=500,IF(ISNUMBER(INDEX('Our policies'!$J$4:$J$503,_calc!$E$343)),TEXT(INDEX('Our policies'!$J$4:$J$503,_calc!$E$343),"yyyy-mm-dd"),""),IF(ISNUMBER(INDEX('Vendor COIs'!$H$4:$H$503,(_calc!$E$343-500))),TEXT(INDEX('Vendor COIs'!$H$4:$H$503,(_calc!$E$343-500)),"yyyy-mm-dd"),"")))</f>
        <v/>
      </c>
      <c r="C341" s="46">
        <f>IF(_calc!$E$343="","",IF(_calc!$E$343&lt;=500,"Insurance","Certificate of insurance"))</f>
        <v/>
      </c>
      <c r="D341" s="46">
        <f>IF(_calc!$E$343="","",IF(_calc!$E$343&lt;=500,IF(ISNUMBER(INDEX('Our policies'!$I$4:$I$503,_calc!$E$343)),TEXT(INDEX('Our policies'!$I$4:$I$503,_calc!$E$343),"yyyy-mm-dd"),""),""))</f>
        <v/>
      </c>
      <c r="E341" s="46">
        <f>IF(_calc!$E$343="","",IF(_calc!$E$343&lt;=500,IF(LEN(INDEX('Our policies'!$Q$4:$Q$503,_calc!$E$343))=0,"",INDEX('Our policies'!$Q$4:$Q$503,_calc!$E$343)),"Medium"))</f>
        <v/>
      </c>
      <c r="F341" s="46">
        <f>IF(_calc!$E$343="","",IF(_calc!$E$343&lt;=500,TRIM(IF(LEN(IF(LEN(INDEX('Our policies'!$B$4:$B$503,_calc!$E$343))=0,"",INDEX('Our policies'!$B$4:$B$503,_calc!$E$343)))=0,"","Cover: "&amp;IF(LEN(INDEX('Our policies'!$B$4:$B$503,_calc!$E$343))=0,"",INDEX('Our policies'!$B$4:$B$503,_calc!$E$343))&amp;". ")&amp;IF(LEN(IF(LEN(INDEX('Our policies'!$C$4:$C$503,_calc!$E$343))=0,"",INDEX('Our policies'!$C$4:$C$503,_calc!$E$343)))=0,"","Insurer: "&amp;IF(LEN(INDEX('Our policies'!$C$4:$C$503,_calc!$E$343))=0,"",INDEX('Our policies'!$C$4:$C$503,_calc!$E$343))&amp;". ")&amp;IF(LEN(IF(LEN(INDEX('Our policies'!$D$4:$D$503,_calc!$E$343))=0,"",INDEX('Our policies'!$D$4:$D$503,_calc!$E$343)))=0,"","Broker: "&amp;IF(LEN(INDEX('Our policies'!$D$4:$D$503,_calc!$E$343))=0,"",INDEX('Our policies'!$D$4:$D$503,_calc!$E$343))&amp;". ")&amp;IF(LEN(IF(LEN(INDEX('Our policies'!$E$4:$E$503,_calc!$E$343))=0,"",INDEX('Our policies'!$E$4:$E$503,_calc!$E$343)))=0,"","Policy no.: "&amp;IF(LEN(INDEX('Our policies'!$E$4:$E$503,_calc!$E$343))=0,"",INDEX('Our policies'!$E$4:$E$503,_calc!$E$343))&amp;". ")&amp;IF(LEN(IF(LEN(INDEX('Our policies'!$S$4:$S$503,_calc!$E$343))=0,"",INDEX('Our policies'!$S$4:$S$503,_calc!$E$343)))=0,"",IF(LEN(INDEX('Our policies'!$S$4:$S$503,_calc!$E$343))=0,"",INDEX('Our policies'!$S$4:$S$503,_calc!$E$343)))),TRIM(IF(LEN(IF(LEN(INDEX('Vendor COIs'!$C$4:$C$503,(_calc!$E$343-500)))=0,"",INDEX('Vendor COIs'!$C$4:$C$503,(_calc!$E$343-500))))=0,"","Insurer: "&amp;IF(LEN(INDEX('Vendor COIs'!$C$4:$C$503,(_calc!$E$343-500)))=0,"",INDEX('Vendor COIs'!$C$4:$C$503,(_calc!$E$343-500)))&amp;". ")&amp;IF(LEN(IF(LEN(INDEX('Vendor COIs'!$D$4:$D$503,(_calc!$E$343-500)))=0,"",INDEX('Vendor COIs'!$D$4:$D$503,(_calc!$E$343-500))))=0,"","Policy no.: "&amp;IF(LEN(INDEX('Vendor COIs'!$D$4:$D$503,(_calc!$E$343-500)))=0,"",INDEX('Vendor COIs'!$D$4:$D$503,(_calc!$E$343-500)))&amp;". ")&amp;IF(LEN(IF(LEN(INDEX('Vendor COIs'!$F$4:$F$503,(_calc!$E$343-500)))=0,"",INDEX('Vendor COIs'!$F$4:$F$503,(_calc!$E$343-500))))=0,"","Meets minimum: "&amp;IF(LEN(INDEX('Vendor COIs'!$F$4:$F$503,(_calc!$E$343-500)))=0,"",INDEX('Vendor COIs'!$F$4:$F$503,(_calc!$E$343-500)))&amp;". ")&amp;IF(LEN(IF(LEN(INDEX('Vendor COIs'!$G$4:$G$503,(_calc!$E$343-500)))=0,"",INDEX('Vendor COIs'!$G$4:$G$503,(_calc!$E$343-500))))=0,"","Additional insured: "&amp;IF(LEN(INDEX('Vendor COIs'!$G$4:$G$503,(_calc!$E$343-500)))=0,"",INDEX('Vendor COIs'!$G$4:$G$503,(_calc!$E$343-500)))&amp;". ")&amp;IF(LEN(IF(LEN(INDEX('Vendor COIs'!$M$4:$M$503,(_calc!$E$343-500)))=0,"",INDEX('Vendor COIs'!$M$4:$M$503,(_calc!$E$343-500))))=0,"","Vendor contact: "&amp;IF(LEN(INDEX('Vendor COIs'!$M$4:$M$503,(_calc!$E$343-500)))=0,"",INDEX('Vendor COIs'!$M$4:$M$503,(_calc!$E$343-500)))&amp;". ")&amp;IF(LEN(IF(LEN(INDEX('Vendor COIs'!$P$4:$P$503,(_calc!$E$343-500)))=0,"",INDEX('Vendor COIs'!$P$4:$P$503,(_calc!$E$343-500))))=0,"",IF(LEN(INDEX('Vendor COIs'!$P$4:$P$503,(_calc!$E$343-500)))=0,"",INDEX('Vendor COIs'!$P$4:$P$503,(_calc!$E$343-500)))))))</f>
        <v/>
      </c>
      <c r="G341" s="46">
        <f>IF(_calc!$E$343="","",IF(_calc!$E$343&lt;=500,IF(LEN(INDEX('Our policies'!$R$4:$R$503,_calc!$E$343))=0,"",INDEX('Our policies'!$R$4:$R$503,_calc!$E$343)),IF(LEN(INDEX('Vendor COIs'!$O$4:$O$503,(_calc!$E$343-500)))=0,"",INDEX('Vendor COIs'!$O$4:$O$503,(_calc!$E$343-500)))))</f>
        <v/>
      </c>
      <c r="H341" s="46">
        <f>IF(_calc!$E$343="","",IF(_calc!$E$343&lt;=500,IF(LEN(INDEX('Our policies'!$G$4:$G$503,_calc!$E$343))=0,"",INDEX('Our policies'!$G$4:$G$503,_calc!$E$343)),""))</f>
        <v/>
      </c>
      <c r="I341" s="46">
        <f>IF(_calc!$E$343="","",IF(_calc!$E$343&lt;=500,IF(LEN(INDEX('Our policies'!$H$4:$H$503,_calc!$E$343))=0,"",INDEX('Our policies'!$H$4:$H$503,_calc!$E$343)),""))</f>
        <v/>
      </c>
      <c r="K341" s="46">
        <f>IF(_calc!$E$343="","",IF(_calc!$E$343&lt;=500,IF(LEN(INDEX('Our policies'!$P$4:$P$503,_calc!$E$343))=0,"",INDEX('Our policies'!$P$4:$P$503,_calc!$E$343)),IF(LEN(INDEX('Vendor COIs'!$N$4:$N$503,(_calc!$E$343-500)))=0,"",INDEX('Vendor COIs'!$N$4:$N$503,(_calc!$E$343-500)))))</f>
        <v/>
      </c>
    </row>
    <row r="342">
      <c r="A342" s="46">
        <f>IF(_calc!$E$344="","",IF(_calc!$E$344&lt;=500,IF(LEN(INDEX('Our policies'!$A$4:$A$503,_calc!$E$344))=0,"",INDEX('Our policies'!$A$4:$A$503,_calc!$E$344)),"COI – "&amp;IF(LEN(INDEX('Vendor COIs'!$A$4:$A$503,(_calc!$E$344-500)))=0,"",INDEX('Vendor COIs'!$A$4:$A$503,(_calc!$E$344-500)))&amp;" – "&amp;IF(LEN(INDEX('Vendor COIs'!$B$4:$B$503,(_calc!$E$344-500)))=0,"",INDEX('Vendor COIs'!$B$4:$B$503,(_calc!$E$344-500)))))</f>
        <v/>
      </c>
      <c r="B342" s="46">
        <f>IF(_calc!$E$344="","",IF(_calc!$E$344&lt;=500,IF(ISNUMBER(INDEX('Our policies'!$J$4:$J$503,_calc!$E$344)),TEXT(INDEX('Our policies'!$J$4:$J$503,_calc!$E$344),"yyyy-mm-dd"),""),IF(ISNUMBER(INDEX('Vendor COIs'!$H$4:$H$503,(_calc!$E$344-500))),TEXT(INDEX('Vendor COIs'!$H$4:$H$503,(_calc!$E$344-500)),"yyyy-mm-dd"),"")))</f>
        <v/>
      </c>
      <c r="C342" s="46">
        <f>IF(_calc!$E$344="","",IF(_calc!$E$344&lt;=500,"Insurance","Certificate of insurance"))</f>
        <v/>
      </c>
      <c r="D342" s="46">
        <f>IF(_calc!$E$344="","",IF(_calc!$E$344&lt;=500,IF(ISNUMBER(INDEX('Our policies'!$I$4:$I$503,_calc!$E$344)),TEXT(INDEX('Our policies'!$I$4:$I$503,_calc!$E$344),"yyyy-mm-dd"),""),""))</f>
        <v/>
      </c>
      <c r="E342" s="46">
        <f>IF(_calc!$E$344="","",IF(_calc!$E$344&lt;=500,IF(LEN(INDEX('Our policies'!$Q$4:$Q$503,_calc!$E$344))=0,"",INDEX('Our policies'!$Q$4:$Q$503,_calc!$E$344)),"Medium"))</f>
        <v/>
      </c>
      <c r="F342" s="46">
        <f>IF(_calc!$E$344="","",IF(_calc!$E$344&lt;=500,TRIM(IF(LEN(IF(LEN(INDEX('Our policies'!$B$4:$B$503,_calc!$E$344))=0,"",INDEX('Our policies'!$B$4:$B$503,_calc!$E$344)))=0,"","Cover: "&amp;IF(LEN(INDEX('Our policies'!$B$4:$B$503,_calc!$E$344))=0,"",INDEX('Our policies'!$B$4:$B$503,_calc!$E$344))&amp;". ")&amp;IF(LEN(IF(LEN(INDEX('Our policies'!$C$4:$C$503,_calc!$E$344))=0,"",INDEX('Our policies'!$C$4:$C$503,_calc!$E$344)))=0,"","Insurer: "&amp;IF(LEN(INDEX('Our policies'!$C$4:$C$503,_calc!$E$344))=0,"",INDEX('Our policies'!$C$4:$C$503,_calc!$E$344))&amp;". ")&amp;IF(LEN(IF(LEN(INDEX('Our policies'!$D$4:$D$503,_calc!$E$344))=0,"",INDEX('Our policies'!$D$4:$D$503,_calc!$E$344)))=0,"","Broker: "&amp;IF(LEN(INDEX('Our policies'!$D$4:$D$503,_calc!$E$344))=0,"",INDEX('Our policies'!$D$4:$D$503,_calc!$E$344))&amp;". ")&amp;IF(LEN(IF(LEN(INDEX('Our policies'!$E$4:$E$503,_calc!$E$344))=0,"",INDEX('Our policies'!$E$4:$E$503,_calc!$E$344)))=0,"","Policy no.: "&amp;IF(LEN(INDEX('Our policies'!$E$4:$E$503,_calc!$E$344))=0,"",INDEX('Our policies'!$E$4:$E$503,_calc!$E$344))&amp;". ")&amp;IF(LEN(IF(LEN(INDEX('Our policies'!$S$4:$S$503,_calc!$E$344))=0,"",INDEX('Our policies'!$S$4:$S$503,_calc!$E$344)))=0,"",IF(LEN(INDEX('Our policies'!$S$4:$S$503,_calc!$E$344))=0,"",INDEX('Our policies'!$S$4:$S$503,_calc!$E$344)))),TRIM(IF(LEN(IF(LEN(INDEX('Vendor COIs'!$C$4:$C$503,(_calc!$E$344-500)))=0,"",INDEX('Vendor COIs'!$C$4:$C$503,(_calc!$E$344-500))))=0,"","Insurer: "&amp;IF(LEN(INDEX('Vendor COIs'!$C$4:$C$503,(_calc!$E$344-500)))=0,"",INDEX('Vendor COIs'!$C$4:$C$503,(_calc!$E$344-500)))&amp;". ")&amp;IF(LEN(IF(LEN(INDEX('Vendor COIs'!$D$4:$D$503,(_calc!$E$344-500)))=0,"",INDEX('Vendor COIs'!$D$4:$D$503,(_calc!$E$344-500))))=0,"","Policy no.: "&amp;IF(LEN(INDEX('Vendor COIs'!$D$4:$D$503,(_calc!$E$344-500)))=0,"",INDEX('Vendor COIs'!$D$4:$D$503,(_calc!$E$344-500)))&amp;". ")&amp;IF(LEN(IF(LEN(INDEX('Vendor COIs'!$F$4:$F$503,(_calc!$E$344-500)))=0,"",INDEX('Vendor COIs'!$F$4:$F$503,(_calc!$E$344-500))))=0,"","Meets minimum: "&amp;IF(LEN(INDEX('Vendor COIs'!$F$4:$F$503,(_calc!$E$344-500)))=0,"",INDEX('Vendor COIs'!$F$4:$F$503,(_calc!$E$344-500)))&amp;". ")&amp;IF(LEN(IF(LEN(INDEX('Vendor COIs'!$G$4:$G$503,(_calc!$E$344-500)))=0,"",INDEX('Vendor COIs'!$G$4:$G$503,(_calc!$E$344-500))))=0,"","Additional insured: "&amp;IF(LEN(INDEX('Vendor COIs'!$G$4:$G$503,(_calc!$E$344-500)))=0,"",INDEX('Vendor COIs'!$G$4:$G$503,(_calc!$E$344-500)))&amp;". ")&amp;IF(LEN(IF(LEN(INDEX('Vendor COIs'!$M$4:$M$503,(_calc!$E$344-500)))=0,"",INDEX('Vendor COIs'!$M$4:$M$503,(_calc!$E$344-500))))=0,"","Vendor contact: "&amp;IF(LEN(INDEX('Vendor COIs'!$M$4:$M$503,(_calc!$E$344-500)))=0,"",INDEX('Vendor COIs'!$M$4:$M$503,(_calc!$E$344-500)))&amp;". ")&amp;IF(LEN(IF(LEN(INDEX('Vendor COIs'!$P$4:$P$503,(_calc!$E$344-500)))=0,"",INDEX('Vendor COIs'!$P$4:$P$503,(_calc!$E$344-500))))=0,"",IF(LEN(INDEX('Vendor COIs'!$P$4:$P$503,(_calc!$E$344-500)))=0,"",INDEX('Vendor COIs'!$P$4:$P$503,(_calc!$E$344-500)))))))</f>
        <v/>
      </c>
      <c r="G342" s="46">
        <f>IF(_calc!$E$344="","",IF(_calc!$E$344&lt;=500,IF(LEN(INDEX('Our policies'!$R$4:$R$503,_calc!$E$344))=0,"",INDEX('Our policies'!$R$4:$R$503,_calc!$E$344)),IF(LEN(INDEX('Vendor COIs'!$O$4:$O$503,(_calc!$E$344-500)))=0,"",INDEX('Vendor COIs'!$O$4:$O$503,(_calc!$E$344-500)))))</f>
        <v/>
      </c>
      <c r="H342" s="46">
        <f>IF(_calc!$E$344="","",IF(_calc!$E$344&lt;=500,IF(LEN(INDEX('Our policies'!$G$4:$G$503,_calc!$E$344))=0,"",INDEX('Our policies'!$G$4:$G$503,_calc!$E$344)),""))</f>
        <v/>
      </c>
      <c r="I342" s="46">
        <f>IF(_calc!$E$344="","",IF(_calc!$E$344&lt;=500,IF(LEN(INDEX('Our policies'!$H$4:$H$503,_calc!$E$344))=0,"",INDEX('Our policies'!$H$4:$H$503,_calc!$E$344)),""))</f>
        <v/>
      </c>
      <c r="K342" s="46">
        <f>IF(_calc!$E$344="","",IF(_calc!$E$344&lt;=500,IF(LEN(INDEX('Our policies'!$P$4:$P$503,_calc!$E$344))=0,"",INDEX('Our policies'!$P$4:$P$503,_calc!$E$344)),IF(LEN(INDEX('Vendor COIs'!$N$4:$N$503,(_calc!$E$344-500)))=0,"",INDEX('Vendor COIs'!$N$4:$N$503,(_calc!$E$344-500)))))</f>
        <v/>
      </c>
    </row>
    <row r="343">
      <c r="A343" s="46">
        <f>IF(_calc!$E$345="","",IF(_calc!$E$345&lt;=500,IF(LEN(INDEX('Our policies'!$A$4:$A$503,_calc!$E$345))=0,"",INDEX('Our policies'!$A$4:$A$503,_calc!$E$345)),"COI – "&amp;IF(LEN(INDEX('Vendor COIs'!$A$4:$A$503,(_calc!$E$345-500)))=0,"",INDEX('Vendor COIs'!$A$4:$A$503,(_calc!$E$345-500)))&amp;" – "&amp;IF(LEN(INDEX('Vendor COIs'!$B$4:$B$503,(_calc!$E$345-500)))=0,"",INDEX('Vendor COIs'!$B$4:$B$503,(_calc!$E$345-500)))))</f>
        <v/>
      </c>
      <c r="B343" s="46">
        <f>IF(_calc!$E$345="","",IF(_calc!$E$345&lt;=500,IF(ISNUMBER(INDEX('Our policies'!$J$4:$J$503,_calc!$E$345)),TEXT(INDEX('Our policies'!$J$4:$J$503,_calc!$E$345),"yyyy-mm-dd"),""),IF(ISNUMBER(INDEX('Vendor COIs'!$H$4:$H$503,(_calc!$E$345-500))),TEXT(INDEX('Vendor COIs'!$H$4:$H$503,(_calc!$E$345-500)),"yyyy-mm-dd"),"")))</f>
        <v/>
      </c>
      <c r="C343" s="46">
        <f>IF(_calc!$E$345="","",IF(_calc!$E$345&lt;=500,"Insurance","Certificate of insurance"))</f>
        <v/>
      </c>
      <c r="D343" s="46">
        <f>IF(_calc!$E$345="","",IF(_calc!$E$345&lt;=500,IF(ISNUMBER(INDEX('Our policies'!$I$4:$I$503,_calc!$E$345)),TEXT(INDEX('Our policies'!$I$4:$I$503,_calc!$E$345),"yyyy-mm-dd"),""),""))</f>
        <v/>
      </c>
      <c r="E343" s="46">
        <f>IF(_calc!$E$345="","",IF(_calc!$E$345&lt;=500,IF(LEN(INDEX('Our policies'!$Q$4:$Q$503,_calc!$E$345))=0,"",INDEX('Our policies'!$Q$4:$Q$503,_calc!$E$345)),"Medium"))</f>
        <v/>
      </c>
      <c r="F343" s="46">
        <f>IF(_calc!$E$345="","",IF(_calc!$E$345&lt;=500,TRIM(IF(LEN(IF(LEN(INDEX('Our policies'!$B$4:$B$503,_calc!$E$345))=0,"",INDEX('Our policies'!$B$4:$B$503,_calc!$E$345)))=0,"","Cover: "&amp;IF(LEN(INDEX('Our policies'!$B$4:$B$503,_calc!$E$345))=0,"",INDEX('Our policies'!$B$4:$B$503,_calc!$E$345))&amp;". ")&amp;IF(LEN(IF(LEN(INDEX('Our policies'!$C$4:$C$503,_calc!$E$345))=0,"",INDEX('Our policies'!$C$4:$C$503,_calc!$E$345)))=0,"","Insurer: "&amp;IF(LEN(INDEX('Our policies'!$C$4:$C$503,_calc!$E$345))=0,"",INDEX('Our policies'!$C$4:$C$503,_calc!$E$345))&amp;". ")&amp;IF(LEN(IF(LEN(INDEX('Our policies'!$D$4:$D$503,_calc!$E$345))=0,"",INDEX('Our policies'!$D$4:$D$503,_calc!$E$345)))=0,"","Broker: "&amp;IF(LEN(INDEX('Our policies'!$D$4:$D$503,_calc!$E$345))=0,"",INDEX('Our policies'!$D$4:$D$503,_calc!$E$345))&amp;". ")&amp;IF(LEN(IF(LEN(INDEX('Our policies'!$E$4:$E$503,_calc!$E$345))=0,"",INDEX('Our policies'!$E$4:$E$503,_calc!$E$345)))=0,"","Policy no.: "&amp;IF(LEN(INDEX('Our policies'!$E$4:$E$503,_calc!$E$345))=0,"",INDEX('Our policies'!$E$4:$E$503,_calc!$E$345))&amp;". ")&amp;IF(LEN(IF(LEN(INDEX('Our policies'!$S$4:$S$503,_calc!$E$345))=0,"",INDEX('Our policies'!$S$4:$S$503,_calc!$E$345)))=0,"",IF(LEN(INDEX('Our policies'!$S$4:$S$503,_calc!$E$345))=0,"",INDEX('Our policies'!$S$4:$S$503,_calc!$E$345)))),TRIM(IF(LEN(IF(LEN(INDEX('Vendor COIs'!$C$4:$C$503,(_calc!$E$345-500)))=0,"",INDEX('Vendor COIs'!$C$4:$C$503,(_calc!$E$345-500))))=0,"","Insurer: "&amp;IF(LEN(INDEX('Vendor COIs'!$C$4:$C$503,(_calc!$E$345-500)))=0,"",INDEX('Vendor COIs'!$C$4:$C$503,(_calc!$E$345-500)))&amp;". ")&amp;IF(LEN(IF(LEN(INDEX('Vendor COIs'!$D$4:$D$503,(_calc!$E$345-500)))=0,"",INDEX('Vendor COIs'!$D$4:$D$503,(_calc!$E$345-500))))=0,"","Policy no.: "&amp;IF(LEN(INDEX('Vendor COIs'!$D$4:$D$503,(_calc!$E$345-500)))=0,"",INDEX('Vendor COIs'!$D$4:$D$503,(_calc!$E$345-500)))&amp;". ")&amp;IF(LEN(IF(LEN(INDEX('Vendor COIs'!$F$4:$F$503,(_calc!$E$345-500)))=0,"",INDEX('Vendor COIs'!$F$4:$F$503,(_calc!$E$345-500))))=0,"","Meets minimum: "&amp;IF(LEN(INDEX('Vendor COIs'!$F$4:$F$503,(_calc!$E$345-500)))=0,"",INDEX('Vendor COIs'!$F$4:$F$503,(_calc!$E$345-500)))&amp;". ")&amp;IF(LEN(IF(LEN(INDEX('Vendor COIs'!$G$4:$G$503,(_calc!$E$345-500)))=0,"",INDEX('Vendor COIs'!$G$4:$G$503,(_calc!$E$345-500))))=0,"","Additional insured: "&amp;IF(LEN(INDEX('Vendor COIs'!$G$4:$G$503,(_calc!$E$345-500)))=0,"",INDEX('Vendor COIs'!$G$4:$G$503,(_calc!$E$345-500)))&amp;". ")&amp;IF(LEN(IF(LEN(INDEX('Vendor COIs'!$M$4:$M$503,(_calc!$E$345-500)))=0,"",INDEX('Vendor COIs'!$M$4:$M$503,(_calc!$E$345-500))))=0,"","Vendor contact: "&amp;IF(LEN(INDEX('Vendor COIs'!$M$4:$M$503,(_calc!$E$345-500)))=0,"",INDEX('Vendor COIs'!$M$4:$M$503,(_calc!$E$345-500)))&amp;". ")&amp;IF(LEN(IF(LEN(INDEX('Vendor COIs'!$P$4:$P$503,(_calc!$E$345-500)))=0,"",INDEX('Vendor COIs'!$P$4:$P$503,(_calc!$E$345-500))))=0,"",IF(LEN(INDEX('Vendor COIs'!$P$4:$P$503,(_calc!$E$345-500)))=0,"",INDEX('Vendor COIs'!$P$4:$P$503,(_calc!$E$345-500)))))))</f>
        <v/>
      </c>
      <c r="G343" s="46">
        <f>IF(_calc!$E$345="","",IF(_calc!$E$345&lt;=500,IF(LEN(INDEX('Our policies'!$R$4:$R$503,_calc!$E$345))=0,"",INDEX('Our policies'!$R$4:$R$503,_calc!$E$345)),IF(LEN(INDEX('Vendor COIs'!$O$4:$O$503,(_calc!$E$345-500)))=0,"",INDEX('Vendor COIs'!$O$4:$O$503,(_calc!$E$345-500)))))</f>
        <v/>
      </c>
      <c r="H343" s="46">
        <f>IF(_calc!$E$345="","",IF(_calc!$E$345&lt;=500,IF(LEN(INDEX('Our policies'!$G$4:$G$503,_calc!$E$345))=0,"",INDEX('Our policies'!$G$4:$G$503,_calc!$E$345)),""))</f>
        <v/>
      </c>
      <c r="I343" s="46">
        <f>IF(_calc!$E$345="","",IF(_calc!$E$345&lt;=500,IF(LEN(INDEX('Our policies'!$H$4:$H$503,_calc!$E$345))=0,"",INDEX('Our policies'!$H$4:$H$503,_calc!$E$345)),""))</f>
        <v/>
      </c>
      <c r="K343" s="46">
        <f>IF(_calc!$E$345="","",IF(_calc!$E$345&lt;=500,IF(LEN(INDEX('Our policies'!$P$4:$P$503,_calc!$E$345))=0,"",INDEX('Our policies'!$P$4:$P$503,_calc!$E$345)),IF(LEN(INDEX('Vendor COIs'!$N$4:$N$503,(_calc!$E$345-500)))=0,"",INDEX('Vendor COIs'!$N$4:$N$503,(_calc!$E$345-500)))))</f>
        <v/>
      </c>
    </row>
    <row r="344">
      <c r="A344" s="46">
        <f>IF(_calc!$E$346="","",IF(_calc!$E$346&lt;=500,IF(LEN(INDEX('Our policies'!$A$4:$A$503,_calc!$E$346))=0,"",INDEX('Our policies'!$A$4:$A$503,_calc!$E$346)),"COI – "&amp;IF(LEN(INDEX('Vendor COIs'!$A$4:$A$503,(_calc!$E$346-500)))=0,"",INDEX('Vendor COIs'!$A$4:$A$503,(_calc!$E$346-500)))&amp;" – "&amp;IF(LEN(INDEX('Vendor COIs'!$B$4:$B$503,(_calc!$E$346-500)))=0,"",INDEX('Vendor COIs'!$B$4:$B$503,(_calc!$E$346-500)))))</f>
        <v/>
      </c>
      <c r="B344" s="46">
        <f>IF(_calc!$E$346="","",IF(_calc!$E$346&lt;=500,IF(ISNUMBER(INDEX('Our policies'!$J$4:$J$503,_calc!$E$346)),TEXT(INDEX('Our policies'!$J$4:$J$503,_calc!$E$346),"yyyy-mm-dd"),""),IF(ISNUMBER(INDEX('Vendor COIs'!$H$4:$H$503,(_calc!$E$346-500))),TEXT(INDEX('Vendor COIs'!$H$4:$H$503,(_calc!$E$346-500)),"yyyy-mm-dd"),"")))</f>
        <v/>
      </c>
      <c r="C344" s="46">
        <f>IF(_calc!$E$346="","",IF(_calc!$E$346&lt;=500,"Insurance","Certificate of insurance"))</f>
        <v/>
      </c>
      <c r="D344" s="46">
        <f>IF(_calc!$E$346="","",IF(_calc!$E$346&lt;=500,IF(ISNUMBER(INDEX('Our policies'!$I$4:$I$503,_calc!$E$346)),TEXT(INDEX('Our policies'!$I$4:$I$503,_calc!$E$346),"yyyy-mm-dd"),""),""))</f>
        <v/>
      </c>
      <c r="E344" s="46">
        <f>IF(_calc!$E$346="","",IF(_calc!$E$346&lt;=500,IF(LEN(INDEX('Our policies'!$Q$4:$Q$503,_calc!$E$346))=0,"",INDEX('Our policies'!$Q$4:$Q$503,_calc!$E$346)),"Medium"))</f>
        <v/>
      </c>
      <c r="F344" s="46">
        <f>IF(_calc!$E$346="","",IF(_calc!$E$346&lt;=500,TRIM(IF(LEN(IF(LEN(INDEX('Our policies'!$B$4:$B$503,_calc!$E$346))=0,"",INDEX('Our policies'!$B$4:$B$503,_calc!$E$346)))=0,"","Cover: "&amp;IF(LEN(INDEX('Our policies'!$B$4:$B$503,_calc!$E$346))=0,"",INDEX('Our policies'!$B$4:$B$503,_calc!$E$346))&amp;". ")&amp;IF(LEN(IF(LEN(INDEX('Our policies'!$C$4:$C$503,_calc!$E$346))=0,"",INDEX('Our policies'!$C$4:$C$503,_calc!$E$346)))=0,"","Insurer: "&amp;IF(LEN(INDEX('Our policies'!$C$4:$C$503,_calc!$E$346))=0,"",INDEX('Our policies'!$C$4:$C$503,_calc!$E$346))&amp;". ")&amp;IF(LEN(IF(LEN(INDEX('Our policies'!$D$4:$D$503,_calc!$E$346))=0,"",INDEX('Our policies'!$D$4:$D$503,_calc!$E$346)))=0,"","Broker: "&amp;IF(LEN(INDEX('Our policies'!$D$4:$D$503,_calc!$E$346))=0,"",INDEX('Our policies'!$D$4:$D$503,_calc!$E$346))&amp;". ")&amp;IF(LEN(IF(LEN(INDEX('Our policies'!$E$4:$E$503,_calc!$E$346))=0,"",INDEX('Our policies'!$E$4:$E$503,_calc!$E$346)))=0,"","Policy no.: "&amp;IF(LEN(INDEX('Our policies'!$E$4:$E$503,_calc!$E$346))=0,"",INDEX('Our policies'!$E$4:$E$503,_calc!$E$346))&amp;". ")&amp;IF(LEN(IF(LEN(INDEX('Our policies'!$S$4:$S$503,_calc!$E$346))=0,"",INDEX('Our policies'!$S$4:$S$503,_calc!$E$346)))=0,"",IF(LEN(INDEX('Our policies'!$S$4:$S$503,_calc!$E$346))=0,"",INDEX('Our policies'!$S$4:$S$503,_calc!$E$346)))),TRIM(IF(LEN(IF(LEN(INDEX('Vendor COIs'!$C$4:$C$503,(_calc!$E$346-500)))=0,"",INDEX('Vendor COIs'!$C$4:$C$503,(_calc!$E$346-500))))=0,"","Insurer: "&amp;IF(LEN(INDEX('Vendor COIs'!$C$4:$C$503,(_calc!$E$346-500)))=0,"",INDEX('Vendor COIs'!$C$4:$C$503,(_calc!$E$346-500)))&amp;". ")&amp;IF(LEN(IF(LEN(INDEX('Vendor COIs'!$D$4:$D$503,(_calc!$E$346-500)))=0,"",INDEX('Vendor COIs'!$D$4:$D$503,(_calc!$E$346-500))))=0,"","Policy no.: "&amp;IF(LEN(INDEX('Vendor COIs'!$D$4:$D$503,(_calc!$E$346-500)))=0,"",INDEX('Vendor COIs'!$D$4:$D$503,(_calc!$E$346-500)))&amp;". ")&amp;IF(LEN(IF(LEN(INDEX('Vendor COIs'!$F$4:$F$503,(_calc!$E$346-500)))=0,"",INDEX('Vendor COIs'!$F$4:$F$503,(_calc!$E$346-500))))=0,"","Meets minimum: "&amp;IF(LEN(INDEX('Vendor COIs'!$F$4:$F$503,(_calc!$E$346-500)))=0,"",INDEX('Vendor COIs'!$F$4:$F$503,(_calc!$E$346-500)))&amp;". ")&amp;IF(LEN(IF(LEN(INDEX('Vendor COIs'!$G$4:$G$503,(_calc!$E$346-500)))=0,"",INDEX('Vendor COIs'!$G$4:$G$503,(_calc!$E$346-500))))=0,"","Additional insured: "&amp;IF(LEN(INDEX('Vendor COIs'!$G$4:$G$503,(_calc!$E$346-500)))=0,"",INDEX('Vendor COIs'!$G$4:$G$503,(_calc!$E$346-500)))&amp;". ")&amp;IF(LEN(IF(LEN(INDEX('Vendor COIs'!$M$4:$M$503,(_calc!$E$346-500)))=0,"",INDEX('Vendor COIs'!$M$4:$M$503,(_calc!$E$346-500))))=0,"","Vendor contact: "&amp;IF(LEN(INDEX('Vendor COIs'!$M$4:$M$503,(_calc!$E$346-500)))=0,"",INDEX('Vendor COIs'!$M$4:$M$503,(_calc!$E$346-500)))&amp;". ")&amp;IF(LEN(IF(LEN(INDEX('Vendor COIs'!$P$4:$P$503,(_calc!$E$346-500)))=0,"",INDEX('Vendor COIs'!$P$4:$P$503,(_calc!$E$346-500))))=0,"",IF(LEN(INDEX('Vendor COIs'!$P$4:$P$503,(_calc!$E$346-500)))=0,"",INDEX('Vendor COIs'!$P$4:$P$503,(_calc!$E$346-500)))))))</f>
        <v/>
      </c>
      <c r="G344" s="46">
        <f>IF(_calc!$E$346="","",IF(_calc!$E$346&lt;=500,IF(LEN(INDEX('Our policies'!$R$4:$R$503,_calc!$E$346))=0,"",INDEX('Our policies'!$R$4:$R$503,_calc!$E$346)),IF(LEN(INDEX('Vendor COIs'!$O$4:$O$503,(_calc!$E$346-500)))=0,"",INDEX('Vendor COIs'!$O$4:$O$503,(_calc!$E$346-500)))))</f>
        <v/>
      </c>
      <c r="H344" s="46">
        <f>IF(_calc!$E$346="","",IF(_calc!$E$346&lt;=500,IF(LEN(INDEX('Our policies'!$G$4:$G$503,_calc!$E$346))=0,"",INDEX('Our policies'!$G$4:$G$503,_calc!$E$346)),""))</f>
        <v/>
      </c>
      <c r="I344" s="46">
        <f>IF(_calc!$E$346="","",IF(_calc!$E$346&lt;=500,IF(LEN(INDEX('Our policies'!$H$4:$H$503,_calc!$E$346))=0,"",INDEX('Our policies'!$H$4:$H$503,_calc!$E$346)),""))</f>
        <v/>
      </c>
      <c r="K344" s="46">
        <f>IF(_calc!$E$346="","",IF(_calc!$E$346&lt;=500,IF(LEN(INDEX('Our policies'!$P$4:$P$503,_calc!$E$346))=0,"",INDEX('Our policies'!$P$4:$P$503,_calc!$E$346)),IF(LEN(INDEX('Vendor COIs'!$N$4:$N$503,(_calc!$E$346-500)))=0,"",INDEX('Vendor COIs'!$N$4:$N$503,(_calc!$E$346-500)))))</f>
        <v/>
      </c>
    </row>
    <row r="345">
      <c r="A345" s="46">
        <f>IF(_calc!$E$347="","",IF(_calc!$E$347&lt;=500,IF(LEN(INDEX('Our policies'!$A$4:$A$503,_calc!$E$347))=0,"",INDEX('Our policies'!$A$4:$A$503,_calc!$E$347)),"COI – "&amp;IF(LEN(INDEX('Vendor COIs'!$A$4:$A$503,(_calc!$E$347-500)))=0,"",INDEX('Vendor COIs'!$A$4:$A$503,(_calc!$E$347-500)))&amp;" – "&amp;IF(LEN(INDEX('Vendor COIs'!$B$4:$B$503,(_calc!$E$347-500)))=0,"",INDEX('Vendor COIs'!$B$4:$B$503,(_calc!$E$347-500)))))</f>
        <v/>
      </c>
      <c r="B345" s="46">
        <f>IF(_calc!$E$347="","",IF(_calc!$E$347&lt;=500,IF(ISNUMBER(INDEX('Our policies'!$J$4:$J$503,_calc!$E$347)),TEXT(INDEX('Our policies'!$J$4:$J$503,_calc!$E$347),"yyyy-mm-dd"),""),IF(ISNUMBER(INDEX('Vendor COIs'!$H$4:$H$503,(_calc!$E$347-500))),TEXT(INDEX('Vendor COIs'!$H$4:$H$503,(_calc!$E$347-500)),"yyyy-mm-dd"),"")))</f>
        <v/>
      </c>
      <c r="C345" s="46">
        <f>IF(_calc!$E$347="","",IF(_calc!$E$347&lt;=500,"Insurance","Certificate of insurance"))</f>
        <v/>
      </c>
      <c r="D345" s="46">
        <f>IF(_calc!$E$347="","",IF(_calc!$E$347&lt;=500,IF(ISNUMBER(INDEX('Our policies'!$I$4:$I$503,_calc!$E$347)),TEXT(INDEX('Our policies'!$I$4:$I$503,_calc!$E$347),"yyyy-mm-dd"),""),""))</f>
        <v/>
      </c>
      <c r="E345" s="46">
        <f>IF(_calc!$E$347="","",IF(_calc!$E$347&lt;=500,IF(LEN(INDEX('Our policies'!$Q$4:$Q$503,_calc!$E$347))=0,"",INDEX('Our policies'!$Q$4:$Q$503,_calc!$E$347)),"Medium"))</f>
        <v/>
      </c>
      <c r="F345" s="46">
        <f>IF(_calc!$E$347="","",IF(_calc!$E$347&lt;=500,TRIM(IF(LEN(IF(LEN(INDEX('Our policies'!$B$4:$B$503,_calc!$E$347))=0,"",INDEX('Our policies'!$B$4:$B$503,_calc!$E$347)))=0,"","Cover: "&amp;IF(LEN(INDEX('Our policies'!$B$4:$B$503,_calc!$E$347))=0,"",INDEX('Our policies'!$B$4:$B$503,_calc!$E$347))&amp;". ")&amp;IF(LEN(IF(LEN(INDEX('Our policies'!$C$4:$C$503,_calc!$E$347))=0,"",INDEX('Our policies'!$C$4:$C$503,_calc!$E$347)))=0,"","Insurer: "&amp;IF(LEN(INDEX('Our policies'!$C$4:$C$503,_calc!$E$347))=0,"",INDEX('Our policies'!$C$4:$C$503,_calc!$E$347))&amp;". ")&amp;IF(LEN(IF(LEN(INDEX('Our policies'!$D$4:$D$503,_calc!$E$347))=0,"",INDEX('Our policies'!$D$4:$D$503,_calc!$E$347)))=0,"","Broker: "&amp;IF(LEN(INDEX('Our policies'!$D$4:$D$503,_calc!$E$347))=0,"",INDEX('Our policies'!$D$4:$D$503,_calc!$E$347))&amp;". ")&amp;IF(LEN(IF(LEN(INDEX('Our policies'!$E$4:$E$503,_calc!$E$347))=0,"",INDEX('Our policies'!$E$4:$E$503,_calc!$E$347)))=0,"","Policy no.: "&amp;IF(LEN(INDEX('Our policies'!$E$4:$E$503,_calc!$E$347))=0,"",INDEX('Our policies'!$E$4:$E$503,_calc!$E$347))&amp;". ")&amp;IF(LEN(IF(LEN(INDEX('Our policies'!$S$4:$S$503,_calc!$E$347))=0,"",INDEX('Our policies'!$S$4:$S$503,_calc!$E$347)))=0,"",IF(LEN(INDEX('Our policies'!$S$4:$S$503,_calc!$E$347))=0,"",INDEX('Our policies'!$S$4:$S$503,_calc!$E$347)))),TRIM(IF(LEN(IF(LEN(INDEX('Vendor COIs'!$C$4:$C$503,(_calc!$E$347-500)))=0,"",INDEX('Vendor COIs'!$C$4:$C$503,(_calc!$E$347-500))))=0,"","Insurer: "&amp;IF(LEN(INDEX('Vendor COIs'!$C$4:$C$503,(_calc!$E$347-500)))=0,"",INDEX('Vendor COIs'!$C$4:$C$503,(_calc!$E$347-500)))&amp;". ")&amp;IF(LEN(IF(LEN(INDEX('Vendor COIs'!$D$4:$D$503,(_calc!$E$347-500)))=0,"",INDEX('Vendor COIs'!$D$4:$D$503,(_calc!$E$347-500))))=0,"","Policy no.: "&amp;IF(LEN(INDEX('Vendor COIs'!$D$4:$D$503,(_calc!$E$347-500)))=0,"",INDEX('Vendor COIs'!$D$4:$D$503,(_calc!$E$347-500)))&amp;". ")&amp;IF(LEN(IF(LEN(INDEX('Vendor COIs'!$F$4:$F$503,(_calc!$E$347-500)))=0,"",INDEX('Vendor COIs'!$F$4:$F$503,(_calc!$E$347-500))))=0,"","Meets minimum: "&amp;IF(LEN(INDEX('Vendor COIs'!$F$4:$F$503,(_calc!$E$347-500)))=0,"",INDEX('Vendor COIs'!$F$4:$F$503,(_calc!$E$347-500)))&amp;". ")&amp;IF(LEN(IF(LEN(INDEX('Vendor COIs'!$G$4:$G$503,(_calc!$E$347-500)))=0,"",INDEX('Vendor COIs'!$G$4:$G$503,(_calc!$E$347-500))))=0,"","Additional insured: "&amp;IF(LEN(INDEX('Vendor COIs'!$G$4:$G$503,(_calc!$E$347-500)))=0,"",INDEX('Vendor COIs'!$G$4:$G$503,(_calc!$E$347-500)))&amp;". ")&amp;IF(LEN(IF(LEN(INDEX('Vendor COIs'!$M$4:$M$503,(_calc!$E$347-500)))=0,"",INDEX('Vendor COIs'!$M$4:$M$503,(_calc!$E$347-500))))=0,"","Vendor contact: "&amp;IF(LEN(INDEX('Vendor COIs'!$M$4:$M$503,(_calc!$E$347-500)))=0,"",INDEX('Vendor COIs'!$M$4:$M$503,(_calc!$E$347-500)))&amp;". ")&amp;IF(LEN(IF(LEN(INDEX('Vendor COIs'!$P$4:$P$503,(_calc!$E$347-500)))=0,"",INDEX('Vendor COIs'!$P$4:$P$503,(_calc!$E$347-500))))=0,"",IF(LEN(INDEX('Vendor COIs'!$P$4:$P$503,(_calc!$E$347-500)))=0,"",INDEX('Vendor COIs'!$P$4:$P$503,(_calc!$E$347-500)))))))</f>
        <v/>
      </c>
      <c r="G345" s="46">
        <f>IF(_calc!$E$347="","",IF(_calc!$E$347&lt;=500,IF(LEN(INDEX('Our policies'!$R$4:$R$503,_calc!$E$347))=0,"",INDEX('Our policies'!$R$4:$R$503,_calc!$E$347)),IF(LEN(INDEX('Vendor COIs'!$O$4:$O$503,(_calc!$E$347-500)))=0,"",INDEX('Vendor COIs'!$O$4:$O$503,(_calc!$E$347-500)))))</f>
        <v/>
      </c>
      <c r="H345" s="46">
        <f>IF(_calc!$E$347="","",IF(_calc!$E$347&lt;=500,IF(LEN(INDEX('Our policies'!$G$4:$G$503,_calc!$E$347))=0,"",INDEX('Our policies'!$G$4:$G$503,_calc!$E$347)),""))</f>
        <v/>
      </c>
      <c r="I345" s="46">
        <f>IF(_calc!$E$347="","",IF(_calc!$E$347&lt;=500,IF(LEN(INDEX('Our policies'!$H$4:$H$503,_calc!$E$347))=0,"",INDEX('Our policies'!$H$4:$H$503,_calc!$E$347)),""))</f>
        <v/>
      </c>
      <c r="K345" s="46">
        <f>IF(_calc!$E$347="","",IF(_calc!$E$347&lt;=500,IF(LEN(INDEX('Our policies'!$P$4:$P$503,_calc!$E$347))=0,"",INDEX('Our policies'!$P$4:$P$503,_calc!$E$347)),IF(LEN(INDEX('Vendor COIs'!$N$4:$N$503,(_calc!$E$347-500)))=0,"",INDEX('Vendor COIs'!$N$4:$N$503,(_calc!$E$347-500)))))</f>
        <v/>
      </c>
    </row>
    <row r="346">
      <c r="A346" s="46">
        <f>IF(_calc!$E$348="","",IF(_calc!$E$348&lt;=500,IF(LEN(INDEX('Our policies'!$A$4:$A$503,_calc!$E$348))=0,"",INDEX('Our policies'!$A$4:$A$503,_calc!$E$348)),"COI – "&amp;IF(LEN(INDEX('Vendor COIs'!$A$4:$A$503,(_calc!$E$348-500)))=0,"",INDEX('Vendor COIs'!$A$4:$A$503,(_calc!$E$348-500)))&amp;" – "&amp;IF(LEN(INDEX('Vendor COIs'!$B$4:$B$503,(_calc!$E$348-500)))=0,"",INDEX('Vendor COIs'!$B$4:$B$503,(_calc!$E$348-500)))))</f>
        <v/>
      </c>
      <c r="B346" s="46">
        <f>IF(_calc!$E$348="","",IF(_calc!$E$348&lt;=500,IF(ISNUMBER(INDEX('Our policies'!$J$4:$J$503,_calc!$E$348)),TEXT(INDEX('Our policies'!$J$4:$J$503,_calc!$E$348),"yyyy-mm-dd"),""),IF(ISNUMBER(INDEX('Vendor COIs'!$H$4:$H$503,(_calc!$E$348-500))),TEXT(INDEX('Vendor COIs'!$H$4:$H$503,(_calc!$E$348-500)),"yyyy-mm-dd"),"")))</f>
        <v/>
      </c>
      <c r="C346" s="46">
        <f>IF(_calc!$E$348="","",IF(_calc!$E$348&lt;=500,"Insurance","Certificate of insurance"))</f>
        <v/>
      </c>
      <c r="D346" s="46">
        <f>IF(_calc!$E$348="","",IF(_calc!$E$348&lt;=500,IF(ISNUMBER(INDEX('Our policies'!$I$4:$I$503,_calc!$E$348)),TEXT(INDEX('Our policies'!$I$4:$I$503,_calc!$E$348),"yyyy-mm-dd"),""),""))</f>
        <v/>
      </c>
      <c r="E346" s="46">
        <f>IF(_calc!$E$348="","",IF(_calc!$E$348&lt;=500,IF(LEN(INDEX('Our policies'!$Q$4:$Q$503,_calc!$E$348))=0,"",INDEX('Our policies'!$Q$4:$Q$503,_calc!$E$348)),"Medium"))</f>
        <v/>
      </c>
      <c r="F346" s="46">
        <f>IF(_calc!$E$348="","",IF(_calc!$E$348&lt;=500,TRIM(IF(LEN(IF(LEN(INDEX('Our policies'!$B$4:$B$503,_calc!$E$348))=0,"",INDEX('Our policies'!$B$4:$B$503,_calc!$E$348)))=0,"","Cover: "&amp;IF(LEN(INDEX('Our policies'!$B$4:$B$503,_calc!$E$348))=0,"",INDEX('Our policies'!$B$4:$B$503,_calc!$E$348))&amp;". ")&amp;IF(LEN(IF(LEN(INDEX('Our policies'!$C$4:$C$503,_calc!$E$348))=0,"",INDEX('Our policies'!$C$4:$C$503,_calc!$E$348)))=0,"","Insurer: "&amp;IF(LEN(INDEX('Our policies'!$C$4:$C$503,_calc!$E$348))=0,"",INDEX('Our policies'!$C$4:$C$503,_calc!$E$348))&amp;". ")&amp;IF(LEN(IF(LEN(INDEX('Our policies'!$D$4:$D$503,_calc!$E$348))=0,"",INDEX('Our policies'!$D$4:$D$503,_calc!$E$348)))=0,"","Broker: "&amp;IF(LEN(INDEX('Our policies'!$D$4:$D$503,_calc!$E$348))=0,"",INDEX('Our policies'!$D$4:$D$503,_calc!$E$348))&amp;". ")&amp;IF(LEN(IF(LEN(INDEX('Our policies'!$E$4:$E$503,_calc!$E$348))=0,"",INDEX('Our policies'!$E$4:$E$503,_calc!$E$348)))=0,"","Policy no.: "&amp;IF(LEN(INDEX('Our policies'!$E$4:$E$503,_calc!$E$348))=0,"",INDEX('Our policies'!$E$4:$E$503,_calc!$E$348))&amp;". ")&amp;IF(LEN(IF(LEN(INDEX('Our policies'!$S$4:$S$503,_calc!$E$348))=0,"",INDEX('Our policies'!$S$4:$S$503,_calc!$E$348)))=0,"",IF(LEN(INDEX('Our policies'!$S$4:$S$503,_calc!$E$348))=0,"",INDEX('Our policies'!$S$4:$S$503,_calc!$E$348)))),TRIM(IF(LEN(IF(LEN(INDEX('Vendor COIs'!$C$4:$C$503,(_calc!$E$348-500)))=0,"",INDEX('Vendor COIs'!$C$4:$C$503,(_calc!$E$348-500))))=0,"","Insurer: "&amp;IF(LEN(INDEX('Vendor COIs'!$C$4:$C$503,(_calc!$E$348-500)))=0,"",INDEX('Vendor COIs'!$C$4:$C$503,(_calc!$E$348-500)))&amp;". ")&amp;IF(LEN(IF(LEN(INDEX('Vendor COIs'!$D$4:$D$503,(_calc!$E$348-500)))=0,"",INDEX('Vendor COIs'!$D$4:$D$503,(_calc!$E$348-500))))=0,"","Policy no.: "&amp;IF(LEN(INDEX('Vendor COIs'!$D$4:$D$503,(_calc!$E$348-500)))=0,"",INDEX('Vendor COIs'!$D$4:$D$503,(_calc!$E$348-500)))&amp;". ")&amp;IF(LEN(IF(LEN(INDEX('Vendor COIs'!$F$4:$F$503,(_calc!$E$348-500)))=0,"",INDEX('Vendor COIs'!$F$4:$F$503,(_calc!$E$348-500))))=0,"","Meets minimum: "&amp;IF(LEN(INDEX('Vendor COIs'!$F$4:$F$503,(_calc!$E$348-500)))=0,"",INDEX('Vendor COIs'!$F$4:$F$503,(_calc!$E$348-500)))&amp;". ")&amp;IF(LEN(IF(LEN(INDEX('Vendor COIs'!$G$4:$G$503,(_calc!$E$348-500)))=0,"",INDEX('Vendor COIs'!$G$4:$G$503,(_calc!$E$348-500))))=0,"","Additional insured: "&amp;IF(LEN(INDEX('Vendor COIs'!$G$4:$G$503,(_calc!$E$348-500)))=0,"",INDEX('Vendor COIs'!$G$4:$G$503,(_calc!$E$348-500)))&amp;". ")&amp;IF(LEN(IF(LEN(INDEX('Vendor COIs'!$M$4:$M$503,(_calc!$E$348-500)))=0,"",INDEX('Vendor COIs'!$M$4:$M$503,(_calc!$E$348-500))))=0,"","Vendor contact: "&amp;IF(LEN(INDEX('Vendor COIs'!$M$4:$M$503,(_calc!$E$348-500)))=0,"",INDEX('Vendor COIs'!$M$4:$M$503,(_calc!$E$348-500)))&amp;". ")&amp;IF(LEN(IF(LEN(INDEX('Vendor COIs'!$P$4:$P$503,(_calc!$E$348-500)))=0,"",INDEX('Vendor COIs'!$P$4:$P$503,(_calc!$E$348-500))))=0,"",IF(LEN(INDEX('Vendor COIs'!$P$4:$P$503,(_calc!$E$348-500)))=0,"",INDEX('Vendor COIs'!$P$4:$P$503,(_calc!$E$348-500)))))))</f>
        <v/>
      </c>
      <c r="G346" s="46">
        <f>IF(_calc!$E$348="","",IF(_calc!$E$348&lt;=500,IF(LEN(INDEX('Our policies'!$R$4:$R$503,_calc!$E$348))=0,"",INDEX('Our policies'!$R$4:$R$503,_calc!$E$348)),IF(LEN(INDEX('Vendor COIs'!$O$4:$O$503,(_calc!$E$348-500)))=0,"",INDEX('Vendor COIs'!$O$4:$O$503,(_calc!$E$348-500)))))</f>
        <v/>
      </c>
      <c r="H346" s="46">
        <f>IF(_calc!$E$348="","",IF(_calc!$E$348&lt;=500,IF(LEN(INDEX('Our policies'!$G$4:$G$503,_calc!$E$348))=0,"",INDEX('Our policies'!$G$4:$G$503,_calc!$E$348)),""))</f>
        <v/>
      </c>
      <c r="I346" s="46">
        <f>IF(_calc!$E$348="","",IF(_calc!$E$348&lt;=500,IF(LEN(INDEX('Our policies'!$H$4:$H$503,_calc!$E$348))=0,"",INDEX('Our policies'!$H$4:$H$503,_calc!$E$348)),""))</f>
        <v/>
      </c>
      <c r="K346" s="46">
        <f>IF(_calc!$E$348="","",IF(_calc!$E$348&lt;=500,IF(LEN(INDEX('Our policies'!$P$4:$P$503,_calc!$E$348))=0,"",INDEX('Our policies'!$P$4:$P$503,_calc!$E$348)),IF(LEN(INDEX('Vendor COIs'!$N$4:$N$503,(_calc!$E$348-500)))=0,"",INDEX('Vendor COIs'!$N$4:$N$503,(_calc!$E$348-500)))))</f>
        <v/>
      </c>
    </row>
    <row r="347">
      <c r="A347" s="46">
        <f>IF(_calc!$E$349="","",IF(_calc!$E$349&lt;=500,IF(LEN(INDEX('Our policies'!$A$4:$A$503,_calc!$E$349))=0,"",INDEX('Our policies'!$A$4:$A$503,_calc!$E$349)),"COI – "&amp;IF(LEN(INDEX('Vendor COIs'!$A$4:$A$503,(_calc!$E$349-500)))=0,"",INDEX('Vendor COIs'!$A$4:$A$503,(_calc!$E$349-500)))&amp;" – "&amp;IF(LEN(INDEX('Vendor COIs'!$B$4:$B$503,(_calc!$E$349-500)))=0,"",INDEX('Vendor COIs'!$B$4:$B$503,(_calc!$E$349-500)))))</f>
        <v/>
      </c>
      <c r="B347" s="46">
        <f>IF(_calc!$E$349="","",IF(_calc!$E$349&lt;=500,IF(ISNUMBER(INDEX('Our policies'!$J$4:$J$503,_calc!$E$349)),TEXT(INDEX('Our policies'!$J$4:$J$503,_calc!$E$349),"yyyy-mm-dd"),""),IF(ISNUMBER(INDEX('Vendor COIs'!$H$4:$H$503,(_calc!$E$349-500))),TEXT(INDEX('Vendor COIs'!$H$4:$H$503,(_calc!$E$349-500)),"yyyy-mm-dd"),"")))</f>
        <v/>
      </c>
      <c r="C347" s="46">
        <f>IF(_calc!$E$349="","",IF(_calc!$E$349&lt;=500,"Insurance","Certificate of insurance"))</f>
        <v/>
      </c>
      <c r="D347" s="46">
        <f>IF(_calc!$E$349="","",IF(_calc!$E$349&lt;=500,IF(ISNUMBER(INDEX('Our policies'!$I$4:$I$503,_calc!$E$349)),TEXT(INDEX('Our policies'!$I$4:$I$503,_calc!$E$349),"yyyy-mm-dd"),""),""))</f>
        <v/>
      </c>
      <c r="E347" s="46">
        <f>IF(_calc!$E$349="","",IF(_calc!$E$349&lt;=500,IF(LEN(INDEX('Our policies'!$Q$4:$Q$503,_calc!$E$349))=0,"",INDEX('Our policies'!$Q$4:$Q$503,_calc!$E$349)),"Medium"))</f>
        <v/>
      </c>
      <c r="F347" s="46">
        <f>IF(_calc!$E$349="","",IF(_calc!$E$349&lt;=500,TRIM(IF(LEN(IF(LEN(INDEX('Our policies'!$B$4:$B$503,_calc!$E$349))=0,"",INDEX('Our policies'!$B$4:$B$503,_calc!$E$349)))=0,"","Cover: "&amp;IF(LEN(INDEX('Our policies'!$B$4:$B$503,_calc!$E$349))=0,"",INDEX('Our policies'!$B$4:$B$503,_calc!$E$349))&amp;". ")&amp;IF(LEN(IF(LEN(INDEX('Our policies'!$C$4:$C$503,_calc!$E$349))=0,"",INDEX('Our policies'!$C$4:$C$503,_calc!$E$349)))=0,"","Insurer: "&amp;IF(LEN(INDEX('Our policies'!$C$4:$C$503,_calc!$E$349))=0,"",INDEX('Our policies'!$C$4:$C$503,_calc!$E$349))&amp;". ")&amp;IF(LEN(IF(LEN(INDEX('Our policies'!$D$4:$D$503,_calc!$E$349))=0,"",INDEX('Our policies'!$D$4:$D$503,_calc!$E$349)))=0,"","Broker: "&amp;IF(LEN(INDEX('Our policies'!$D$4:$D$503,_calc!$E$349))=0,"",INDEX('Our policies'!$D$4:$D$503,_calc!$E$349))&amp;". ")&amp;IF(LEN(IF(LEN(INDEX('Our policies'!$E$4:$E$503,_calc!$E$349))=0,"",INDEX('Our policies'!$E$4:$E$503,_calc!$E$349)))=0,"","Policy no.: "&amp;IF(LEN(INDEX('Our policies'!$E$4:$E$503,_calc!$E$349))=0,"",INDEX('Our policies'!$E$4:$E$503,_calc!$E$349))&amp;". ")&amp;IF(LEN(IF(LEN(INDEX('Our policies'!$S$4:$S$503,_calc!$E$349))=0,"",INDEX('Our policies'!$S$4:$S$503,_calc!$E$349)))=0,"",IF(LEN(INDEX('Our policies'!$S$4:$S$503,_calc!$E$349))=0,"",INDEX('Our policies'!$S$4:$S$503,_calc!$E$349)))),TRIM(IF(LEN(IF(LEN(INDEX('Vendor COIs'!$C$4:$C$503,(_calc!$E$349-500)))=0,"",INDEX('Vendor COIs'!$C$4:$C$503,(_calc!$E$349-500))))=0,"","Insurer: "&amp;IF(LEN(INDEX('Vendor COIs'!$C$4:$C$503,(_calc!$E$349-500)))=0,"",INDEX('Vendor COIs'!$C$4:$C$503,(_calc!$E$349-500)))&amp;". ")&amp;IF(LEN(IF(LEN(INDEX('Vendor COIs'!$D$4:$D$503,(_calc!$E$349-500)))=0,"",INDEX('Vendor COIs'!$D$4:$D$503,(_calc!$E$349-500))))=0,"","Policy no.: "&amp;IF(LEN(INDEX('Vendor COIs'!$D$4:$D$503,(_calc!$E$349-500)))=0,"",INDEX('Vendor COIs'!$D$4:$D$503,(_calc!$E$349-500)))&amp;". ")&amp;IF(LEN(IF(LEN(INDEX('Vendor COIs'!$F$4:$F$503,(_calc!$E$349-500)))=0,"",INDEX('Vendor COIs'!$F$4:$F$503,(_calc!$E$349-500))))=0,"","Meets minimum: "&amp;IF(LEN(INDEX('Vendor COIs'!$F$4:$F$503,(_calc!$E$349-500)))=0,"",INDEX('Vendor COIs'!$F$4:$F$503,(_calc!$E$349-500)))&amp;". ")&amp;IF(LEN(IF(LEN(INDEX('Vendor COIs'!$G$4:$G$503,(_calc!$E$349-500)))=0,"",INDEX('Vendor COIs'!$G$4:$G$503,(_calc!$E$349-500))))=0,"","Additional insured: "&amp;IF(LEN(INDEX('Vendor COIs'!$G$4:$G$503,(_calc!$E$349-500)))=0,"",INDEX('Vendor COIs'!$G$4:$G$503,(_calc!$E$349-500)))&amp;". ")&amp;IF(LEN(IF(LEN(INDEX('Vendor COIs'!$M$4:$M$503,(_calc!$E$349-500)))=0,"",INDEX('Vendor COIs'!$M$4:$M$503,(_calc!$E$349-500))))=0,"","Vendor contact: "&amp;IF(LEN(INDEX('Vendor COIs'!$M$4:$M$503,(_calc!$E$349-500)))=0,"",INDEX('Vendor COIs'!$M$4:$M$503,(_calc!$E$349-500)))&amp;". ")&amp;IF(LEN(IF(LEN(INDEX('Vendor COIs'!$P$4:$P$503,(_calc!$E$349-500)))=0,"",INDEX('Vendor COIs'!$P$4:$P$503,(_calc!$E$349-500))))=0,"",IF(LEN(INDEX('Vendor COIs'!$P$4:$P$503,(_calc!$E$349-500)))=0,"",INDEX('Vendor COIs'!$P$4:$P$503,(_calc!$E$349-500)))))))</f>
        <v/>
      </c>
      <c r="G347" s="46">
        <f>IF(_calc!$E$349="","",IF(_calc!$E$349&lt;=500,IF(LEN(INDEX('Our policies'!$R$4:$R$503,_calc!$E$349))=0,"",INDEX('Our policies'!$R$4:$R$503,_calc!$E$349)),IF(LEN(INDEX('Vendor COIs'!$O$4:$O$503,(_calc!$E$349-500)))=0,"",INDEX('Vendor COIs'!$O$4:$O$503,(_calc!$E$349-500)))))</f>
        <v/>
      </c>
      <c r="H347" s="46">
        <f>IF(_calc!$E$349="","",IF(_calc!$E$349&lt;=500,IF(LEN(INDEX('Our policies'!$G$4:$G$503,_calc!$E$349))=0,"",INDEX('Our policies'!$G$4:$G$503,_calc!$E$349)),""))</f>
        <v/>
      </c>
      <c r="I347" s="46">
        <f>IF(_calc!$E$349="","",IF(_calc!$E$349&lt;=500,IF(LEN(INDEX('Our policies'!$H$4:$H$503,_calc!$E$349))=0,"",INDEX('Our policies'!$H$4:$H$503,_calc!$E$349)),""))</f>
        <v/>
      </c>
      <c r="K347" s="46">
        <f>IF(_calc!$E$349="","",IF(_calc!$E$349&lt;=500,IF(LEN(INDEX('Our policies'!$P$4:$P$503,_calc!$E$349))=0,"",INDEX('Our policies'!$P$4:$P$503,_calc!$E$349)),IF(LEN(INDEX('Vendor COIs'!$N$4:$N$503,(_calc!$E$349-500)))=0,"",INDEX('Vendor COIs'!$N$4:$N$503,(_calc!$E$349-500)))))</f>
        <v/>
      </c>
    </row>
    <row r="348">
      <c r="A348" s="46">
        <f>IF(_calc!$E$350="","",IF(_calc!$E$350&lt;=500,IF(LEN(INDEX('Our policies'!$A$4:$A$503,_calc!$E$350))=0,"",INDEX('Our policies'!$A$4:$A$503,_calc!$E$350)),"COI – "&amp;IF(LEN(INDEX('Vendor COIs'!$A$4:$A$503,(_calc!$E$350-500)))=0,"",INDEX('Vendor COIs'!$A$4:$A$503,(_calc!$E$350-500)))&amp;" – "&amp;IF(LEN(INDEX('Vendor COIs'!$B$4:$B$503,(_calc!$E$350-500)))=0,"",INDEX('Vendor COIs'!$B$4:$B$503,(_calc!$E$350-500)))))</f>
        <v/>
      </c>
      <c r="B348" s="46">
        <f>IF(_calc!$E$350="","",IF(_calc!$E$350&lt;=500,IF(ISNUMBER(INDEX('Our policies'!$J$4:$J$503,_calc!$E$350)),TEXT(INDEX('Our policies'!$J$4:$J$503,_calc!$E$350),"yyyy-mm-dd"),""),IF(ISNUMBER(INDEX('Vendor COIs'!$H$4:$H$503,(_calc!$E$350-500))),TEXT(INDEX('Vendor COIs'!$H$4:$H$503,(_calc!$E$350-500)),"yyyy-mm-dd"),"")))</f>
        <v/>
      </c>
      <c r="C348" s="46">
        <f>IF(_calc!$E$350="","",IF(_calc!$E$350&lt;=500,"Insurance","Certificate of insurance"))</f>
        <v/>
      </c>
      <c r="D348" s="46">
        <f>IF(_calc!$E$350="","",IF(_calc!$E$350&lt;=500,IF(ISNUMBER(INDEX('Our policies'!$I$4:$I$503,_calc!$E$350)),TEXT(INDEX('Our policies'!$I$4:$I$503,_calc!$E$350),"yyyy-mm-dd"),""),""))</f>
        <v/>
      </c>
      <c r="E348" s="46">
        <f>IF(_calc!$E$350="","",IF(_calc!$E$350&lt;=500,IF(LEN(INDEX('Our policies'!$Q$4:$Q$503,_calc!$E$350))=0,"",INDEX('Our policies'!$Q$4:$Q$503,_calc!$E$350)),"Medium"))</f>
        <v/>
      </c>
      <c r="F348" s="46">
        <f>IF(_calc!$E$350="","",IF(_calc!$E$350&lt;=500,TRIM(IF(LEN(IF(LEN(INDEX('Our policies'!$B$4:$B$503,_calc!$E$350))=0,"",INDEX('Our policies'!$B$4:$B$503,_calc!$E$350)))=0,"","Cover: "&amp;IF(LEN(INDEX('Our policies'!$B$4:$B$503,_calc!$E$350))=0,"",INDEX('Our policies'!$B$4:$B$503,_calc!$E$350))&amp;". ")&amp;IF(LEN(IF(LEN(INDEX('Our policies'!$C$4:$C$503,_calc!$E$350))=0,"",INDEX('Our policies'!$C$4:$C$503,_calc!$E$350)))=0,"","Insurer: "&amp;IF(LEN(INDEX('Our policies'!$C$4:$C$503,_calc!$E$350))=0,"",INDEX('Our policies'!$C$4:$C$503,_calc!$E$350))&amp;". ")&amp;IF(LEN(IF(LEN(INDEX('Our policies'!$D$4:$D$503,_calc!$E$350))=0,"",INDEX('Our policies'!$D$4:$D$503,_calc!$E$350)))=0,"","Broker: "&amp;IF(LEN(INDEX('Our policies'!$D$4:$D$503,_calc!$E$350))=0,"",INDEX('Our policies'!$D$4:$D$503,_calc!$E$350))&amp;". ")&amp;IF(LEN(IF(LEN(INDEX('Our policies'!$E$4:$E$503,_calc!$E$350))=0,"",INDEX('Our policies'!$E$4:$E$503,_calc!$E$350)))=0,"","Policy no.: "&amp;IF(LEN(INDEX('Our policies'!$E$4:$E$503,_calc!$E$350))=0,"",INDEX('Our policies'!$E$4:$E$503,_calc!$E$350))&amp;". ")&amp;IF(LEN(IF(LEN(INDEX('Our policies'!$S$4:$S$503,_calc!$E$350))=0,"",INDEX('Our policies'!$S$4:$S$503,_calc!$E$350)))=0,"",IF(LEN(INDEX('Our policies'!$S$4:$S$503,_calc!$E$350))=0,"",INDEX('Our policies'!$S$4:$S$503,_calc!$E$350)))),TRIM(IF(LEN(IF(LEN(INDEX('Vendor COIs'!$C$4:$C$503,(_calc!$E$350-500)))=0,"",INDEX('Vendor COIs'!$C$4:$C$503,(_calc!$E$350-500))))=0,"","Insurer: "&amp;IF(LEN(INDEX('Vendor COIs'!$C$4:$C$503,(_calc!$E$350-500)))=0,"",INDEX('Vendor COIs'!$C$4:$C$503,(_calc!$E$350-500)))&amp;". ")&amp;IF(LEN(IF(LEN(INDEX('Vendor COIs'!$D$4:$D$503,(_calc!$E$350-500)))=0,"",INDEX('Vendor COIs'!$D$4:$D$503,(_calc!$E$350-500))))=0,"","Policy no.: "&amp;IF(LEN(INDEX('Vendor COIs'!$D$4:$D$503,(_calc!$E$350-500)))=0,"",INDEX('Vendor COIs'!$D$4:$D$503,(_calc!$E$350-500)))&amp;". ")&amp;IF(LEN(IF(LEN(INDEX('Vendor COIs'!$F$4:$F$503,(_calc!$E$350-500)))=0,"",INDEX('Vendor COIs'!$F$4:$F$503,(_calc!$E$350-500))))=0,"","Meets minimum: "&amp;IF(LEN(INDEX('Vendor COIs'!$F$4:$F$503,(_calc!$E$350-500)))=0,"",INDEX('Vendor COIs'!$F$4:$F$503,(_calc!$E$350-500)))&amp;". ")&amp;IF(LEN(IF(LEN(INDEX('Vendor COIs'!$G$4:$G$503,(_calc!$E$350-500)))=0,"",INDEX('Vendor COIs'!$G$4:$G$503,(_calc!$E$350-500))))=0,"","Additional insured: "&amp;IF(LEN(INDEX('Vendor COIs'!$G$4:$G$503,(_calc!$E$350-500)))=0,"",INDEX('Vendor COIs'!$G$4:$G$503,(_calc!$E$350-500)))&amp;". ")&amp;IF(LEN(IF(LEN(INDEX('Vendor COIs'!$M$4:$M$503,(_calc!$E$350-500)))=0,"",INDEX('Vendor COIs'!$M$4:$M$503,(_calc!$E$350-500))))=0,"","Vendor contact: "&amp;IF(LEN(INDEX('Vendor COIs'!$M$4:$M$503,(_calc!$E$350-500)))=0,"",INDEX('Vendor COIs'!$M$4:$M$503,(_calc!$E$350-500)))&amp;". ")&amp;IF(LEN(IF(LEN(INDEX('Vendor COIs'!$P$4:$P$503,(_calc!$E$350-500)))=0,"",INDEX('Vendor COIs'!$P$4:$P$503,(_calc!$E$350-500))))=0,"",IF(LEN(INDEX('Vendor COIs'!$P$4:$P$503,(_calc!$E$350-500)))=0,"",INDEX('Vendor COIs'!$P$4:$P$503,(_calc!$E$350-500)))))))</f>
        <v/>
      </c>
      <c r="G348" s="46">
        <f>IF(_calc!$E$350="","",IF(_calc!$E$350&lt;=500,IF(LEN(INDEX('Our policies'!$R$4:$R$503,_calc!$E$350))=0,"",INDEX('Our policies'!$R$4:$R$503,_calc!$E$350)),IF(LEN(INDEX('Vendor COIs'!$O$4:$O$503,(_calc!$E$350-500)))=0,"",INDEX('Vendor COIs'!$O$4:$O$503,(_calc!$E$350-500)))))</f>
        <v/>
      </c>
      <c r="H348" s="46">
        <f>IF(_calc!$E$350="","",IF(_calc!$E$350&lt;=500,IF(LEN(INDEX('Our policies'!$G$4:$G$503,_calc!$E$350))=0,"",INDEX('Our policies'!$G$4:$G$503,_calc!$E$350)),""))</f>
        <v/>
      </c>
      <c r="I348" s="46">
        <f>IF(_calc!$E$350="","",IF(_calc!$E$350&lt;=500,IF(LEN(INDEX('Our policies'!$H$4:$H$503,_calc!$E$350))=0,"",INDEX('Our policies'!$H$4:$H$503,_calc!$E$350)),""))</f>
        <v/>
      </c>
      <c r="K348" s="46">
        <f>IF(_calc!$E$350="","",IF(_calc!$E$350&lt;=500,IF(LEN(INDEX('Our policies'!$P$4:$P$503,_calc!$E$350))=0,"",INDEX('Our policies'!$P$4:$P$503,_calc!$E$350)),IF(LEN(INDEX('Vendor COIs'!$N$4:$N$503,(_calc!$E$350-500)))=0,"",INDEX('Vendor COIs'!$N$4:$N$503,(_calc!$E$350-500)))))</f>
        <v/>
      </c>
    </row>
    <row r="349">
      <c r="A349" s="46">
        <f>IF(_calc!$E$351="","",IF(_calc!$E$351&lt;=500,IF(LEN(INDEX('Our policies'!$A$4:$A$503,_calc!$E$351))=0,"",INDEX('Our policies'!$A$4:$A$503,_calc!$E$351)),"COI – "&amp;IF(LEN(INDEX('Vendor COIs'!$A$4:$A$503,(_calc!$E$351-500)))=0,"",INDEX('Vendor COIs'!$A$4:$A$503,(_calc!$E$351-500)))&amp;" – "&amp;IF(LEN(INDEX('Vendor COIs'!$B$4:$B$503,(_calc!$E$351-500)))=0,"",INDEX('Vendor COIs'!$B$4:$B$503,(_calc!$E$351-500)))))</f>
        <v/>
      </c>
      <c r="B349" s="46">
        <f>IF(_calc!$E$351="","",IF(_calc!$E$351&lt;=500,IF(ISNUMBER(INDEX('Our policies'!$J$4:$J$503,_calc!$E$351)),TEXT(INDEX('Our policies'!$J$4:$J$503,_calc!$E$351),"yyyy-mm-dd"),""),IF(ISNUMBER(INDEX('Vendor COIs'!$H$4:$H$503,(_calc!$E$351-500))),TEXT(INDEX('Vendor COIs'!$H$4:$H$503,(_calc!$E$351-500)),"yyyy-mm-dd"),"")))</f>
        <v/>
      </c>
      <c r="C349" s="46">
        <f>IF(_calc!$E$351="","",IF(_calc!$E$351&lt;=500,"Insurance","Certificate of insurance"))</f>
        <v/>
      </c>
      <c r="D349" s="46">
        <f>IF(_calc!$E$351="","",IF(_calc!$E$351&lt;=500,IF(ISNUMBER(INDEX('Our policies'!$I$4:$I$503,_calc!$E$351)),TEXT(INDEX('Our policies'!$I$4:$I$503,_calc!$E$351),"yyyy-mm-dd"),""),""))</f>
        <v/>
      </c>
      <c r="E349" s="46">
        <f>IF(_calc!$E$351="","",IF(_calc!$E$351&lt;=500,IF(LEN(INDEX('Our policies'!$Q$4:$Q$503,_calc!$E$351))=0,"",INDEX('Our policies'!$Q$4:$Q$503,_calc!$E$351)),"Medium"))</f>
        <v/>
      </c>
      <c r="F349" s="46">
        <f>IF(_calc!$E$351="","",IF(_calc!$E$351&lt;=500,TRIM(IF(LEN(IF(LEN(INDEX('Our policies'!$B$4:$B$503,_calc!$E$351))=0,"",INDEX('Our policies'!$B$4:$B$503,_calc!$E$351)))=0,"","Cover: "&amp;IF(LEN(INDEX('Our policies'!$B$4:$B$503,_calc!$E$351))=0,"",INDEX('Our policies'!$B$4:$B$503,_calc!$E$351))&amp;". ")&amp;IF(LEN(IF(LEN(INDEX('Our policies'!$C$4:$C$503,_calc!$E$351))=0,"",INDEX('Our policies'!$C$4:$C$503,_calc!$E$351)))=0,"","Insurer: "&amp;IF(LEN(INDEX('Our policies'!$C$4:$C$503,_calc!$E$351))=0,"",INDEX('Our policies'!$C$4:$C$503,_calc!$E$351))&amp;". ")&amp;IF(LEN(IF(LEN(INDEX('Our policies'!$D$4:$D$503,_calc!$E$351))=0,"",INDEX('Our policies'!$D$4:$D$503,_calc!$E$351)))=0,"","Broker: "&amp;IF(LEN(INDEX('Our policies'!$D$4:$D$503,_calc!$E$351))=0,"",INDEX('Our policies'!$D$4:$D$503,_calc!$E$351))&amp;". ")&amp;IF(LEN(IF(LEN(INDEX('Our policies'!$E$4:$E$503,_calc!$E$351))=0,"",INDEX('Our policies'!$E$4:$E$503,_calc!$E$351)))=0,"","Policy no.: "&amp;IF(LEN(INDEX('Our policies'!$E$4:$E$503,_calc!$E$351))=0,"",INDEX('Our policies'!$E$4:$E$503,_calc!$E$351))&amp;". ")&amp;IF(LEN(IF(LEN(INDEX('Our policies'!$S$4:$S$503,_calc!$E$351))=0,"",INDEX('Our policies'!$S$4:$S$503,_calc!$E$351)))=0,"",IF(LEN(INDEX('Our policies'!$S$4:$S$503,_calc!$E$351))=0,"",INDEX('Our policies'!$S$4:$S$503,_calc!$E$351)))),TRIM(IF(LEN(IF(LEN(INDEX('Vendor COIs'!$C$4:$C$503,(_calc!$E$351-500)))=0,"",INDEX('Vendor COIs'!$C$4:$C$503,(_calc!$E$351-500))))=0,"","Insurer: "&amp;IF(LEN(INDEX('Vendor COIs'!$C$4:$C$503,(_calc!$E$351-500)))=0,"",INDEX('Vendor COIs'!$C$4:$C$503,(_calc!$E$351-500)))&amp;". ")&amp;IF(LEN(IF(LEN(INDEX('Vendor COIs'!$D$4:$D$503,(_calc!$E$351-500)))=0,"",INDEX('Vendor COIs'!$D$4:$D$503,(_calc!$E$351-500))))=0,"","Policy no.: "&amp;IF(LEN(INDEX('Vendor COIs'!$D$4:$D$503,(_calc!$E$351-500)))=0,"",INDEX('Vendor COIs'!$D$4:$D$503,(_calc!$E$351-500)))&amp;". ")&amp;IF(LEN(IF(LEN(INDEX('Vendor COIs'!$F$4:$F$503,(_calc!$E$351-500)))=0,"",INDEX('Vendor COIs'!$F$4:$F$503,(_calc!$E$351-500))))=0,"","Meets minimum: "&amp;IF(LEN(INDEX('Vendor COIs'!$F$4:$F$503,(_calc!$E$351-500)))=0,"",INDEX('Vendor COIs'!$F$4:$F$503,(_calc!$E$351-500)))&amp;". ")&amp;IF(LEN(IF(LEN(INDEX('Vendor COIs'!$G$4:$G$503,(_calc!$E$351-500)))=0,"",INDEX('Vendor COIs'!$G$4:$G$503,(_calc!$E$351-500))))=0,"","Additional insured: "&amp;IF(LEN(INDEX('Vendor COIs'!$G$4:$G$503,(_calc!$E$351-500)))=0,"",INDEX('Vendor COIs'!$G$4:$G$503,(_calc!$E$351-500)))&amp;". ")&amp;IF(LEN(IF(LEN(INDEX('Vendor COIs'!$M$4:$M$503,(_calc!$E$351-500)))=0,"",INDEX('Vendor COIs'!$M$4:$M$503,(_calc!$E$351-500))))=0,"","Vendor contact: "&amp;IF(LEN(INDEX('Vendor COIs'!$M$4:$M$503,(_calc!$E$351-500)))=0,"",INDEX('Vendor COIs'!$M$4:$M$503,(_calc!$E$351-500)))&amp;". ")&amp;IF(LEN(IF(LEN(INDEX('Vendor COIs'!$P$4:$P$503,(_calc!$E$351-500)))=0,"",INDEX('Vendor COIs'!$P$4:$P$503,(_calc!$E$351-500))))=0,"",IF(LEN(INDEX('Vendor COIs'!$P$4:$P$503,(_calc!$E$351-500)))=0,"",INDEX('Vendor COIs'!$P$4:$P$503,(_calc!$E$351-500)))))))</f>
        <v/>
      </c>
      <c r="G349" s="46">
        <f>IF(_calc!$E$351="","",IF(_calc!$E$351&lt;=500,IF(LEN(INDEX('Our policies'!$R$4:$R$503,_calc!$E$351))=0,"",INDEX('Our policies'!$R$4:$R$503,_calc!$E$351)),IF(LEN(INDEX('Vendor COIs'!$O$4:$O$503,(_calc!$E$351-500)))=0,"",INDEX('Vendor COIs'!$O$4:$O$503,(_calc!$E$351-500)))))</f>
        <v/>
      </c>
      <c r="H349" s="46">
        <f>IF(_calc!$E$351="","",IF(_calc!$E$351&lt;=500,IF(LEN(INDEX('Our policies'!$G$4:$G$503,_calc!$E$351))=0,"",INDEX('Our policies'!$G$4:$G$503,_calc!$E$351)),""))</f>
        <v/>
      </c>
      <c r="I349" s="46">
        <f>IF(_calc!$E$351="","",IF(_calc!$E$351&lt;=500,IF(LEN(INDEX('Our policies'!$H$4:$H$503,_calc!$E$351))=0,"",INDEX('Our policies'!$H$4:$H$503,_calc!$E$351)),""))</f>
        <v/>
      </c>
      <c r="K349" s="46">
        <f>IF(_calc!$E$351="","",IF(_calc!$E$351&lt;=500,IF(LEN(INDEX('Our policies'!$P$4:$P$503,_calc!$E$351))=0,"",INDEX('Our policies'!$P$4:$P$503,_calc!$E$351)),IF(LEN(INDEX('Vendor COIs'!$N$4:$N$503,(_calc!$E$351-500)))=0,"",INDEX('Vendor COIs'!$N$4:$N$503,(_calc!$E$351-500)))))</f>
        <v/>
      </c>
    </row>
    <row r="350">
      <c r="A350" s="46">
        <f>IF(_calc!$E$352="","",IF(_calc!$E$352&lt;=500,IF(LEN(INDEX('Our policies'!$A$4:$A$503,_calc!$E$352))=0,"",INDEX('Our policies'!$A$4:$A$503,_calc!$E$352)),"COI – "&amp;IF(LEN(INDEX('Vendor COIs'!$A$4:$A$503,(_calc!$E$352-500)))=0,"",INDEX('Vendor COIs'!$A$4:$A$503,(_calc!$E$352-500)))&amp;" – "&amp;IF(LEN(INDEX('Vendor COIs'!$B$4:$B$503,(_calc!$E$352-500)))=0,"",INDEX('Vendor COIs'!$B$4:$B$503,(_calc!$E$352-500)))))</f>
        <v/>
      </c>
      <c r="B350" s="46">
        <f>IF(_calc!$E$352="","",IF(_calc!$E$352&lt;=500,IF(ISNUMBER(INDEX('Our policies'!$J$4:$J$503,_calc!$E$352)),TEXT(INDEX('Our policies'!$J$4:$J$503,_calc!$E$352),"yyyy-mm-dd"),""),IF(ISNUMBER(INDEX('Vendor COIs'!$H$4:$H$503,(_calc!$E$352-500))),TEXT(INDEX('Vendor COIs'!$H$4:$H$503,(_calc!$E$352-500)),"yyyy-mm-dd"),"")))</f>
        <v/>
      </c>
      <c r="C350" s="46">
        <f>IF(_calc!$E$352="","",IF(_calc!$E$352&lt;=500,"Insurance","Certificate of insurance"))</f>
        <v/>
      </c>
      <c r="D350" s="46">
        <f>IF(_calc!$E$352="","",IF(_calc!$E$352&lt;=500,IF(ISNUMBER(INDEX('Our policies'!$I$4:$I$503,_calc!$E$352)),TEXT(INDEX('Our policies'!$I$4:$I$503,_calc!$E$352),"yyyy-mm-dd"),""),""))</f>
        <v/>
      </c>
      <c r="E350" s="46">
        <f>IF(_calc!$E$352="","",IF(_calc!$E$352&lt;=500,IF(LEN(INDEX('Our policies'!$Q$4:$Q$503,_calc!$E$352))=0,"",INDEX('Our policies'!$Q$4:$Q$503,_calc!$E$352)),"Medium"))</f>
        <v/>
      </c>
      <c r="F350" s="46">
        <f>IF(_calc!$E$352="","",IF(_calc!$E$352&lt;=500,TRIM(IF(LEN(IF(LEN(INDEX('Our policies'!$B$4:$B$503,_calc!$E$352))=0,"",INDEX('Our policies'!$B$4:$B$503,_calc!$E$352)))=0,"","Cover: "&amp;IF(LEN(INDEX('Our policies'!$B$4:$B$503,_calc!$E$352))=0,"",INDEX('Our policies'!$B$4:$B$503,_calc!$E$352))&amp;". ")&amp;IF(LEN(IF(LEN(INDEX('Our policies'!$C$4:$C$503,_calc!$E$352))=0,"",INDEX('Our policies'!$C$4:$C$503,_calc!$E$352)))=0,"","Insurer: "&amp;IF(LEN(INDEX('Our policies'!$C$4:$C$503,_calc!$E$352))=0,"",INDEX('Our policies'!$C$4:$C$503,_calc!$E$352))&amp;". ")&amp;IF(LEN(IF(LEN(INDEX('Our policies'!$D$4:$D$503,_calc!$E$352))=0,"",INDEX('Our policies'!$D$4:$D$503,_calc!$E$352)))=0,"","Broker: "&amp;IF(LEN(INDEX('Our policies'!$D$4:$D$503,_calc!$E$352))=0,"",INDEX('Our policies'!$D$4:$D$503,_calc!$E$352))&amp;". ")&amp;IF(LEN(IF(LEN(INDEX('Our policies'!$E$4:$E$503,_calc!$E$352))=0,"",INDEX('Our policies'!$E$4:$E$503,_calc!$E$352)))=0,"","Policy no.: "&amp;IF(LEN(INDEX('Our policies'!$E$4:$E$503,_calc!$E$352))=0,"",INDEX('Our policies'!$E$4:$E$503,_calc!$E$352))&amp;". ")&amp;IF(LEN(IF(LEN(INDEX('Our policies'!$S$4:$S$503,_calc!$E$352))=0,"",INDEX('Our policies'!$S$4:$S$503,_calc!$E$352)))=0,"",IF(LEN(INDEX('Our policies'!$S$4:$S$503,_calc!$E$352))=0,"",INDEX('Our policies'!$S$4:$S$503,_calc!$E$352)))),TRIM(IF(LEN(IF(LEN(INDEX('Vendor COIs'!$C$4:$C$503,(_calc!$E$352-500)))=0,"",INDEX('Vendor COIs'!$C$4:$C$503,(_calc!$E$352-500))))=0,"","Insurer: "&amp;IF(LEN(INDEX('Vendor COIs'!$C$4:$C$503,(_calc!$E$352-500)))=0,"",INDEX('Vendor COIs'!$C$4:$C$503,(_calc!$E$352-500)))&amp;". ")&amp;IF(LEN(IF(LEN(INDEX('Vendor COIs'!$D$4:$D$503,(_calc!$E$352-500)))=0,"",INDEX('Vendor COIs'!$D$4:$D$503,(_calc!$E$352-500))))=0,"","Policy no.: "&amp;IF(LEN(INDEX('Vendor COIs'!$D$4:$D$503,(_calc!$E$352-500)))=0,"",INDEX('Vendor COIs'!$D$4:$D$503,(_calc!$E$352-500)))&amp;". ")&amp;IF(LEN(IF(LEN(INDEX('Vendor COIs'!$F$4:$F$503,(_calc!$E$352-500)))=0,"",INDEX('Vendor COIs'!$F$4:$F$503,(_calc!$E$352-500))))=0,"","Meets minimum: "&amp;IF(LEN(INDEX('Vendor COIs'!$F$4:$F$503,(_calc!$E$352-500)))=0,"",INDEX('Vendor COIs'!$F$4:$F$503,(_calc!$E$352-500)))&amp;". ")&amp;IF(LEN(IF(LEN(INDEX('Vendor COIs'!$G$4:$G$503,(_calc!$E$352-500)))=0,"",INDEX('Vendor COIs'!$G$4:$G$503,(_calc!$E$352-500))))=0,"","Additional insured: "&amp;IF(LEN(INDEX('Vendor COIs'!$G$4:$G$503,(_calc!$E$352-500)))=0,"",INDEX('Vendor COIs'!$G$4:$G$503,(_calc!$E$352-500)))&amp;". ")&amp;IF(LEN(IF(LEN(INDEX('Vendor COIs'!$M$4:$M$503,(_calc!$E$352-500)))=0,"",INDEX('Vendor COIs'!$M$4:$M$503,(_calc!$E$352-500))))=0,"","Vendor contact: "&amp;IF(LEN(INDEX('Vendor COIs'!$M$4:$M$503,(_calc!$E$352-500)))=0,"",INDEX('Vendor COIs'!$M$4:$M$503,(_calc!$E$352-500)))&amp;". ")&amp;IF(LEN(IF(LEN(INDEX('Vendor COIs'!$P$4:$P$503,(_calc!$E$352-500)))=0,"",INDEX('Vendor COIs'!$P$4:$P$503,(_calc!$E$352-500))))=0,"",IF(LEN(INDEX('Vendor COIs'!$P$4:$P$503,(_calc!$E$352-500)))=0,"",INDEX('Vendor COIs'!$P$4:$P$503,(_calc!$E$352-500)))))))</f>
        <v/>
      </c>
      <c r="G350" s="46">
        <f>IF(_calc!$E$352="","",IF(_calc!$E$352&lt;=500,IF(LEN(INDEX('Our policies'!$R$4:$R$503,_calc!$E$352))=0,"",INDEX('Our policies'!$R$4:$R$503,_calc!$E$352)),IF(LEN(INDEX('Vendor COIs'!$O$4:$O$503,(_calc!$E$352-500)))=0,"",INDEX('Vendor COIs'!$O$4:$O$503,(_calc!$E$352-500)))))</f>
        <v/>
      </c>
      <c r="H350" s="46">
        <f>IF(_calc!$E$352="","",IF(_calc!$E$352&lt;=500,IF(LEN(INDEX('Our policies'!$G$4:$G$503,_calc!$E$352))=0,"",INDEX('Our policies'!$G$4:$G$503,_calc!$E$352)),""))</f>
        <v/>
      </c>
      <c r="I350" s="46">
        <f>IF(_calc!$E$352="","",IF(_calc!$E$352&lt;=500,IF(LEN(INDEX('Our policies'!$H$4:$H$503,_calc!$E$352))=0,"",INDEX('Our policies'!$H$4:$H$503,_calc!$E$352)),""))</f>
        <v/>
      </c>
      <c r="K350" s="46">
        <f>IF(_calc!$E$352="","",IF(_calc!$E$352&lt;=500,IF(LEN(INDEX('Our policies'!$P$4:$P$503,_calc!$E$352))=0,"",INDEX('Our policies'!$P$4:$P$503,_calc!$E$352)),IF(LEN(INDEX('Vendor COIs'!$N$4:$N$503,(_calc!$E$352-500)))=0,"",INDEX('Vendor COIs'!$N$4:$N$503,(_calc!$E$352-500)))))</f>
        <v/>
      </c>
    </row>
    <row r="351">
      <c r="A351" s="46">
        <f>IF(_calc!$E$353="","",IF(_calc!$E$353&lt;=500,IF(LEN(INDEX('Our policies'!$A$4:$A$503,_calc!$E$353))=0,"",INDEX('Our policies'!$A$4:$A$503,_calc!$E$353)),"COI – "&amp;IF(LEN(INDEX('Vendor COIs'!$A$4:$A$503,(_calc!$E$353-500)))=0,"",INDEX('Vendor COIs'!$A$4:$A$503,(_calc!$E$353-500)))&amp;" – "&amp;IF(LEN(INDEX('Vendor COIs'!$B$4:$B$503,(_calc!$E$353-500)))=0,"",INDEX('Vendor COIs'!$B$4:$B$503,(_calc!$E$353-500)))))</f>
        <v/>
      </c>
      <c r="B351" s="46">
        <f>IF(_calc!$E$353="","",IF(_calc!$E$353&lt;=500,IF(ISNUMBER(INDEX('Our policies'!$J$4:$J$503,_calc!$E$353)),TEXT(INDEX('Our policies'!$J$4:$J$503,_calc!$E$353),"yyyy-mm-dd"),""),IF(ISNUMBER(INDEX('Vendor COIs'!$H$4:$H$503,(_calc!$E$353-500))),TEXT(INDEX('Vendor COIs'!$H$4:$H$503,(_calc!$E$353-500)),"yyyy-mm-dd"),"")))</f>
        <v/>
      </c>
      <c r="C351" s="46">
        <f>IF(_calc!$E$353="","",IF(_calc!$E$353&lt;=500,"Insurance","Certificate of insurance"))</f>
        <v/>
      </c>
      <c r="D351" s="46">
        <f>IF(_calc!$E$353="","",IF(_calc!$E$353&lt;=500,IF(ISNUMBER(INDEX('Our policies'!$I$4:$I$503,_calc!$E$353)),TEXT(INDEX('Our policies'!$I$4:$I$503,_calc!$E$353),"yyyy-mm-dd"),""),""))</f>
        <v/>
      </c>
      <c r="E351" s="46">
        <f>IF(_calc!$E$353="","",IF(_calc!$E$353&lt;=500,IF(LEN(INDEX('Our policies'!$Q$4:$Q$503,_calc!$E$353))=0,"",INDEX('Our policies'!$Q$4:$Q$503,_calc!$E$353)),"Medium"))</f>
        <v/>
      </c>
      <c r="F351" s="46">
        <f>IF(_calc!$E$353="","",IF(_calc!$E$353&lt;=500,TRIM(IF(LEN(IF(LEN(INDEX('Our policies'!$B$4:$B$503,_calc!$E$353))=0,"",INDEX('Our policies'!$B$4:$B$503,_calc!$E$353)))=0,"","Cover: "&amp;IF(LEN(INDEX('Our policies'!$B$4:$B$503,_calc!$E$353))=0,"",INDEX('Our policies'!$B$4:$B$503,_calc!$E$353))&amp;". ")&amp;IF(LEN(IF(LEN(INDEX('Our policies'!$C$4:$C$503,_calc!$E$353))=0,"",INDEX('Our policies'!$C$4:$C$503,_calc!$E$353)))=0,"","Insurer: "&amp;IF(LEN(INDEX('Our policies'!$C$4:$C$503,_calc!$E$353))=0,"",INDEX('Our policies'!$C$4:$C$503,_calc!$E$353))&amp;". ")&amp;IF(LEN(IF(LEN(INDEX('Our policies'!$D$4:$D$503,_calc!$E$353))=0,"",INDEX('Our policies'!$D$4:$D$503,_calc!$E$353)))=0,"","Broker: "&amp;IF(LEN(INDEX('Our policies'!$D$4:$D$503,_calc!$E$353))=0,"",INDEX('Our policies'!$D$4:$D$503,_calc!$E$353))&amp;". ")&amp;IF(LEN(IF(LEN(INDEX('Our policies'!$E$4:$E$503,_calc!$E$353))=0,"",INDEX('Our policies'!$E$4:$E$503,_calc!$E$353)))=0,"","Policy no.: "&amp;IF(LEN(INDEX('Our policies'!$E$4:$E$503,_calc!$E$353))=0,"",INDEX('Our policies'!$E$4:$E$503,_calc!$E$353))&amp;". ")&amp;IF(LEN(IF(LEN(INDEX('Our policies'!$S$4:$S$503,_calc!$E$353))=0,"",INDEX('Our policies'!$S$4:$S$503,_calc!$E$353)))=0,"",IF(LEN(INDEX('Our policies'!$S$4:$S$503,_calc!$E$353))=0,"",INDEX('Our policies'!$S$4:$S$503,_calc!$E$353)))),TRIM(IF(LEN(IF(LEN(INDEX('Vendor COIs'!$C$4:$C$503,(_calc!$E$353-500)))=0,"",INDEX('Vendor COIs'!$C$4:$C$503,(_calc!$E$353-500))))=0,"","Insurer: "&amp;IF(LEN(INDEX('Vendor COIs'!$C$4:$C$503,(_calc!$E$353-500)))=0,"",INDEX('Vendor COIs'!$C$4:$C$503,(_calc!$E$353-500)))&amp;". ")&amp;IF(LEN(IF(LEN(INDEX('Vendor COIs'!$D$4:$D$503,(_calc!$E$353-500)))=0,"",INDEX('Vendor COIs'!$D$4:$D$503,(_calc!$E$353-500))))=0,"","Policy no.: "&amp;IF(LEN(INDEX('Vendor COIs'!$D$4:$D$503,(_calc!$E$353-500)))=0,"",INDEX('Vendor COIs'!$D$4:$D$503,(_calc!$E$353-500)))&amp;". ")&amp;IF(LEN(IF(LEN(INDEX('Vendor COIs'!$F$4:$F$503,(_calc!$E$353-500)))=0,"",INDEX('Vendor COIs'!$F$4:$F$503,(_calc!$E$353-500))))=0,"","Meets minimum: "&amp;IF(LEN(INDEX('Vendor COIs'!$F$4:$F$503,(_calc!$E$353-500)))=0,"",INDEX('Vendor COIs'!$F$4:$F$503,(_calc!$E$353-500)))&amp;". ")&amp;IF(LEN(IF(LEN(INDEX('Vendor COIs'!$G$4:$G$503,(_calc!$E$353-500)))=0,"",INDEX('Vendor COIs'!$G$4:$G$503,(_calc!$E$353-500))))=0,"","Additional insured: "&amp;IF(LEN(INDEX('Vendor COIs'!$G$4:$G$503,(_calc!$E$353-500)))=0,"",INDEX('Vendor COIs'!$G$4:$G$503,(_calc!$E$353-500)))&amp;". ")&amp;IF(LEN(IF(LEN(INDEX('Vendor COIs'!$M$4:$M$503,(_calc!$E$353-500)))=0,"",INDEX('Vendor COIs'!$M$4:$M$503,(_calc!$E$353-500))))=0,"","Vendor contact: "&amp;IF(LEN(INDEX('Vendor COIs'!$M$4:$M$503,(_calc!$E$353-500)))=0,"",INDEX('Vendor COIs'!$M$4:$M$503,(_calc!$E$353-500)))&amp;". ")&amp;IF(LEN(IF(LEN(INDEX('Vendor COIs'!$P$4:$P$503,(_calc!$E$353-500)))=0,"",INDEX('Vendor COIs'!$P$4:$P$503,(_calc!$E$353-500))))=0,"",IF(LEN(INDEX('Vendor COIs'!$P$4:$P$503,(_calc!$E$353-500)))=0,"",INDEX('Vendor COIs'!$P$4:$P$503,(_calc!$E$353-500)))))))</f>
        <v/>
      </c>
      <c r="G351" s="46">
        <f>IF(_calc!$E$353="","",IF(_calc!$E$353&lt;=500,IF(LEN(INDEX('Our policies'!$R$4:$R$503,_calc!$E$353))=0,"",INDEX('Our policies'!$R$4:$R$503,_calc!$E$353)),IF(LEN(INDEX('Vendor COIs'!$O$4:$O$503,(_calc!$E$353-500)))=0,"",INDEX('Vendor COIs'!$O$4:$O$503,(_calc!$E$353-500)))))</f>
        <v/>
      </c>
      <c r="H351" s="46">
        <f>IF(_calc!$E$353="","",IF(_calc!$E$353&lt;=500,IF(LEN(INDEX('Our policies'!$G$4:$G$503,_calc!$E$353))=0,"",INDEX('Our policies'!$G$4:$G$503,_calc!$E$353)),""))</f>
        <v/>
      </c>
      <c r="I351" s="46">
        <f>IF(_calc!$E$353="","",IF(_calc!$E$353&lt;=500,IF(LEN(INDEX('Our policies'!$H$4:$H$503,_calc!$E$353))=0,"",INDEX('Our policies'!$H$4:$H$503,_calc!$E$353)),""))</f>
        <v/>
      </c>
      <c r="K351" s="46">
        <f>IF(_calc!$E$353="","",IF(_calc!$E$353&lt;=500,IF(LEN(INDEX('Our policies'!$P$4:$P$503,_calc!$E$353))=0,"",INDEX('Our policies'!$P$4:$P$503,_calc!$E$353)),IF(LEN(INDEX('Vendor COIs'!$N$4:$N$503,(_calc!$E$353-500)))=0,"",INDEX('Vendor COIs'!$N$4:$N$503,(_calc!$E$353-500)))))</f>
        <v/>
      </c>
    </row>
    <row r="352">
      <c r="A352" s="46">
        <f>IF(_calc!$E$354="","",IF(_calc!$E$354&lt;=500,IF(LEN(INDEX('Our policies'!$A$4:$A$503,_calc!$E$354))=0,"",INDEX('Our policies'!$A$4:$A$503,_calc!$E$354)),"COI – "&amp;IF(LEN(INDEX('Vendor COIs'!$A$4:$A$503,(_calc!$E$354-500)))=0,"",INDEX('Vendor COIs'!$A$4:$A$503,(_calc!$E$354-500)))&amp;" – "&amp;IF(LEN(INDEX('Vendor COIs'!$B$4:$B$503,(_calc!$E$354-500)))=0,"",INDEX('Vendor COIs'!$B$4:$B$503,(_calc!$E$354-500)))))</f>
        <v/>
      </c>
      <c r="B352" s="46">
        <f>IF(_calc!$E$354="","",IF(_calc!$E$354&lt;=500,IF(ISNUMBER(INDEX('Our policies'!$J$4:$J$503,_calc!$E$354)),TEXT(INDEX('Our policies'!$J$4:$J$503,_calc!$E$354),"yyyy-mm-dd"),""),IF(ISNUMBER(INDEX('Vendor COIs'!$H$4:$H$503,(_calc!$E$354-500))),TEXT(INDEX('Vendor COIs'!$H$4:$H$503,(_calc!$E$354-500)),"yyyy-mm-dd"),"")))</f>
        <v/>
      </c>
      <c r="C352" s="46">
        <f>IF(_calc!$E$354="","",IF(_calc!$E$354&lt;=500,"Insurance","Certificate of insurance"))</f>
        <v/>
      </c>
      <c r="D352" s="46">
        <f>IF(_calc!$E$354="","",IF(_calc!$E$354&lt;=500,IF(ISNUMBER(INDEX('Our policies'!$I$4:$I$503,_calc!$E$354)),TEXT(INDEX('Our policies'!$I$4:$I$503,_calc!$E$354),"yyyy-mm-dd"),""),""))</f>
        <v/>
      </c>
      <c r="E352" s="46">
        <f>IF(_calc!$E$354="","",IF(_calc!$E$354&lt;=500,IF(LEN(INDEX('Our policies'!$Q$4:$Q$503,_calc!$E$354))=0,"",INDEX('Our policies'!$Q$4:$Q$503,_calc!$E$354)),"Medium"))</f>
        <v/>
      </c>
      <c r="F352" s="46">
        <f>IF(_calc!$E$354="","",IF(_calc!$E$354&lt;=500,TRIM(IF(LEN(IF(LEN(INDEX('Our policies'!$B$4:$B$503,_calc!$E$354))=0,"",INDEX('Our policies'!$B$4:$B$503,_calc!$E$354)))=0,"","Cover: "&amp;IF(LEN(INDEX('Our policies'!$B$4:$B$503,_calc!$E$354))=0,"",INDEX('Our policies'!$B$4:$B$503,_calc!$E$354))&amp;". ")&amp;IF(LEN(IF(LEN(INDEX('Our policies'!$C$4:$C$503,_calc!$E$354))=0,"",INDEX('Our policies'!$C$4:$C$503,_calc!$E$354)))=0,"","Insurer: "&amp;IF(LEN(INDEX('Our policies'!$C$4:$C$503,_calc!$E$354))=0,"",INDEX('Our policies'!$C$4:$C$503,_calc!$E$354))&amp;". ")&amp;IF(LEN(IF(LEN(INDEX('Our policies'!$D$4:$D$503,_calc!$E$354))=0,"",INDEX('Our policies'!$D$4:$D$503,_calc!$E$354)))=0,"","Broker: "&amp;IF(LEN(INDEX('Our policies'!$D$4:$D$503,_calc!$E$354))=0,"",INDEX('Our policies'!$D$4:$D$503,_calc!$E$354))&amp;". ")&amp;IF(LEN(IF(LEN(INDEX('Our policies'!$E$4:$E$503,_calc!$E$354))=0,"",INDEX('Our policies'!$E$4:$E$503,_calc!$E$354)))=0,"","Policy no.: "&amp;IF(LEN(INDEX('Our policies'!$E$4:$E$503,_calc!$E$354))=0,"",INDEX('Our policies'!$E$4:$E$503,_calc!$E$354))&amp;". ")&amp;IF(LEN(IF(LEN(INDEX('Our policies'!$S$4:$S$503,_calc!$E$354))=0,"",INDEX('Our policies'!$S$4:$S$503,_calc!$E$354)))=0,"",IF(LEN(INDEX('Our policies'!$S$4:$S$503,_calc!$E$354))=0,"",INDEX('Our policies'!$S$4:$S$503,_calc!$E$354)))),TRIM(IF(LEN(IF(LEN(INDEX('Vendor COIs'!$C$4:$C$503,(_calc!$E$354-500)))=0,"",INDEX('Vendor COIs'!$C$4:$C$503,(_calc!$E$354-500))))=0,"","Insurer: "&amp;IF(LEN(INDEX('Vendor COIs'!$C$4:$C$503,(_calc!$E$354-500)))=0,"",INDEX('Vendor COIs'!$C$4:$C$503,(_calc!$E$354-500)))&amp;". ")&amp;IF(LEN(IF(LEN(INDEX('Vendor COIs'!$D$4:$D$503,(_calc!$E$354-500)))=0,"",INDEX('Vendor COIs'!$D$4:$D$503,(_calc!$E$354-500))))=0,"","Policy no.: "&amp;IF(LEN(INDEX('Vendor COIs'!$D$4:$D$503,(_calc!$E$354-500)))=0,"",INDEX('Vendor COIs'!$D$4:$D$503,(_calc!$E$354-500)))&amp;". ")&amp;IF(LEN(IF(LEN(INDEX('Vendor COIs'!$F$4:$F$503,(_calc!$E$354-500)))=0,"",INDEX('Vendor COIs'!$F$4:$F$503,(_calc!$E$354-500))))=0,"","Meets minimum: "&amp;IF(LEN(INDEX('Vendor COIs'!$F$4:$F$503,(_calc!$E$354-500)))=0,"",INDEX('Vendor COIs'!$F$4:$F$503,(_calc!$E$354-500)))&amp;". ")&amp;IF(LEN(IF(LEN(INDEX('Vendor COIs'!$G$4:$G$503,(_calc!$E$354-500)))=0,"",INDEX('Vendor COIs'!$G$4:$G$503,(_calc!$E$354-500))))=0,"","Additional insured: "&amp;IF(LEN(INDEX('Vendor COIs'!$G$4:$G$503,(_calc!$E$354-500)))=0,"",INDEX('Vendor COIs'!$G$4:$G$503,(_calc!$E$354-500)))&amp;". ")&amp;IF(LEN(IF(LEN(INDEX('Vendor COIs'!$M$4:$M$503,(_calc!$E$354-500)))=0,"",INDEX('Vendor COIs'!$M$4:$M$503,(_calc!$E$354-500))))=0,"","Vendor contact: "&amp;IF(LEN(INDEX('Vendor COIs'!$M$4:$M$503,(_calc!$E$354-500)))=0,"",INDEX('Vendor COIs'!$M$4:$M$503,(_calc!$E$354-500)))&amp;". ")&amp;IF(LEN(IF(LEN(INDEX('Vendor COIs'!$P$4:$P$503,(_calc!$E$354-500)))=0,"",INDEX('Vendor COIs'!$P$4:$P$503,(_calc!$E$354-500))))=0,"",IF(LEN(INDEX('Vendor COIs'!$P$4:$P$503,(_calc!$E$354-500)))=0,"",INDEX('Vendor COIs'!$P$4:$P$503,(_calc!$E$354-500)))))))</f>
        <v/>
      </c>
      <c r="G352" s="46">
        <f>IF(_calc!$E$354="","",IF(_calc!$E$354&lt;=500,IF(LEN(INDEX('Our policies'!$R$4:$R$503,_calc!$E$354))=0,"",INDEX('Our policies'!$R$4:$R$503,_calc!$E$354)),IF(LEN(INDEX('Vendor COIs'!$O$4:$O$503,(_calc!$E$354-500)))=0,"",INDEX('Vendor COIs'!$O$4:$O$503,(_calc!$E$354-500)))))</f>
        <v/>
      </c>
      <c r="H352" s="46">
        <f>IF(_calc!$E$354="","",IF(_calc!$E$354&lt;=500,IF(LEN(INDEX('Our policies'!$G$4:$G$503,_calc!$E$354))=0,"",INDEX('Our policies'!$G$4:$G$503,_calc!$E$354)),""))</f>
        <v/>
      </c>
      <c r="I352" s="46">
        <f>IF(_calc!$E$354="","",IF(_calc!$E$354&lt;=500,IF(LEN(INDEX('Our policies'!$H$4:$H$503,_calc!$E$354))=0,"",INDEX('Our policies'!$H$4:$H$503,_calc!$E$354)),""))</f>
        <v/>
      </c>
      <c r="K352" s="46">
        <f>IF(_calc!$E$354="","",IF(_calc!$E$354&lt;=500,IF(LEN(INDEX('Our policies'!$P$4:$P$503,_calc!$E$354))=0,"",INDEX('Our policies'!$P$4:$P$503,_calc!$E$354)),IF(LEN(INDEX('Vendor COIs'!$N$4:$N$503,(_calc!$E$354-500)))=0,"",INDEX('Vendor COIs'!$N$4:$N$503,(_calc!$E$354-500)))))</f>
        <v/>
      </c>
    </row>
    <row r="353">
      <c r="A353" s="46">
        <f>IF(_calc!$E$355="","",IF(_calc!$E$355&lt;=500,IF(LEN(INDEX('Our policies'!$A$4:$A$503,_calc!$E$355))=0,"",INDEX('Our policies'!$A$4:$A$503,_calc!$E$355)),"COI – "&amp;IF(LEN(INDEX('Vendor COIs'!$A$4:$A$503,(_calc!$E$355-500)))=0,"",INDEX('Vendor COIs'!$A$4:$A$503,(_calc!$E$355-500)))&amp;" – "&amp;IF(LEN(INDEX('Vendor COIs'!$B$4:$B$503,(_calc!$E$355-500)))=0,"",INDEX('Vendor COIs'!$B$4:$B$503,(_calc!$E$355-500)))))</f>
        <v/>
      </c>
      <c r="B353" s="46">
        <f>IF(_calc!$E$355="","",IF(_calc!$E$355&lt;=500,IF(ISNUMBER(INDEX('Our policies'!$J$4:$J$503,_calc!$E$355)),TEXT(INDEX('Our policies'!$J$4:$J$503,_calc!$E$355),"yyyy-mm-dd"),""),IF(ISNUMBER(INDEX('Vendor COIs'!$H$4:$H$503,(_calc!$E$355-500))),TEXT(INDEX('Vendor COIs'!$H$4:$H$503,(_calc!$E$355-500)),"yyyy-mm-dd"),"")))</f>
        <v/>
      </c>
      <c r="C353" s="46">
        <f>IF(_calc!$E$355="","",IF(_calc!$E$355&lt;=500,"Insurance","Certificate of insurance"))</f>
        <v/>
      </c>
      <c r="D353" s="46">
        <f>IF(_calc!$E$355="","",IF(_calc!$E$355&lt;=500,IF(ISNUMBER(INDEX('Our policies'!$I$4:$I$503,_calc!$E$355)),TEXT(INDEX('Our policies'!$I$4:$I$503,_calc!$E$355),"yyyy-mm-dd"),""),""))</f>
        <v/>
      </c>
      <c r="E353" s="46">
        <f>IF(_calc!$E$355="","",IF(_calc!$E$355&lt;=500,IF(LEN(INDEX('Our policies'!$Q$4:$Q$503,_calc!$E$355))=0,"",INDEX('Our policies'!$Q$4:$Q$503,_calc!$E$355)),"Medium"))</f>
        <v/>
      </c>
      <c r="F353" s="46">
        <f>IF(_calc!$E$355="","",IF(_calc!$E$355&lt;=500,TRIM(IF(LEN(IF(LEN(INDEX('Our policies'!$B$4:$B$503,_calc!$E$355))=0,"",INDEX('Our policies'!$B$4:$B$503,_calc!$E$355)))=0,"","Cover: "&amp;IF(LEN(INDEX('Our policies'!$B$4:$B$503,_calc!$E$355))=0,"",INDEX('Our policies'!$B$4:$B$503,_calc!$E$355))&amp;". ")&amp;IF(LEN(IF(LEN(INDEX('Our policies'!$C$4:$C$503,_calc!$E$355))=0,"",INDEX('Our policies'!$C$4:$C$503,_calc!$E$355)))=0,"","Insurer: "&amp;IF(LEN(INDEX('Our policies'!$C$4:$C$503,_calc!$E$355))=0,"",INDEX('Our policies'!$C$4:$C$503,_calc!$E$355))&amp;". ")&amp;IF(LEN(IF(LEN(INDEX('Our policies'!$D$4:$D$503,_calc!$E$355))=0,"",INDEX('Our policies'!$D$4:$D$503,_calc!$E$355)))=0,"","Broker: "&amp;IF(LEN(INDEX('Our policies'!$D$4:$D$503,_calc!$E$355))=0,"",INDEX('Our policies'!$D$4:$D$503,_calc!$E$355))&amp;". ")&amp;IF(LEN(IF(LEN(INDEX('Our policies'!$E$4:$E$503,_calc!$E$355))=0,"",INDEX('Our policies'!$E$4:$E$503,_calc!$E$355)))=0,"","Policy no.: "&amp;IF(LEN(INDEX('Our policies'!$E$4:$E$503,_calc!$E$355))=0,"",INDEX('Our policies'!$E$4:$E$503,_calc!$E$355))&amp;". ")&amp;IF(LEN(IF(LEN(INDEX('Our policies'!$S$4:$S$503,_calc!$E$355))=0,"",INDEX('Our policies'!$S$4:$S$503,_calc!$E$355)))=0,"",IF(LEN(INDEX('Our policies'!$S$4:$S$503,_calc!$E$355))=0,"",INDEX('Our policies'!$S$4:$S$503,_calc!$E$355)))),TRIM(IF(LEN(IF(LEN(INDEX('Vendor COIs'!$C$4:$C$503,(_calc!$E$355-500)))=0,"",INDEX('Vendor COIs'!$C$4:$C$503,(_calc!$E$355-500))))=0,"","Insurer: "&amp;IF(LEN(INDEX('Vendor COIs'!$C$4:$C$503,(_calc!$E$355-500)))=0,"",INDEX('Vendor COIs'!$C$4:$C$503,(_calc!$E$355-500)))&amp;". ")&amp;IF(LEN(IF(LEN(INDEX('Vendor COIs'!$D$4:$D$503,(_calc!$E$355-500)))=0,"",INDEX('Vendor COIs'!$D$4:$D$503,(_calc!$E$355-500))))=0,"","Policy no.: "&amp;IF(LEN(INDEX('Vendor COIs'!$D$4:$D$503,(_calc!$E$355-500)))=0,"",INDEX('Vendor COIs'!$D$4:$D$503,(_calc!$E$355-500)))&amp;". ")&amp;IF(LEN(IF(LEN(INDEX('Vendor COIs'!$F$4:$F$503,(_calc!$E$355-500)))=0,"",INDEX('Vendor COIs'!$F$4:$F$503,(_calc!$E$355-500))))=0,"","Meets minimum: "&amp;IF(LEN(INDEX('Vendor COIs'!$F$4:$F$503,(_calc!$E$355-500)))=0,"",INDEX('Vendor COIs'!$F$4:$F$503,(_calc!$E$355-500)))&amp;". ")&amp;IF(LEN(IF(LEN(INDEX('Vendor COIs'!$G$4:$G$503,(_calc!$E$355-500)))=0,"",INDEX('Vendor COIs'!$G$4:$G$503,(_calc!$E$355-500))))=0,"","Additional insured: "&amp;IF(LEN(INDEX('Vendor COIs'!$G$4:$G$503,(_calc!$E$355-500)))=0,"",INDEX('Vendor COIs'!$G$4:$G$503,(_calc!$E$355-500)))&amp;". ")&amp;IF(LEN(IF(LEN(INDEX('Vendor COIs'!$M$4:$M$503,(_calc!$E$355-500)))=0,"",INDEX('Vendor COIs'!$M$4:$M$503,(_calc!$E$355-500))))=0,"","Vendor contact: "&amp;IF(LEN(INDEX('Vendor COIs'!$M$4:$M$503,(_calc!$E$355-500)))=0,"",INDEX('Vendor COIs'!$M$4:$M$503,(_calc!$E$355-500)))&amp;". ")&amp;IF(LEN(IF(LEN(INDEX('Vendor COIs'!$P$4:$P$503,(_calc!$E$355-500)))=0,"",INDEX('Vendor COIs'!$P$4:$P$503,(_calc!$E$355-500))))=0,"",IF(LEN(INDEX('Vendor COIs'!$P$4:$P$503,(_calc!$E$355-500)))=0,"",INDEX('Vendor COIs'!$P$4:$P$503,(_calc!$E$355-500)))))))</f>
        <v/>
      </c>
      <c r="G353" s="46">
        <f>IF(_calc!$E$355="","",IF(_calc!$E$355&lt;=500,IF(LEN(INDEX('Our policies'!$R$4:$R$503,_calc!$E$355))=0,"",INDEX('Our policies'!$R$4:$R$503,_calc!$E$355)),IF(LEN(INDEX('Vendor COIs'!$O$4:$O$503,(_calc!$E$355-500)))=0,"",INDEX('Vendor COIs'!$O$4:$O$503,(_calc!$E$355-500)))))</f>
        <v/>
      </c>
      <c r="H353" s="46">
        <f>IF(_calc!$E$355="","",IF(_calc!$E$355&lt;=500,IF(LEN(INDEX('Our policies'!$G$4:$G$503,_calc!$E$355))=0,"",INDEX('Our policies'!$G$4:$G$503,_calc!$E$355)),""))</f>
        <v/>
      </c>
      <c r="I353" s="46">
        <f>IF(_calc!$E$355="","",IF(_calc!$E$355&lt;=500,IF(LEN(INDEX('Our policies'!$H$4:$H$503,_calc!$E$355))=0,"",INDEX('Our policies'!$H$4:$H$503,_calc!$E$355)),""))</f>
        <v/>
      </c>
      <c r="K353" s="46">
        <f>IF(_calc!$E$355="","",IF(_calc!$E$355&lt;=500,IF(LEN(INDEX('Our policies'!$P$4:$P$503,_calc!$E$355))=0,"",INDEX('Our policies'!$P$4:$P$503,_calc!$E$355)),IF(LEN(INDEX('Vendor COIs'!$N$4:$N$503,(_calc!$E$355-500)))=0,"",INDEX('Vendor COIs'!$N$4:$N$503,(_calc!$E$355-500)))))</f>
        <v/>
      </c>
    </row>
    <row r="354">
      <c r="A354" s="46">
        <f>IF(_calc!$E$356="","",IF(_calc!$E$356&lt;=500,IF(LEN(INDEX('Our policies'!$A$4:$A$503,_calc!$E$356))=0,"",INDEX('Our policies'!$A$4:$A$503,_calc!$E$356)),"COI – "&amp;IF(LEN(INDEX('Vendor COIs'!$A$4:$A$503,(_calc!$E$356-500)))=0,"",INDEX('Vendor COIs'!$A$4:$A$503,(_calc!$E$356-500)))&amp;" – "&amp;IF(LEN(INDEX('Vendor COIs'!$B$4:$B$503,(_calc!$E$356-500)))=0,"",INDEX('Vendor COIs'!$B$4:$B$503,(_calc!$E$356-500)))))</f>
        <v/>
      </c>
      <c r="B354" s="46">
        <f>IF(_calc!$E$356="","",IF(_calc!$E$356&lt;=500,IF(ISNUMBER(INDEX('Our policies'!$J$4:$J$503,_calc!$E$356)),TEXT(INDEX('Our policies'!$J$4:$J$503,_calc!$E$356),"yyyy-mm-dd"),""),IF(ISNUMBER(INDEX('Vendor COIs'!$H$4:$H$503,(_calc!$E$356-500))),TEXT(INDEX('Vendor COIs'!$H$4:$H$503,(_calc!$E$356-500)),"yyyy-mm-dd"),"")))</f>
        <v/>
      </c>
      <c r="C354" s="46">
        <f>IF(_calc!$E$356="","",IF(_calc!$E$356&lt;=500,"Insurance","Certificate of insurance"))</f>
        <v/>
      </c>
      <c r="D354" s="46">
        <f>IF(_calc!$E$356="","",IF(_calc!$E$356&lt;=500,IF(ISNUMBER(INDEX('Our policies'!$I$4:$I$503,_calc!$E$356)),TEXT(INDEX('Our policies'!$I$4:$I$503,_calc!$E$356),"yyyy-mm-dd"),""),""))</f>
        <v/>
      </c>
      <c r="E354" s="46">
        <f>IF(_calc!$E$356="","",IF(_calc!$E$356&lt;=500,IF(LEN(INDEX('Our policies'!$Q$4:$Q$503,_calc!$E$356))=0,"",INDEX('Our policies'!$Q$4:$Q$503,_calc!$E$356)),"Medium"))</f>
        <v/>
      </c>
      <c r="F354" s="46">
        <f>IF(_calc!$E$356="","",IF(_calc!$E$356&lt;=500,TRIM(IF(LEN(IF(LEN(INDEX('Our policies'!$B$4:$B$503,_calc!$E$356))=0,"",INDEX('Our policies'!$B$4:$B$503,_calc!$E$356)))=0,"","Cover: "&amp;IF(LEN(INDEX('Our policies'!$B$4:$B$503,_calc!$E$356))=0,"",INDEX('Our policies'!$B$4:$B$503,_calc!$E$356))&amp;". ")&amp;IF(LEN(IF(LEN(INDEX('Our policies'!$C$4:$C$503,_calc!$E$356))=0,"",INDEX('Our policies'!$C$4:$C$503,_calc!$E$356)))=0,"","Insurer: "&amp;IF(LEN(INDEX('Our policies'!$C$4:$C$503,_calc!$E$356))=0,"",INDEX('Our policies'!$C$4:$C$503,_calc!$E$356))&amp;". ")&amp;IF(LEN(IF(LEN(INDEX('Our policies'!$D$4:$D$503,_calc!$E$356))=0,"",INDEX('Our policies'!$D$4:$D$503,_calc!$E$356)))=0,"","Broker: "&amp;IF(LEN(INDEX('Our policies'!$D$4:$D$503,_calc!$E$356))=0,"",INDEX('Our policies'!$D$4:$D$503,_calc!$E$356))&amp;". ")&amp;IF(LEN(IF(LEN(INDEX('Our policies'!$E$4:$E$503,_calc!$E$356))=0,"",INDEX('Our policies'!$E$4:$E$503,_calc!$E$356)))=0,"","Policy no.: "&amp;IF(LEN(INDEX('Our policies'!$E$4:$E$503,_calc!$E$356))=0,"",INDEX('Our policies'!$E$4:$E$503,_calc!$E$356))&amp;". ")&amp;IF(LEN(IF(LEN(INDEX('Our policies'!$S$4:$S$503,_calc!$E$356))=0,"",INDEX('Our policies'!$S$4:$S$503,_calc!$E$356)))=0,"",IF(LEN(INDEX('Our policies'!$S$4:$S$503,_calc!$E$356))=0,"",INDEX('Our policies'!$S$4:$S$503,_calc!$E$356)))),TRIM(IF(LEN(IF(LEN(INDEX('Vendor COIs'!$C$4:$C$503,(_calc!$E$356-500)))=0,"",INDEX('Vendor COIs'!$C$4:$C$503,(_calc!$E$356-500))))=0,"","Insurer: "&amp;IF(LEN(INDEX('Vendor COIs'!$C$4:$C$503,(_calc!$E$356-500)))=0,"",INDEX('Vendor COIs'!$C$4:$C$503,(_calc!$E$356-500)))&amp;". ")&amp;IF(LEN(IF(LEN(INDEX('Vendor COIs'!$D$4:$D$503,(_calc!$E$356-500)))=0,"",INDEX('Vendor COIs'!$D$4:$D$503,(_calc!$E$356-500))))=0,"","Policy no.: "&amp;IF(LEN(INDEX('Vendor COIs'!$D$4:$D$503,(_calc!$E$356-500)))=0,"",INDEX('Vendor COIs'!$D$4:$D$503,(_calc!$E$356-500)))&amp;". ")&amp;IF(LEN(IF(LEN(INDEX('Vendor COIs'!$F$4:$F$503,(_calc!$E$356-500)))=0,"",INDEX('Vendor COIs'!$F$4:$F$503,(_calc!$E$356-500))))=0,"","Meets minimum: "&amp;IF(LEN(INDEX('Vendor COIs'!$F$4:$F$503,(_calc!$E$356-500)))=0,"",INDEX('Vendor COIs'!$F$4:$F$503,(_calc!$E$356-500)))&amp;". ")&amp;IF(LEN(IF(LEN(INDEX('Vendor COIs'!$G$4:$G$503,(_calc!$E$356-500)))=0,"",INDEX('Vendor COIs'!$G$4:$G$503,(_calc!$E$356-500))))=0,"","Additional insured: "&amp;IF(LEN(INDEX('Vendor COIs'!$G$4:$G$503,(_calc!$E$356-500)))=0,"",INDEX('Vendor COIs'!$G$4:$G$503,(_calc!$E$356-500)))&amp;". ")&amp;IF(LEN(IF(LEN(INDEX('Vendor COIs'!$M$4:$M$503,(_calc!$E$356-500)))=0,"",INDEX('Vendor COIs'!$M$4:$M$503,(_calc!$E$356-500))))=0,"","Vendor contact: "&amp;IF(LEN(INDEX('Vendor COIs'!$M$4:$M$503,(_calc!$E$356-500)))=0,"",INDEX('Vendor COIs'!$M$4:$M$503,(_calc!$E$356-500)))&amp;". ")&amp;IF(LEN(IF(LEN(INDEX('Vendor COIs'!$P$4:$P$503,(_calc!$E$356-500)))=0,"",INDEX('Vendor COIs'!$P$4:$P$503,(_calc!$E$356-500))))=0,"",IF(LEN(INDEX('Vendor COIs'!$P$4:$P$503,(_calc!$E$356-500)))=0,"",INDEX('Vendor COIs'!$P$4:$P$503,(_calc!$E$356-500)))))))</f>
        <v/>
      </c>
      <c r="G354" s="46">
        <f>IF(_calc!$E$356="","",IF(_calc!$E$356&lt;=500,IF(LEN(INDEX('Our policies'!$R$4:$R$503,_calc!$E$356))=0,"",INDEX('Our policies'!$R$4:$R$503,_calc!$E$356)),IF(LEN(INDEX('Vendor COIs'!$O$4:$O$503,(_calc!$E$356-500)))=0,"",INDEX('Vendor COIs'!$O$4:$O$503,(_calc!$E$356-500)))))</f>
        <v/>
      </c>
      <c r="H354" s="46">
        <f>IF(_calc!$E$356="","",IF(_calc!$E$356&lt;=500,IF(LEN(INDEX('Our policies'!$G$4:$G$503,_calc!$E$356))=0,"",INDEX('Our policies'!$G$4:$G$503,_calc!$E$356)),""))</f>
        <v/>
      </c>
      <c r="I354" s="46">
        <f>IF(_calc!$E$356="","",IF(_calc!$E$356&lt;=500,IF(LEN(INDEX('Our policies'!$H$4:$H$503,_calc!$E$356))=0,"",INDEX('Our policies'!$H$4:$H$503,_calc!$E$356)),""))</f>
        <v/>
      </c>
      <c r="K354" s="46">
        <f>IF(_calc!$E$356="","",IF(_calc!$E$356&lt;=500,IF(LEN(INDEX('Our policies'!$P$4:$P$503,_calc!$E$356))=0,"",INDEX('Our policies'!$P$4:$P$503,_calc!$E$356)),IF(LEN(INDEX('Vendor COIs'!$N$4:$N$503,(_calc!$E$356-500)))=0,"",INDEX('Vendor COIs'!$N$4:$N$503,(_calc!$E$356-500)))))</f>
        <v/>
      </c>
    </row>
    <row r="355">
      <c r="A355" s="46">
        <f>IF(_calc!$E$357="","",IF(_calc!$E$357&lt;=500,IF(LEN(INDEX('Our policies'!$A$4:$A$503,_calc!$E$357))=0,"",INDEX('Our policies'!$A$4:$A$503,_calc!$E$357)),"COI – "&amp;IF(LEN(INDEX('Vendor COIs'!$A$4:$A$503,(_calc!$E$357-500)))=0,"",INDEX('Vendor COIs'!$A$4:$A$503,(_calc!$E$357-500)))&amp;" – "&amp;IF(LEN(INDEX('Vendor COIs'!$B$4:$B$503,(_calc!$E$357-500)))=0,"",INDEX('Vendor COIs'!$B$4:$B$503,(_calc!$E$357-500)))))</f>
        <v/>
      </c>
      <c r="B355" s="46">
        <f>IF(_calc!$E$357="","",IF(_calc!$E$357&lt;=500,IF(ISNUMBER(INDEX('Our policies'!$J$4:$J$503,_calc!$E$357)),TEXT(INDEX('Our policies'!$J$4:$J$503,_calc!$E$357),"yyyy-mm-dd"),""),IF(ISNUMBER(INDEX('Vendor COIs'!$H$4:$H$503,(_calc!$E$357-500))),TEXT(INDEX('Vendor COIs'!$H$4:$H$503,(_calc!$E$357-500)),"yyyy-mm-dd"),"")))</f>
        <v/>
      </c>
      <c r="C355" s="46">
        <f>IF(_calc!$E$357="","",IF(_calc!$E$357&lt;=500,"Insurance","Certificate of insurance"))</f>
        <v/>
      </c>
      <c r="D355" s="46">
        <f>IF(_calc!$E$357="","",IF(_calc!$E$357&lt;=500,IF(ISNUMBER(INDEX('Our policies'!$I$4:$I$503,_calc!$E$357)),TEXT(INDEX('Our policies'!$I$4:$I$503,_calc!$E$357),"yyyy-mm-dd"),""),""))</f>
        <v/>
      </c>
      <c r="E355" s="46">
        <f>IF(_calc!$E$357="","",IF(_calc!$E$357&lt;=500,IF(LEN(INDEX('Our policies'!$Q$4:$Q$503,_calc!$E$357))=0,"",INDEX('Our policies'!$Q$4:$Q$503,_calc!$E$357)),"Medium"))</f>
        <v/>
      </c>
      <c r="F355" s="46">
        <f>IF(_calc!$E$357="","",IF(_calc!$E$357&lt;=500,TRIM(IF(LEN(IF(LEN(INDEX('Our policies'!$B$4:$B$503,_calc!$E$357))=0,"",INDEX('Our policies'!$B$4:$B$503,_calc!$E$357)))=0,"","Cover: "&amp;IF(LEN(INDEX('Our policies'!$B$4:$B$503,_calc!$E$357))=0,"",INDEX('Our policies'!$B$4:$B$503,_calc!$E$357))&amp;". ")&amp;IF(LEN(IF(LEN(INDEX('Our policies'!$C$4:$C$503,_calc!$E$357))=0,"",INDEX('Our policies'!$C$4:$C$503,_calc!$E$357)))=0,"","Insurer: "&amp;IF(LEN(INDEX('Our policies'!$C$4:$C$503,_calc!$E$357))=0,"",INDEX('Our policies'!$C$4:$C$503,_calc!$E$357))&amp;". ")&amp;IF(LEN(IF(LEN(INDEX('Our policies'!$D$4:$D$503,_calc!$E$357))=0,"",INDEX('Our policies'!$D$4:$D$503,_calc!$E$357)))=0,"","Broker: "&amp;IF(LEN(INDEX('Our policies'!$D$4:$D$503,_calc!$E$357))=0,"",INDEX('Our policies'!$D$4:$D$503,_calc!$E$357))&amp;". ")&amp;IF(LEN(IF(LEN(INDEX('Our policies'!$E$4:$E$503,_calc!$E$357))=0,"",INDEX('Our policies'!$E$4:$E$503,_calc!$E$357)))=0,"","Policy no.: "&amp;IF(LEN(INDEX('Our policies'!$E$4:$E$503,_calc!$E$357))=0,"",INDEX('Our policies'!$E$4:$E$503,_calc!$E$357))&amp;". ")&amp;IF(LEN(IF(LEN(INDEX('Our policies'!$S$4:$S$503,_calc!$E$357))=0,"",INDEX('Our policies'!$S$4:$S$503,_calc!$E$357)))=0,"",IF(LEN(INDEX('Our policies'!$S$4:$S$503,_calc!$E$357))=0,"",INDEX('Our policies'!$S$4:$S$503,_calc!$E$357)))),TRIM(IF(LEN(IF(LEN(INDEX('Vendor COIs'!$C$4:$C$503,(_calc!$E$357-500)))=0,"",INDEX('Vendor COIs'!$C$4:$C$503,(_calc!$E$357-500))))=0,"","Insurer: "&amp;IF(LEN(INDEX('Vendor COIs'!$C$4:$C$503,(_calc!$E$357-500)))=0,"",INDEX('Vendor COIs'!$C$4:$C$503,(_calc!$E$357-500)))&amp;". ")&amp;IF(LEN(IF(LEN(INDEX('Vendor COIs'!$D$4:$D$503,(_calc!$E$357-500)))=0,"",INDEX('Vendor COIs'!$D$4:$D$503,(_calc!$E$357-500))))=0,"","Policy no.: "&amp;IF(LEN(INDEX('Vendor COIs'!$D$4:$D$503,(_calc!$E$357-500)))=0,"",INDEX('Vendor COIs'!$D$4:$D$503,(_calc!$E$357-500)))&amp;". ")&amp;IF(LEN(IF(LEN(INDEX('Vendor COIs'!$F$4:$F$503,(_calc!$E$357-500)))=0,"",INDEX('Vendor COIs'!$F$4:$F$503,(_calc!$E$357-500))))=0,"","Meets minimum: "&amp;IF(LEN(INDEX('Vendor COIs'!$F$4:$F$503,(_calc!$E$357-500)))=0,"",INDEX('Vendor COIs'!$F$4:$F$503,(_calc!$E$357-500)))&amp;". ")&amp;IF(LEN(IF(LEN(INDEX('Vendor COIs'!$G$4:$G$503,(_calc!$E$357-500)))=0,"",INDEX('Vendor COIs'!$G$4:$G$503,(_calc!$E$357-500))))=0,"","Additional insured: "&amp;IF(LEN(INDEX('Vendor COIs'!$G$4:$G$503,(_calc!$E$357-500)))=0,"",INDEX('Vendor COIs'!$G$4:$G$503,(_calc!$E$357-500)))&amp;". ")&amp;IF(LEN(IF(LEN(INDEX('Vendor COIs'!$M$4:$M$503,(_calc!$E$357-500)))=0,"",INDEX('Vendor COIs'!$M$4:$M$503,(_calc!$E$357-500))))=0,"","Vendor contact: "&amp;IF(LEN(INDEX('Vendor COIs'!$M$4:$M$503,(_calc!$E$357-500)))=0,"",INDEX('Vendor COIs'!$M$4:$M$503,(_calc!$E$357-500)))&amp;". ")&amp;IF(LEN(IF(LEN(INDEX('Vendor COIs'!$P$4:$P$503,(_calc!$E$357-500)))=0,"",INDEX('Vendor COIs'!$P$4:$P$503,(_calc!$E$357-500))))=0,"",IF(LEN(INDEX('Vendor COIs'!$P$4:$P$503,(_calc!$E$357-500)))=0,"",INDEX('Vendor COIs'!$P$4:$P$503,(_calc!$E$357-500)))))))</f>
        <v/>
      </c>
      <c r="G355" s="46">
        <f>IF(_calc!$E$357="","",IF(_calc!$E$357&lt;=500,IF(LEN(INDEX('Our policies'!$R$4:$R$503,_calc!$E$357))=0,"",INDEX('Our policies'!$R$4:$R$503,_calc!$E$357)),IF(LEN(INDEX('Vendor COIs'!$O$4:$O$503,(_calc!$E$357-500)))=0,"",INDEX('Vendor COIs'!$O$4:$O$503,(_calc!$E$357-500)))))</f>
        <v/>
      </c>
      <c r="H355" s="46">
        <f>IF(_calc!$E$357="","",IF(_calc!$E$357&lt;=500,IF(LEN(INDEX('Our policies'!$G$4:$G$503,_calc!$E$357))=0,"",INDEX('Our policies'!$G$4:$G$503,_calc!$E$357)),""))</f>
        <v/>
      </c>
      <c r="I355" s="46">
        <f>IF(_calc!$E$357="","",IF(_calc!$E$357&lt;=500,IF(LEN(INDEX('Our policies'!$H$4:$H$503,_calc!$E$357))=0,"",INDEX('Our policies'!$H$4:$H$503,_calc!$E$357)),""))</f>
        <v/>
      </c>
      <c r="K355" s="46">
        <f>IF(_calc!$E$357="","",IF(_calc!$E$357&lt;=500,IF(LEN(INDEX('Our policies'!$P$4:$P$503,_calc!$E$357))=0,"",INDEX('Our policies'!$P$4:$P$503,_calc!$E$357)),IF(LEN(INDEX('Vendor COIs'!$N$4:$N$503,(_calc!$E$357-500)))=0,"",INDEX('Vendor COIs'!$N$4:$N$503,(_calc!$E$357-500)))))</f>
        <v/>
      </c>
    </row>
    <row r="356">
      <c r="A356" s="46">
        <f>IF(_calc!$E$358="","",IF(_calc!$E$358&lt;=500,IF(LEN(INDEX('Our policies'!$A$4:$A$503,_calc!$E$358))=0,"",INDEX('Our policies'!$A$4:$A$503,_calc!$E$358)),"COI – "&amp;IF(LEN(INDEX('Vendor COIs'!$A$4:$A$503,(_calc!$E$358-500)))=0,"",INDEX('Vendor COIs'!$A$4:$A$503,(_calc!$E$358-500)))&amp;" – "&amp;IF(LEN(INDEX('Vendor COIs'!$B$4:$B$503,(_calc!$E$358-500)))=0,"",INDEX('Vendor COIs'!$B$4:$B$503,(_calc!$E$358-500)))))</f>
        <v/>
      </c>
      <c r="B356" s="46">
        <f>IF(_calc!$E$358="","",IF(_calc!$E$358&lt;=500,IF(ISNUMBER(INDEX('Our policies'!$J$4:$J$503,_calc!$E$358)),TEXT(INDEX('Our policies'!$J$4:$J$503,_calc!$E$358),"yyyy-mm-dd"),""),IF(ISNUMBER(INDEX('Vendor COIs'!$H$4:$H$503,(_calc!$E$358-500))),TEXT(INDEX('Vendor COIs'!$H$4:$H$503,(_calc!$E$358-500)),"yyyy-mm-dd"),"")))</f>
        <v/>
      </c>
      <c r="C356" s="46">
        <f>IF(_calc!$E$358="","",IF(_calc!$E$358&lt;=500,"Insurance","Certificate of insurance"))</f>
        <v/>
      </c>
      <c r="D356" s="46">
        <f>IF(_calc!$E$358="","",IF(_calc!$E$358&lt;=500,IF(ISNUMBER(INDEX('Our policies'!$I$4:$I$503,_calc!$E$358)),TEXT(INDEX('Our policies'!$I$4:$I$503,_calc!$E$358),"yyyy-mm-dd"),""),""))</f>
        <v/>
      </c>
      <c r="E356" s="46">
        <f>IF(_calc!$E$358="","",IF(_calc!$E$358&lt;=500,IF(LEN(INDEX('Our policies'!$Q$4:$Q$503,_calc!$E$358))=0,"",INDEX('Our policies'!$Q$4:$Q$503,_calc!$E$358)),"Medium"))</f>
        <v/>
      </c>
      <c r="F356" s="46">
        <f>IF(_calc!$E$358="","",IF(_calc!$E$358&lt;=500,TRIM(IF(LEN(IF(LEN(INDEX('Our policies'!$B$4:$B$503,_calc!$E$358))=0,"",INDEX('Our policies'!$B$4:$B$503,_calc!$E$358)))=0,"","Cover: "&amp;IF(LEN(INDEX('Our policies'!$B$4:$B$503,_calc!$E$358))=0,"",INDEX('Our policies'!$B$4:$B$503,_calc!$E$358))&amp;". ")&amp;IF(LEN(IF(LEN(INDEX('Our policies'!$C$4:$C$503,_calc!$E$358))=0,"",INDEX('Our policies'!$C$4:$C$503,_calc!$E$358)))=0,"","Insurer: "&amp;IF(LEN(INDEX('Our policies'!$C$4:$C$503,_calc!$E$358))=0,"",INDEX('Our policies'!$C$4:$C$503,_calc!$E$358))&amp;". ")&amp;IF(LEN(IF(LEN(INDEX('Our policies'!$D$4:$D$503,_calc!$E$358))=0,"",INDEX('Our policies'!$D$4:$D$503,_calc!$E$358)))=0,"","Broker: "&amp;IF(LEN(INDEX('Our policies'!$D$4:$D$503,_calc!$E$358))=0,"",INDEX('Our policies'!$D$4:$D$503,_calc!$E$358))&amp;". ")&amp;IF(LEN(IF(LEN(INDEX('Our policies'!$E$4:$E$503,_calc!$E$358))=0,"",INDEX('Our policies'!$E$4:$E$503,_calc!$E$358)))=0,"","Policy no.: "&amp;IF(LEN(INDEX('Our policies'!$E$4:$E$503,_calc!$E$358))=0,"",INDEX('Our policies'!$E$4:$E$503,_calc!$E$358))&amp;". ")&amp;IF(LEN(IF(LEN(INDEX('Our policies'!$S$4:$S$503,_calc!$E$358))=0,"",INDEX('Our policies'!$S$4:$S$503,_calc!$E$358)))=0,"",IF(LEN(INDEX('Our policies'!$S$4:$S$503,_calc!$E$358))=0,"",INDEX('Our policies'!$S$4:$S$503,_calc!$E$358)))),TRIM(IF(LEN(IF(LEN(INDEX('Vendor COIs'!$C$4:$C$503,(_calc!$E$358-500)))=0,"",INDEX('Vendor COIs'!$C$4:$C$503,(_calc!$E$358-500))))=0,"","Insurer: "&amp;IF(LEN(INDEX('Vendor COIs'!$C$4:$C$503,(_calc!$E$358-500)))=0,"",INDEX('Vendor COIs'!$C$4:$C$503,(_calc!$E$358-500)))&amp;". ")&amp;IF(LEN(IF(LEN(INDEX('Vendor COIs'!$D$4:$D$503,(_calc!$E$358-500)))=0,"",INDEX('Vendor COIs'!$D$4:$D$503,(_calc!$E$358-500))))=0,"","Policy no.: "&amp;IF(LEN(INDEX('Vendor COIs'!$D$4:$D$503,(_calc!$E$358-500)))=0,"",INDEX('Vendor COIs'!$D$4:$D$503,(_calc!$E$358-500)))&amp;". ")&amp;IF(LEN(IF(LEN(INDEX('Vendor COIs'!$F$4:$F$503,(_calc!$E$358-500)))=0,"",INDEX('Vendor COIs'!$F$4:$F$503,(_calc!$E$358-500))))=0,"","Meets minimum: "&amp;IF(LEN(INDEX('Vendor COIs'!$F$4:$F$503,(_calc!$E$358-500)))=0,"",INDEX('Vendor COIs'!$F$4:$F$503,(_calc!$E$358-500)))&amp;". ")&amp;IF(LEN(IF(LEN(INDEX('Vendor COIs'!$G$4:$G$503,(_calc!$E$358-500)))=0,"",INDEX('Vendor COIs'!$G$4:$G$503,(_calc!$E$358-500))))=0,"","Additional insured: "&amp;IF(LEN(INDEX('Vendor COIs'!$G$4:$G$503,(_calc!$E$358-500)))=0,"",INDEX('Vendor COIs'!$G$4:$G$503,(_calc!$E$358-500)))&amp;". ")&amp;IF(LEN(IF(LEN(INDEX('Vendor COIs'!$M$4:$M$503,(_calc!$E$358-500)))=0,"",INDEX('Vendor COIs'!$M$4:$M$503,(_calc!$E$358-500))))=0,"","Vendor contact: "&amp;IF(LEN(INDEX('Vendor COIs'!$M$4:$M$503,(_calc!$E$358-500)))=0,"",INDEX('Vendor COIs'!$M$4:$M$503,(_calc!$E$358-500)))&amp;". ")&amp;IF(LEN(IF(LEN(INDEX('Vendor COIs'!$P$4:$P$503,(_calc!$E$358-500)))=0,"",INDEX('Vendor COIs'!$P$4:$P$503,(_calc!$E$358-500))))=0,"",IF(LEN(INDEX('Vendor COIs'!$P$4:$P$503,(_calc!$E$358-500)))=0,"",INDEX('Vendor COIs'!$P$4:$P$503,(_calc!$E$358-500)))))))</f>
        <v/>
      </c>
      <c r="G356" s="46">
        <f>IF(_calc!$E$358="","",IF(_calc!$E$358&lt;=500,IF(LEN(INDEX('Our policies'!$R$4:$R$503,_calc!$E$358))=0,"",INDEX('Our policies'!$R$4:$R$503,_calc!$E$358)),IF(LEN(INDEX('Vendor COIs'!$O$4:$O$503,(_calc!$E$358-500)))=0,"",INDEX('Vendor COIs'!$O$4:$O$503,(_calc!$E$358-500)))))</f>
        <v/>
      </c>
      <c r="H356" s="46">
        <f>IF(_calc!$E$358="","",IF(_calc!$E$358&lt;=500,IF(LEN(INDEX('Our policies'!$G$4:$G$503,_calc!$E$358))=0,"",INDEX('Our policies'!$G$4:$G$503,_calc!$E$358)),""))</f>
        <v/>
      </c>
      <c r="I356" s="46">
        <f>IF(_calc!$E$358="","",IF(_calc!$E$358&lt;=500,IF(LEN(INDEX('Our policies'!$H$4:$H$503,_calc!$E$358))=0,"",INDEX('Our policies'!$H$4:$H$503,_calc!$E$358)),""))</f>
        <v/>
      </c>
      <c r="K356" s="46">
        <f>IF(_calc!$E$358="","",IF(_calc!$E$358&lt;=500,IF(LEN(INDEX('Our policies'!$P$4:$P$503,_calc!$E$358))=0,"",INDEX('Our policies'!$P$4:$P$503,_calc!$E$358)),IF(LEN(INDEX('Vendor COIs'!$N$4:$N$503,(_calc!$E$358-500)))=0,"",INDEX('Vendor COIs'!$N$4:$N$503,(_calc!$E$358-500)))))</f>
        <v/>
      </c>
    </row>
    <row r="357">
      <c r="A357" s="46">
        <f>IF(_calc!$E$359="","",IF(_calc!$E$359&lt;=500,IF(LEN(INDEX('Our policies'!$A$4:$A$503,_calc!$E$359))=0,"",INDEX('Our policies'!$A$4:$A$503,_calc!$E$359)),"COI – "&amp;IF(LEN(INDEX('Vendor COIs'!$A$4:$A$503,(_calc!$E$359-500)))=0,"",INDEX('Vendor COIs'!$A$4:$A$503,(_calc!$E$359-500)))&amp;" – "&amp;IF(LEN(INDEX('Vendor COIs'!$B$4:$B$503,(_calc!$E$359-500)))=0,"",INDEX('Vendor COIs'!$B$4:$B$503,(_calc!$E$359-500)))))</f>
        <v/>
      </c>
      <c r="B357" s="46">
        <f>IF(_calc!$E$359="","",IF(_calc!$E$359&lt;=500,IF(ISNUMBER(INDEX('Our policies'!$J$4:$J$503,_calc!$E$359)),TEXT(INDEX('Our policies'!$J$4:$J$503,_calc!$E$359),"yyyy-mm-dd"),""),IF(ISNUMBER(INDEX('Vendor COIs'!$H$4:$H$503,(_calc!$E$359-500))),TEXT(INDEX('Vendor COIs'!$H$4:$H$503,(_calc!$E$359-500)),"yyyy-mm-dd"),"")))</f>
        <v/>
      </c>
      <c r="C357" s="46">
        <f>IF(_calc!$E$359="","",IF(_calc!$E$359&lt;=500,"Insurance","Certificate of insurance"))</f>
        <v/>
      </c>
      <c r="D357" s="46">
        <f>IF(_calc!$E$359="","",IF(_calc!$E$359&lt;=500,IF(ISNUMBER(INDEX('Our policies'!$I$4:$I$503,_calc!$E$359)),TEXT(INDEX('Our policies'!$I$4:$I$503,_calc!$E$359),"yyyy-mm-dd"),""),""))</f>
        <v/>
      </c>
      <c r="E357" s="46">
        <f>IF(_calc!$E$359="","",IF(_calc!$E$359&lt;=500,IF(LEN(INDEX('Our policies'!$Q$4:$Q$503,_calc!$E$359))=0,"",INDEX('Our policies'!$Q$4:$Q$503,_calc!$E$359)),"Medium"))</f>
        <v/>
      </c>
      <c r="F357" s="46">
        <f>IF(_calc!$E$359="","",IF(_calc!$E$359&lt;=500,TRIM(IF(LEN(IF(LEN(INDEX('Our policies'!$B$4:$B$503,_calc!$E$359))=0,"",INDEX('Our policies'!$B$4:$B$503,_calc!$E$359)))=0,"","Cover: "&amp;IF(LEN(INDEX('Our policies'!$B$4:$B$503,_calc!$E$359))=0,"",INDEX('Our policies'!$B$4:$B$503,_calc!$E$359))&amp;". ")&amp;IF(LEN(IF(LEN(INDEX('Our policies'!$C$4:$C$503,_calc!$E$359))=0,"",INDEX('Our policies'!$C$4:$C$503,_calc!$E$359)))=0,"","Insurer: "&amp;IF(LEN(INDEX('Our policies'!$C$4:$C$503,_calc!$E$359))=0,"",INDEX('Our policies'!$C$4:$C$503,_calc!$E$359))&amp;". ")&amp;IF(LEN(IF(LEN(INDEX('Our policies'!$D$4:$D$503,_calc!$E$359))=0,"",INDEX('Our policies'!$D$4:$D$503,_calc!$E$359)))=0,"","Broker: "&amp;IF(LEN(INDEX('Our policies'!$D$4:$D$503,_calc!$E$359))=0,"",INDEX('Our policies'!$D$4:$D$503,_calc!$E$359))&amp;". ")&amp;IF(LEN(IF(LEN(INDEX('Our policies'!$E$4:$E$503,_calc!$E$359))=0,"",INDEX('Our policies'!$E$4:$E$503,_calc!$E$359)))=0,"","Policy no.: "&amp;IF(LEN(INDEX('Our policies'!$E$4:$E$503,_calc!$E$359))=0,"",INDEX('Our policies'!$E$4:$E$503,_calc!$E$359))&amp;". ")&amp;IF(LEN(IF(LEN(INDEX('Our policies'!$S$4:$S$503,_calc!$E$359))=0,"",INDEX('Our policies'!$S$4:$S$503,_calc!$E$359)))=0,"",IF(LEN(INDEX('Our policies'!$S$4:$S$503,_calc!$E$359))=0,"",INDEX('Our policies'!$S$4:$S$503,_calc!$E$359)))),TRIM(IF(LEN(IF(LEN(INDEX('Vendor COIs'!$C$4:$C$503,(_calc!$E$359-500)))=0,"",INDEX('Vendor COIs'!$C$4:$C$503,(_calc!$E$359-500))))=0,"","Insurer: "&amp;IF(LEN(INDEX('Vendor COIs'!$C$4:$C$503,(_calc!$E$359-500)))=0,"",INDEX('Vendor COIs'!$C$4:$C$503,(_calc!$E$359-500)))&amp;". ")&amp;IF(LEN(IF(LEN(INDEX('Vendor COIs'!$D$4:$D$503,(_calc!$E$359-500)))=0,"",INDEX('Vendor COIs'!$D$4:$D$503,(_calc!$E$359-500))))=0,"","Policy no.: "&amp;IF(LEN(INDEX('Vendor COIs'!$D$4:$D$503,(_calc!$E$359-500)))=0,"",INDEX('Vendor COIs'!$D$4:$D$503,(_calc!$E$359-500)))&amp;". ")&amp;IF(LEN(IF(LEN(INDEX('Vendor COIs'!$F$4:$F$503,(_calc!$E$359-500)))=0,"",INDEX('Vendor COIs'!$F$4:$F$503,(_calc!$E$359-500))))=0,"","Meets minimum: "&amp;IF(LEN(INDEX('Vendor COIs'!$F$4:$F$503,(_calc!$E$359-500)))=0,"",INDEX('Vendor COIs'!$F$4:$F$503,(_calc!$E$359-500)))&amp;". ")&amp;IF(LEN(IF(LEN(INDEX('Vendor COIs'!$G$4:$G$503,(_calc!$E$359-500)))=0,"",INDEX('Vendor COIs'!$G$4:$G$503,(_calc!$E$359-500))))=0,"","Additional insured: "&amp;IF(LEN(INDEX('Vendor COIs'!$G$4:$G$503,(_calc!$E$359-500)))=0,"",INDEX('Vendor COIs'!$G$4:$G$503,(_calc!$E$359-500)))&amp;". ")&amp;IF(LEN(IF(LEN(INDEX('Vendor COIs'!$M$4:$M$503,(_calc!$E$359-500)))=0,"",INDEX('Vendor COIs'!$M$4:$M$503,(_calc!$E$359-500))))=0,"","Vendor contact: "&amp;IF(LEN(INDEX('Vendor COIs'!$M$4:$M$503,(_calc!$E$359-500)))=0,"",INDEX('Vendor COIs'!$M$4:$M$503,(_calc!$E$359-500)))&amp;". ")&amp;IF(LEN(IF(LEN(INDEX('Vendor COIs'!$P$4:$P$503,(_calc!$E$359-500)))=0,"",INDEX('Vendor COIs'!$P$4:$P$503,(_calc!$E$359-500))))=0,"",IF(LEN(INDEX('Vendor COIs'!$P$4:$P$503,(_calc!$E$359-500)))=0,"",INDEX('Vendor COIs'!$P$4:$P$503,(_calc!$E$359-500)))))))</f>
        <v/>
      </c>
      <c r="G357" s="46">
        <f>IF(_calc!$E$359="","",IF(_calc!$E$359&lt;=500,IF(LEN(INDEX('Our policies'!$R$4:$R$503,_calc!$E$359))=0,"",INDEX('Our policies'!$R$4:$R$503,_calc!$E$359)),IF(LEN(INDEX('Vendor COIs'!$O$4:$O$503,(_calc!$E$359-500)))=0,"",INDEX('Vendor COIs'!$O$4:$O$503,(_calc!$E$359-500)))))</f>
        <v/>
      </c>
      <c r="H357" s="46">
        <f>IF(_calc!$E$359="","",IF(_calc!$E$359&lt;=500,IF(LEN(INDEX('Our policies'!$G$4:$G$503,_calc!$E$359))=0,"",INDEX('Our policies'!$G$4:$G$503,_calc!$E$359)),""))</f>
        <v/>
      </c>
      <c r="I357" s="46">
        <f>IF(_calc!$E$359="","",IF(_calc!$E$359&lt;=500,IF(LEN(INDEX('Our policies'!$H$4:$H$503,_calc!$E$359))=0,"",INDEX('Our policies'!$H$4:$H$503,_calc!$E$359)),""))</f>
        <v/>
      </c>
      <c r="K357" s="46">
        <f>IF(_calc!$E$359="","",IF(_calc!$E$359&lt;=500,IF(LEN(INDEX('Our policies'!$P$4:$P$503,_calc!$E$359))=0,"",INDEX('Our policies'!$P$4:$P$503,_calc!$E$359)),IF(LEN(INDEX('Vendor COIs'!$N$4:$N$503,(_calc!$E$359-500)))=0,"",INDEX('Vendor COIs'!$N$4:$N$503,(_calc!$E$359-500)))))</f>
        <v/>
      </c>
    </row>
    <row r="358">
      <c r="A358" s="46">
        <f>IF(_calc!$E$360="","",IF(_calc!$E$360&lt;=500,IF(LEN(INDEX('Our policies'!$A$4:$A$503,_calc!$E$360))=0,"",INDEX('Our policies'!$A$4:$A$503,_calc!$E$360)),"COI – "&amp;IF(LEN(INDEX('Vendor COIs'!$A$4:$A$503,(_calc!$E$360-500)))=0,"",INDEX('Vendor COIs'!$A$4:$A$503,(_calc!$E$360-500)))&amp;" – "&amp;IF(LEN(INDEX('Vendor COIs'!$B$4:$B$503,(_calc!$E$360-500)))=0,"",INDEX('Vendor COIs'!$B$4:$B$503,(_calc!$E$360-500)))))</f>
        <v/>
      </c>
      <c r="B358" s="46">
        <f>IF(_calc!$E$360="","",IF(_calc!$E$360&lt;=500,IF(ISNUMBER(INDEX('Our policies'!$J$4:$J$503,_calc!$E$360)),TEXT(INDEX('Our policies'!$J$4:$J$503,_calc!$E$360),"yyyy-mm-dd"),""),IF(ISNUMBER(INDEX('Vendor COIs'!$H$4:$H$503,(_calc!$E$360-500))),TEXT(INDEX('Vendor COIs'!$H$4:$H$503,(_calc!$E$360-500)),"yyyy-mm-dd"),"")))</f>
        <v/>
      </c>
      <c r="C358" s="46">
        <f>IF(_calc!$E$360="","",IF(_calc!$E$360&lt;=500,"Insurance","Certificate of insurance"))</f>
        <v/>
      </c>
      <c r="D358" s="46">
        <f>IF(_calc!$E$360="","",IF(_calc!$E$360&lt;=500,IF(ISNUMBER(INDEX('Our policies'!$I$4:$I$503,_calc!$E$360)),TEXT(INDEX('Our policies'!$I$4:$I$503,_calc!$E$360),"yyyy-mm-dd"),""),""))</f>
        <v/>
      </c>
      <c r="E358" s="46">
        <f>IF(_calc!$E$360="","",IF(_calc!$E$360&lt;=500,IF(LEN(INDEX('Our policies'!$Q$4:$Q$503,_calc!$E$360))=0,"",INDEX('Our policies'!$Q$4:$Q$503,_calc!$E$360)),"Medium"))</f>
        <v/>
      </c>
      <c r="F358" s="46">
        <f>IF(_calc!$E$360="","",IF(_calc!$E$360&lt;=500,TRIM(IF(LEN(IF(LEN(INDEX('Our policies'!$B$4:$B$503,_calc!$E$360))=0,"",INDEX('Our policies'!$B$4:$B$503,_calc!$E$360)))=0,"","Cover: "&amp;IF(LEN(INDEX('Our policies'!$B$4:$B$503,_calc!$E$360))=0,"",INDEX('Our policies'!$B$4:$B$503,_calc!$E$360))&amp;". ")&amp;IF(LEN(IF(LEN(INDEX('Our policies'!$C$4:$C$503,_calc!$E$360))=0,"",INDEX('Our policies'!$C$4:$C$503,_calc!$E$360)))=0,"","Insurer: "&amp;IF(LEN(INDEX('Our policies'!$C$4:$C$503,_calc!$E$360))=0,"",INDEX('Our policies'!$C$4:$C$503,_calc!$E$360))&amp;". ")&amp;IF(LEN(IF(LEN(INDEX('Our policies'!$D$4:$D$503,_calc!$E$360))=0,"",INDEX('Our policies'!$D$4:$D$503,_calc!$E$360)))=0,"","Broker: "&amp;IF(LEN(INDEX('Our policies'!$D$4:$D$503,_calc!$E$360))=0,"",INDEX('Our policies'!$D$4:$D$503,_calc!$E$360))&amp;". ")&amp;IF(LEN(IF(LEN(INDEX('Our policies'!$E$4:$E$503,_calc!$E$360))=0,"",INDEX('Our policies'!$E$4:$E$503,_calc!$E$360)))=0,"","Policy no.: "&amp;IF(LEN(INDEX('Our policies'!$E$4:$E$503,_calc!$E$360))=0,"",INDEX('Our policies'!$E$4:$E$503,_calc!$E$360))&amp;". ")&amp;IF(LEN(IF(LEN(INDEX('Our policies'!$S$4:$S$503,_calc!$E$360))=0,"",INDEX('Our policies'!$S$4:$S$503,_calc!$E$360)))=0,"",IF(LEN(INDEX('Our policies'!$S$4:$S$503,_calc!$E$360))=0,"",INDEX('Our policies'!$S$4:$S$503,_calc!$E$360)))),TRIM(IF(LEN(IF(LEN(INDEX('Vendor COIs'!$C$4:$C$503,(_calc!$E$360-500)))=0,"",INDEX('Vendor COIs'!$C$4:$C$503,(_calc!$E$360-500))))=0,"","Insurer: "&amp;IF(LEN(INDEX('Vendor COIs'!$C$4:$C$503,(_calc!$E$360-500)))=0,"",INDEX('Vendor COIs'!$C$4:$C$503,(_calc!$E$360-500)))&amp;". ")&amp;IF(LEN(IF(LEN(INDEX('Vendor COIs'!$D$4:$D$503,(_calc!$E$360-500)))=0,"",INDEX('Vendor COIs'!$D$4:$D$503,(_calc!$E$360-500))))=0,"","Policy no.: "&amp;IF(LEN(INDEX('Vendor COIs'!$D$4:$D$503,(_calc!$E$360-500)))=0,"",INDEX('Vendor COIs'!$D$4:$D$503,(_calc!$E$360-500)))&amp;". ")&amp;IF(LEN(IF(LEN(INDEX('Vendor COIs'!$F$4:$F$503,(_calc!$E$360-500)))=0,"",INDEX('Vendor COIs'!$F$4:$F$503,(_calc!$E$360-500))))=0,"","Meets minimum: "&amp;IF(LEN(INDEX('Vendor COIs'!$F$4:$F$503,(_calc!$E$360-500)))=0,"",INDEX('Vendor COIs'!$F$4:$F$503,(_calc!$E$360-500)))&amp;". ")&amp;IF(LEN(IF(LEN(INDEX('Vendor COIs'!$G$4:$G$503,(_calc!$E$360-500)))=0,"",INDEX('Vendor COIs'!$G$4:$G$503,(_calc!$E$360-500))))=0,"","Additional insured: "&amp;IF(LEN(INDEX('Vendor COIs'!$G$4:$G$503,(_calc!$E$360-500)))=0,"",INDEX('Vendor COIs'!$G$4:$G$503,(_calc!$E$360-500)))&amp;". ")&amp;IF(LEN(IF(LEN(INDEX('Vendor COIs'!$M$4:$M$503,(_calc!$E$360-500)))=0,"",INDEX('Vendor COIs'!$M$4:$M$503,(_calc!$E$360-500))))=0,"","Vendor contact: "&amp;IF(LEN(INDEX('Vendor COIs'!$M$4:$M$503,(_calc!$E$360-500)))=0,"",INDEX('Vendor COIs'!$M$4:$M$503,(_calc!$E$360-500)))&amp;". ")&amp;IF(LEN(IF(LEN(INDEX('Vendor COIs'!$P$4:$P$503,(_calc!$E$360-500)))=0,"",INDEX('Vendor COIs'!$P$4:$P$503,(_calc!$E$360-500))))=0,"",IF(LEN(INDEX('Vendor COIs'!$P$4:$P$503,(_calc!$E$360-500)))=0,"",INDEX('Vendor COIs'!$P$4:$P$503,(_calc!$E$360-500)))))))</f>
        <v/>
      </c>
      <c r="G358" s="46">
        <f>IF(_calc!$E$360="","",IF(_calc!$E$360&lt;=500,IF(LEN(INDEX('Our policies'!$R$4:$R$503,_calc!$E$360))=0,"",INDEX('Our policies'!$R$4:$R$503,_calc!$E$360)),IF(LEN(INDEX('Vendor COIs'!$O$4:$O$503,(_calc!$E$360-500)))=0,"",INDEX('Vendor COIs'!$O$4:$O$503,(_calc!$E$360-500)))))</f>
        <v/>
      </c>
      <c r="H358" s="46">
        <f>IF(_calc!$E$360="","",IF(_calc!$E$360&lt;=500,IF(LEN(INDEX('Our policies'!$G$4:$G$503,_calc!$E$360))=0,"",INDEX('Our policies'!$G$4:$G$503,_calc!$E$360)),""))</f>
        <v/>
      </c>
      <c r="I358" s="46">
        <f>IF(_calc!$E$360="","",IF(_calc!$E$360&lt;=500,IF(LEN(INDEX('Our policies'!$H$4:$H$503,_calc!$E$360))=0,"",INDEX('Our policies'!$H$4:$H$503,_calc!$E$360)),""))</f>
        <v/>
      </c>
      <c r="K358" s="46">
        <f>IF(_calc!$E$360="","",IF(_calc!$E$360&lt;=500,IF(LEN(INDEX('Our policies'!$P$4:$P$503,_calc!$E$360))=0,"",INDEX('Our policies'!$P$4:$P$503,_calc!$E$360)),IF(LEN(INDEX('Vendor COIs'!$N$4:$N$503,(_calc!$E$360-500)))=0,"",INDEX('Vendor COIs'!$N$4:$N$503,(_calc!$E$360-500)))))</f>
        <v/>
      </c>
    </row>
    <row r="359">
      <c r="A359" s="46">
        <f>IF(_calc!$E$361="","",IF(_calc!$E$361&lt;=500,IF(LEN(INDEX('Our policies'!$A$4:$A$503,_calc!$E$361))=0,"",INDEX('Our policies'!$A$4:$A$503,_calc!$E$361)),"COI – "&amp;IF(LEN(INDEX('Vendor COIs'!$A$4:$A$503,(_calc!$E$361-500)))=0,"",INDEX('Vendor COIs'!$A$4:$A$503,(_calc!$E$361-500)))&amp;" – "&amp;IF(LEN(INDEX('Vendor COIs'!$B$4:$B$503,(_calc!$E$361-500)))=0,"",INDEX('Vendor COIs'!$B$4:$B$503,(_calc!$E$361-500)))))</f>
        <v/>
      </c>
      <c r="B359" s="46">
        <f>IF(_calc!$E$361="","",IF(_calc!$E$361&lt;=500,IF(ISNUMBER(INDEX('Our policies'!$J$4:$J$503,_calc!$E$361)),TEXT(INDEX('Our policies'!$J$4:$J$503,_calc!$E$361),"yyyy-mm-dd"),""),IF(ISNUMBER(INDEX('Vendor COIs'!$H$4:$H$503,(_calc!$E$361-500))),TEXT(INDEX('Vendor COIs'!$H$4:$H$503,(_calc!$E$361-500)),"yyyy-mm-dd"),"")))</f>
        <v/>
      </c>
      <c r="C359" s="46">
        <f>IF(_calc!$E$361="","",IF(_calc!$E$361&lt;=500,"Insurance","Certificate of insurance"))</f>
        <v/>
      </c>
      <c r="D359" s="46">
        <f>IF(_calc!$E$361="","",IF(_calc!$E$361&lt;=500,IF(ISNUMBER(INDEX('Our policies'!$I$4:$I$503,_calc!$E$361)),TEXT(INDEX('Our policies'!$I$4:$I$503,_calc!$E$361),"yyyy-mm-dd"),""),""))</f>
        <v/>
      </c>
      <c r="E359" s="46">
        <f>IF(_calc!$E$361="","",IF(_calc!$E$361&lt;=500,IF(LEN(INDEX('Our policies'!$Q$4:$Q$503,_calc!$E$361))=0,"",INDEX('Our policies'!$Q$4:$Q$503,_calc!$E$361)),"Medium"))</f>
        <v/>
      </c>
      <c r="F359" s="46">
        <f>IF(_calc!$E$361="","",IF(_calc!$E$361&lt;=500,TRIM(IF(LEN(IF(LEN(INDEX('Our policies'!$B$4:$B$503,_calc!$E$361))=0,"",INDEX('Our policies'!$B$4:$B$503,_calc!$E$361)))=0,"","Cover: "&amp;IF(LEN(INDEX('Our policies'!$B$4:$B$503,_calc!$E$361))=0,"",INDEX('Our policies'!$B$4:$B$503,_calc!$E$361))&amp;". ")&amp;IF(LEN(IF(LEN(INDEX('Our policies'!$C$4:$C$503,_calc!$E$361))=0,"",INDEX('Our policies'!$C$4:$C$503,_calc!$E$361)))=0,"","Insurer: "&amp;IF(LEN(INDEX('Our policies'!$C$4:$C$503,_calc!$E$361))=0,"",INDEX('Our policies'!$C$4:$C$503,_calc!$E$361))&amp;". ")&amp;IF(LEN(IF(LEN(INDEX('Our policies'!$D$4:$D$503,_calc!$E$361))=0,"",INDEX('Our policies'!$D$4:$D$503,_calc!$E$361)))=0,"","Broker: "&amp;IF(LEN(INDEX('Our policies'!$D$4:$D$503,_calc!$E$361))=0,"",INDEX('Our policies'!$D$4:$D$503,_calc!$E$361))&amp;". ")&amp;IF(LEN(IF(LEN(INDEX('Our policies'!$E$4:$E$503,_calc!$E$361))=0,"",INDEX('Our policies'!$E$4:$E$503,_calc!$E$361)))=0,"","Policy no.: "&amp;IF(LEN(INDEX('Our policies'!$E$4:$E$503,_calc!$E$361))=0,"",INDEX('Our policies'!$E$4:$E$503,_calc!$E$361))&amp;". ")&amp;IF(LEN(IF(LEN(INDEX('Our policies'!$S$4:$S$503,_calc!$E$361))=0,"",INDEX('Our policies'!$S$4:$S$503,_calc!$E$361)))=0,"",IF(LEN(INDEX('Our policies'!$S$4:$S$503,_calc!$E$361))=0,"",INDEX('Our policies'!$S$4:$S$503,_calc!$E$361)))),TRIM(IF(LEN(IF(LEN(INDEX('Vendor COIs'!$C$4:$C$503,(_calc!$E$361-500)))=0,"",INDEX('Vendor COIs'!$C$4:$C$503,(_calc!$E$361-500))))=0,"","Insurer: "&amp;IF(LEN(INDEX('Vendor COIs'!$C$4:$C$503,(_calc!$E$361-500)))=0,"",INDEX('Vendor COIs'!$C$4:$C$503,(_calc!$E$361-500)))&amp;". ")&amp;IF(LEN(IF(LEN(INDEX('Vendor COIs'!$D$4:$D$503,(_calc!$E$361-500)))=0,"",INDEX('Vendor COIs'!$D$4:$D$503,(_calc!$E$361-500))))=0,"","Policy no.: "&amp;IF(LEN(INDEX('Vendor COIs'!$D$4:$D$503,(_calc!$E$361-500)))=0,"",INDEX('Vendor COIs'!$D$4:$D$503,(_calc!$E$361-500)))&amp;". ")&amp;IF(LEN(IF(LEN(INDEX('Vendor COIs'!$F$4:$F$503,(_calc!$E$361-500)))=0,"",INDEX('Vendor COIs'!$F$4:$F$503,(_calc!$E$361-500))))=0,"","Meets minimum: "&amp;IF(LEN(INDEX('Vendor COIs'!$F$4:$F$503,(_calc!$E$361-500)))=0,"",INDEX('Vendor COIs'!$F$4:$F$503,(_calc!$E$361-500)))&amp;". ")&amp;IF(LEN(IF(LEN(INDEX('Vendor COIs'!$G$4:$G$503,(_calc!$E$361-500)))=0,"",INDEX('Vendor COIs'!$G$4:$G$503,(_calc!$E$361-500))))=0,"","Additional insured: "&amp;IF(LEN(INDEX('Vendor COIs'!$G$4:$G$503,(_calc!$E$361-500)))=0,"",INDEX('Vendor COIs'!$G$4:$G$503,(_calc!$E$361-500)))&amp;". ")&amp;IF(LEN(IF(LEN(INDEX('Vendor COIs'!$M$4:$M$503,(_calc!$E$361-500)))=0,"",INDEX('Vendor COIs'!$M$4:$M$503,(_calc!$E$361-500))))=0,"","Vendor contact: "&amp;IF(LEN(INDEX('Vendor COIs'!$M$4:$M$503,(_calc!$E$361-500)))=0,"",INDEX('Vendor COIs'!$M$4:$M$503,(_calc!$E$361-500)))&amp;". ")&amp;IF(LEN(IF(LEN(INDEX('Vendor COIs'!$P$4:$P$503,(_calc!$E$361-500)))=0,"",INDEX('Vendor COIs'!$P$4:$P$503,(_calc!$E$361-500))))=0,"",IF(LEN(INDEX('Vendor COIs'!$P$4:$P$503,(_calc!$E$361-500)))=0,"",INDEX('Vendor COIs'!$P$4:$P$503,(_calc!$E$361-500)))))))</f>
        <v/>
      </c>
      <c r="G359" s="46">
        <f>IF(_calc!$E$361="","",IF(_calc!$E$361&lt;=500,IF(LEN(INDEX('Our policies'!$R$4:$R$503,_calc!$E$361))=0,"",INDEX('Our policies'!$R$4:$R$503,_calc!$E$361)),IF(LEN(INDEX('Vendor COIs'!$O$4:$O$503,(_calc!$E$361-500)))=0,"",INDEX('Vendor COIs'!$O$4:$O$503,(_calc!$E$361-500)))))</f>
        <v/>
      </c>
      <c r="H359" s="46">
        <f>IF(_calc!$E$361="","",IF(_calc!$E$361&lt;=500,IF(LEN(INDEX('Our policies'!$G$4:$G$503,_calc!$E$361))=0,"",INDEX('Our policies'!$G$4:$G$503,_calc!$E$361)),""))</f>
        <v/>
      </c>
      <c r="I359" s="46">
        <f>IF(_calc!$E$361="","",IF(_calc!$E$361&lt;=500,IF(LEN(INDEX('Our policies'!$H$4:$H$503,_calc!$E$361))=0,"",INDEX('Our policies'!$H$4:$H$503,_calc!$E$361)),""))</f>
        <v/>
      </c>
      <c r="K359" s="46">
        <f>IF(_calc!$E$361="","",IF(_calc!$E$361&lt;=500,IF(LEN(INDEX('Our policies'!$P$4:$P$503,_calc!$E$361))=0,"",INDEX('Our policies'!$P$4:$P$503,_calc!$E$361)),IF(LEN(INDEX('Vendor COIs'!$N$4:$N$503,(_calc!$E$361-500)))=0,"",INDEX('Vendor COIs'!$N$4:$N$503,(_calc!$E$361-500)))))</f>
        <v/>
      </c>
    </row>
    <row r="360">
      <c r="A360" s="46">
        <f>IF(_calc!$E$362="","",IF(_calc!$E$362&lt;=500,IF(LEN(INDEX('Our policies'!$A$4:$A$503,_calc!$E$362))=0,"",INDEX('Our policies'!$A$4:$A$503,_calc!$E$362)),"COI – "&amp;IF(LEN(INDEX('Vendor COIs'!$A$4:$A$503,(_calc!$E$362-500)))=0,"",INDEX('Vendor COIs'!$A$4:$A$503,(_calc!$E$362-500)))&amp;" – "&amp;IF(LEN(INDEX('Vendor COIs'!$B$4:$B$503,(_calc!$E$362-500)))=0,"",INDEX('Vendor COIs'!$B$4:$B$503,(_calc!$E$362-500)))))</f>
        <v/>
      </c>
      <c r="B360" s="46">
        <f>IF(_calc!$E$362="","",IF(_calc!$E$362&lt;=500,IF(ISNUMBER(INDEX('Our policies'!$J$4:$J$503,_calc!$E$362)),TEXT(INDEX('Our policies'!$J$4:$J$503,_calc!$E$362),"yyyy-mm-dd"),""),IF(ISNUMBER(INDEX('Vendor COIs'!$H$4:$H$503,(_calc!$E$362-500))),TEXT(INDEX('Vendor COIs'!$H$4:$H$503,(_calc!$E$362-500)),"yyyy-mm-dd"),"")))</f>
        <v/>
      </c>
      <c r="C360" s="46">
        <f>IF(_calc!$E$362="","",IF(_calc!$E$362&lt;=500,"Insurance","Certificate of insurance"))</f>
        <v/>
      </c>
      <c r="D360" s="46">
        <f>IF(_calc!$E$362="","",IF(_calc!$E$362&lt;=500,IF(ISNUMBER(INDEX('Our policies'!$I$4:$I$503,_calc!$E$362)),TEXT(INDEX('Our policies'!$I$4:$I$503,_calc!$E$362),"yyyy-mm-dd"),""),""))</f>
        <v/>
      </c>
      <c r="E360" s="46">
        <f>IF(_calc!$E$362="","",IF(_calc!$E$362&lt;=500,IF(LEN(INDEX('Our policies'!$Q$4:$Q$503,_calc!$E$362))=0,"",INDEX('Our policies'!$Q$4:$Q$503,_calc!$E$362)),"Medium"))</f>
        <v/>
      </c>
      <c r="F360" s="46">
        <f>IF(_calc!$E$362="","",IF(_calc!$E$362&lt;=500,TRIM(IF(LEN(IF(LEN(INDEX('Our policies'!$B$4:$B$503,_calc!$E$362))=0,"",INDEX('Our policies'!$B$4:$B$503,_calc!$E$362)))=0,"","Cover: "&amp;IF(LEN(INDEX('Our policies'!$B$4:$B$503,_calc!$E$362))=0,"",INDEX('Our policies'!$B$4:$B$503,_calc!$E$362))&amp;". ")&amp;IF(LEN(IF(LEN(INDEX('Our policies'!$C$4:$C$503,_calc!$E$362))=0,"",INDEX('Our policies'!$C$4:$C$503,_calc!$E$362)))=0,"","Insurer: "&amp;IF(LEN(INDEX('Our policies'!$C$4:$C$503,_calc!$E$362))=0,"",INDEX('Our policies'!$C$4:$C$503,_calc!$E$362))&amp;". ")&amp;IF(LEN(IF(LEN(INDEX('Our policies'!$D$4:$D$503,_calc!$E$362))=0,"",INDEX('Our policies'!$D$4:$D$503,_calc!$E$362)))=0,"","Broker: "&amp;IF(LEN(INDEX('Our policies'!$D$4:$D$503,_calc!$E$362))=0,"",INDEX('Our policies'!$D$4:$D$503,_calc!$E$362))&amp;". ")&amp;IF(LEN(IF(LEN(INDEX('Our policies'!$E$4:$E$503,_calc!$E$362))=0,"",INDEX('Our policies'!$E$4:$E$503,_calc!$E$362)))=0,"","Policy no.: "&amp;IF(LEN(INDEX('Our policies'!$E$4:$E$503,_calc!$E$362))=0,"",INDEX('Our policies'!$E$4:$E$503,_calc!$E$362))&amp;". ")&amp;IF(LEN(IF(LEN(INDEX('Our policies'!$S$4:$S$503,_calc!$E$362))=0,"",INDEX('Our policies'!$S$4:$S$503,_calc!$E$362)))=0,"",IF(LEN(INDEX('Our policies'!$S$4:$S$503,_calc!$E$362))=0,"",INDEX('Our policies'!$S$4:$S$503,_calc!$E$362)))),TRIM(IF(LEN(IF(LEN(INDEX('Vendor COIs'!$C$4:$C$503,(_calc!$E$362-500)))=0,"",INDEX('Vendor COIs'!$C$4:$C$503,(_calc!$E$362-500))))=0,"","Insurer: "&amp;IF(LEN(INDEX('Vendor COIs'!$C$4:$C$503,(_calc!$E$362-500)))=0,"",INDEX('Vendor COIs'!$C$4:$C$503,(_calc!$E$362-500)))&amp;". ")&amp;IF(LEN(IF(LEN(INDEX('Vendor COIs'!$D$4:$D$503,(_calc!$E$362-500)))=0,"",INDEX('Vendor COIs'!$D$4:$D$503,(_calc!$E$362-500))))=0,"","Policy no.: "&amp;IF(LEN(INDEX('Vendor COIs'!$D$4:$D$503,(_calc!$E$362-500)))=0,"",INDEX('Vendor COIs'!$D$4:$D$503,(_calc!$E$362-500)))&amp;". ")&amp;IF(LEN(IF(LEN(INDEX('Vendor COIs'!$F$4:$F$503,(_calc!$E$362-500)))=0,"",INDEX('Vendor COIs'!$F$4:$F$503,(_calc!$E$362-500))))=0,"","Meets minimum: "&amp;IF(LEN(INDEX('Vendor COIs'!$F$4:$F$503,(_calc!$E$362-500)))=0,"",INDEX('Vendor COIs'!$F$4:$F$503,(_calc!$E$362-500)))&amp;". ")&amp;IF(LEN(IF(LEN(INDEX('Vendor COIs'!$G$4:$G$503,(_calc!$E$362-500)))=0,"",INDEX('Vendor COIs'!$G$4:$G$503,(_calc!$E$362-500))))=0,"","Additional insured: "&amp;IF(LEN(INDEX('Vendor COIs'!$G$4:$G$503,(_calc!$E$362-500)))=0,"",INDEX('Vendor COIs'!$G$4:$G$503,(_calc!$E$362-500)))&amp;". ")&amp;IF(LEN(IF(LEN(INDEX('Vendor COIs'!$M$4:$M$503,(_calc!$E$362-500)))=0,"",INDEX('Vendor COIs'!$M$4:$M$503,(_calc!$E$362-500))))=0,"","Vendor contact: "&amp;IF(LEN(INDEX('Vendor COIs'!$M$4:$M$503,(_calc!$E$362-500)))=0,"",INDEX('Vendor COIs'!$M$4:$M$503,(_calc!$E$362-500)))&amp;". ")&amp;IF(LEN(IF(LEN(INDEX('Vendor COIs'!$P$4:$P$503,(_calc!$E$362-500)))=0,"",INDEX('Vendor COIs'!$P$4:$P$503,(_calc!$E$362-500))))=0,"",IF(LEN(INDEX('Vendor COIs'!$P$4:$P$503,(_calc!$E$362-500)))=0,"",INDEX('Vendor COIs'!$P$4:$P$503,(_calc!$E$362-500)))))))</f>
        <v/>
      </c>
      <c r="G360" s="46">
        <f>IF(_calc!$E$362="","",IF(_calc!$E$362&lt;=500,IF(LEN(INDEX('Our policies'!$R$4:$R$503,_calc!$E$362))=0,"",INDEX('Our policies'!$R$4:$R$503,_calc!$E$362)),IF(LEN(INDEX('Vendor COIs'!$O$4:$O$503,(_calc!$E$362-500)))=0,"",INDEX('Vendor COIs'!$O$4:$O$503,(_calc!$E$362-500)))))</f>
        <v/>
      </c>
      <c r="H360" s="46">
        <f>IF(_calc!$E$362="","",IF(_calc!$E$362&lt;=500,IF(LEN(INDEX('Our policies'!$G$4:$G$503,_calc!$E$362))=0,"",INDEX('Our policies'!$G$4:$G$503,_calc!$E$362)),""))</f>
        <v/>
      </c>
      <c r="I360" s="46">
        <f>IF(_calc!$E$362="","",IF(_calc!$E$362&lt;=500,IF(LEN(INDEX('Our policies'!$H$4:$H$503,_calc!$E$362))=0,"",INDEX('Our policies'!$H$4:$H$503,_calc!$E$362)),""))</f>
        <v/>
      </c>
      <c r="K360" s="46">
        <f>IF(_calc!$E$362="","",IF(_calc!$E$362&lt;=500,IF(LEN(INDEX('Our policies'!$P$4:$P$503,_calc!$E$362))=0,"",INDEX('Our policies'!$P$4:$P$503,_calc!$E$362)),IF(LEN(INDEX('Vendor COIs'!$N$4:$N$503,(_calc!$E$362-500)))=0,"",INDEX('Vendor COIs'!$N$4:$N$503,(_calc!$E$362-500)))))</f>
        <v/>
      </c>
    </row>
    <row r="361">
      <c r="A361" s="46">
        <f>IF(_calc!$E$363="","",IF(_calc!$E$363&lt;=500,IF(LEN(INDEX('Our policies'!$A$4:$A$503,_calc!$E$363))=0,"",INDEX('Our policies'!$A$4:$A$503,_calc!$E$363)),"COI – "&amp;IF(LEN(INDEX('Vendor COIs'!$A$4:$A$503,(_calc!$E$363-500)))=0,"",INDEX('Vendor COIs'!$A$4:$A$503,(_calc!$E$363-500)))&amp;" – "&amp;IF(LEN(INDEX('Vendor COIs'!$B$4:$B$503,(_calc!$E$363-500)))=0,"",INDEX('Vendor COIs'!$B$4:$B$503,(_calc!$E$363-500)))))</f>
        <v/>
      </c>
      <c r="B361" s="46">
        <f>IF(_calc!$E$363="","",IF(_calc!$E$363&lt;=500,IF(ISNUMBER(INDEX('Our policies'!$J$4:$J$503,_calc!$E$363)),TEXT(INDEX('Our policies'!$J$4:$J$503,_calc!$E$363),"yyyy-mm-dd"),""),IF(ISNUMBER(INDEX('Vendor COIs'!$H$4:$H$503,(_calc!$E$363-500))),TEXT(INDEX('Vendor COIs'!$H$4:$H$503,(_calc!$E$363-500)),"yyyy-mm-dd"),"")))</f>
        <v/>
      </c>
      <c r="C361" s="46">
        <f>IF(_calc!$E$363="","",IF(_calc!$E$363&lt;=500,"Insurance","Certificate of insurance"))</f>
        <v/>
      </c>
      <c r="D361" s="46">
        <f>IF(_calc!$E$363="","",IF(_calc!$E$363&lt;=500,IF(ISNUMBER(INDEX('Our policies'!$I$4:$I$503,_calc!$E$363)),TEXT(INDEX('Our policies'!$I$4:$I$503,_calc!$E$363),"yyyy-mm-dd"),""),""))</f>
        <v/>
      </c>
      <c r="E361" s="46">
        <f>IF(_calc!$E$363="","",IF(_calc!$E$363&lt;=500,IF(LEN(INDEX('Our policies'!$Q$4:$Q$503,_calc!$E$363))=0,"",INDEX('Our policies'!$Q$4:$Q$503,_calc!$E$363)),"Medium"))</f>
        <v/>
      </c>
      <c r="F361" s="46">
        <f>IF(_calc!$E$363="","",IF(_calc!$E$363&lt;=500,TRIM(IF(LEN(IF(LEN(INDEX('Our policies'!$B$4:$B$503,_calc!$E$363))=0,"",INDEX('Our policies'!$B$4:$B$503,_calc!$E$363)))=0,"","Cover: "&amp;IF(LEN(INDEX('Our policies'!$B$4:$B$503,_calc!$E$363))=0,"",INDEX('Our policies'!$B$4:$B$503,_calc!$E$363))&amp;". ")&amp;IF(LEN(IF(LEN(INDEX('Our policies'!$C$4:$C$503,_calc!$E$363))=0,"",INDEX('Our policies'!$C$4:$C$503,_calc!$E$363)))=0,"","Insurer: "&amp;IF(LEN(INDEX('Our policies'!$C$4:$C$503,_calc!$E$363))=0,"",INDEX('Our policies'!$C$4:$C$503,_calc!$E$363))&amp;". ")&amp;IF(LEN(IF(LEN(INDEX('Our policies'!$D$4:$D$503,_calc!$E$363))=0,"",INDEX('Our policies'!$D$4:$D$503,_calc!$E$363)))=0,"","Broker: "&amp;IF(LEN(INDEX('Our policies'!$D$4:$D$503,_calc!$E$363))=0,"",INDEX('Our policies'!$D$4:$D$503,_calc!$E$363))&amp;". ")&amp;IF(LEN(IF(LEN(INDEX('Our policies'!$E$4:$E$503,_calc!$E$363))=0,"",INDEX('Our policies'!$E$4:$E$503,_calc!$E$363)))=0,"","Policy no.: "&amp;IF(LEN(INDEX('Our policies'!$E$4:$E$503,_calc!$E$363))=0,"",INDEX('Our policies'!$E$4:$E$503,_calc!$E$363))&amp;". ")&amp;IF(LEN(IF(LEN(INDEX('Our policies'!$S$4:$S$503,_calc!$E$363))=0,"",INDEX('Our policies'!$S$4:$S$503,_calc!$E$363)))=0,"",IF(LEN(INDEX('Our policies'!$S$4:$S$503,_calc!$E$363))=0,"",INDEX('Our policies'!$S$4:$S$503,_calc!$E$363)))),TRIM(IF(LEN(IF(LEN(INDEX('Vendor COIs'!$C$4:$C$503,(_calc!$E$363-500)))=0,"",INDEX('Vendor COIs'!$C$4:$C$503,(_calc!$E$363-500))))=0,"","Insurer: "&amp;IF(LEN(INDEX('Vendor COIs'!$C$4:$C$503,(_calc!$E$363-500)))=0,"",INDEX('Vendor COIs'!$C$4:$C$503,(_calc!$E$363-500)))&amp;". ")&amp;IF(LEN(IF(LEN(INDEX('Vendor COIs'!$D$4:$D$503,(_calc!$E$363-500)))=0,"",INDEX('Vendor COIs'!$D$4:$D$503,(_calc!$E$363-500))))=0,"","Policy no.: "&amp;IF(LEN(INDEX('Vendor COIs'!$D$4:$D$503,(_calc!$E$363-500)))=0,"",INDEX('Vendor COIs'!$D$4:$D$503,(_calc!$E$363-500)))&amp;". ")&amp;IF(LEN(IF(LEN(INDEX('Vendor COIs'!$F$4:$F$503,(_calc!$E$363-500)))=0,"",INDEX('Vendor COIs'!$F$4:$F$503,(_calc!$E$363-500))))=0,"","Meets minimum: "&amp;IF(LEN(INDEX('Vendor COIs'!$F$4:$F$503,(_calc!$E$363-500)))=0,"",INDEX('Vendor COIs'!$F$4:$F$503,(_calc!$E$363-500)))&amp;". ")&amp;IF(LEN(IF(LEN(INDEX('Vendor COIs'!$G$4:$G$503,(_calc!$E$363-500)))=0,"",INDEX('Vendor COIs'!$G$4:$G$503,(_calc!$E$363-500))))=0,"","Additional insured: "&amp;IF(LEN(INDEX('Vendor COIs'!$G$4:$G$503,(_calc!$E$363-500)))=0,"",INDEX('Vendor COIs'!$G$4:$G$503,(_calc!$E$363-500)))&amp;". ")&amp;IF(LEN(IF(LEN(INDEX('Vendor COIs'!$M$4:$M$503,(_calc!$E$363-500)))=0,"",INDEX('Vendor COIs'!$M$4:$M$503,(_calc!$E$363-500))))=0,"","Vendor contact: "&amp;IF(LEN(INDEX('Vendor COIs'!$M$4:$M$503,(_calc!$E$363-500)))=0,"",INDEX('Vendor COIs'!$M$4:$M$503,(_calc!$E$363-500)))&amp;". ")&amp;IF(LEN(IF(LEN(INDEX('Vendor COIs'!$P$4:$P$503,(_calc!$E$363-500)))=0,"",INDEX('Vendor COIs'!$P$4:$P$503,(_calc!$E$363-500))))=0,"",IF(LEN(INDEX('Vendor COIs'!$P$4:$P$503,(_calc!$E$363-500)))=0,"",INDEX('Vendor COIs'!$P$4:$P$503,(_calc!$E$363-500)))))))</f>
        <v/>
      </c>
      <c r="G361" s="46">
        <f>IF(_calc!$E$363="","",IF(_calc!$E$363&lt;=500,IF(LEN(INDEX('Our policies'!$R$4:$R$503,_calc!$E$363))=0,"",INDEX('Our policies'!$R$4:$R$503,_calc!$E$363)),IF(LEN(INDEX('Vendor COIs'!$O$4:$O$503,(_calc!$E$363-500)))=0,"",INDEX('Vendor COIs'!$O$4:$O$503,(_calc!$E$363-500)))))</f>
        <v/>
      </c>
      <c r="H361" s="46">
        <f>IF(_calc!$E$363="","",IF(_calc!$E$363&lt;=500,IF(LEN(INDEX('Our policies'!$G$4:$G$503,_calc!$E$363))=0,"",INDEX('Our policies'!$G$4:$G$503,_calc!$E$363)),""))</f>
        <v/>
      </c>
      <c r="I361" s="46">
        <f>IF(_calc!$E$363="","",IF(_calc!$E$363&lt;=500,IF(LEN(INDEX('Our policies'!$H$4:$H$503,_calc!$E$363))=0,"",INDEX('Our policies'!$H$4:$H$503,_calc!$E$363)),""))</f>
        <v/>
      </c>
      <c r="K361" s="46">
        <f>IF(_calc!$E$363="","",IF(_calc!$E$363&lt;=500,IF(LEN(INDEX('Our policies'!$P$4:$P$503,_calc!$E$363))=0,"",INDEX('Our policies'!$P$4:$P$503,_calc!$E$363)),IF(LEN(INDEX('Vendor COIs'!$N$4:$N$503,(_calc!$E$363-500)))=0,"",INDEX('Vendor COIs'!$N$4:$N$503,(_calc!$E$363-500)))))</f>
        <v/>
      </c>
    </row>
    <row r="362">
      <c r="A362" s="46">
        <f>IF(_calc!$E$364="","",IF(_calc!$E$364&lt;=500,IF(LEN(INDEX('Our policies'!$A$4:$A$503,_calc!$E$364))=0,"",INDEX('Our policies'!$A$4:$A$503,_calc!$E$364)),"COI – "&amp;IF(LEN(INDEX('Vendor COIs'!$A$4:$A$503,(_calc!$E$364-500)))=0,"",INDEX('Vendor COIs'!$A$4:$A$503,(_calc!$E$364-500)))&amp;" – "&amp;IF(LEN(INDEX('Vendor COIs'!$B$4:$B$503,(_calc!$E$364-500)))=0,"",INDEX('Vendor COIs'!$B$4:$B$503,(_calc!$E$364-500)))))</f>
        <v/>
      </c>
      <c r="B362" s="46">
        <f>IF(_calc!$E$364="","",IF(_calc!$E$364&lt;=500,IF(ISNUMBER(INDEX('Our policies'!$J$4:$J$503,_calc!$E$364)),TEXT(INDEX('Our policies'!$J$4:$J$503,_calc!$E$364),"yyyy-mm-dd"),""),IF(ISNUMBER(INDEX('Vendor COIs'!$H$4:$H$503,(_calc!$E$364-500))),TEXT(INDEX('Vendor COIs'!$H$4:$H$503,(_calc!$E$364-500)),"yyyy-mm-dd"),"")))</f>
        <v/>
      </c>
      <c r="C362" s="46">
        <f>IF(_calc!$E$364="","",IF(_calc!$E$364&lt;=500,"Insurance","Certificate of insurance"))</f>
        <v/>
      </c>
      <c r="D362" s="46">
        <f>IF(_calc!$E$364="","",IF(_calc!$E$364&lt;=500,IF(ISNUMBER(INDEX('Our policies'!$I$4:$I$503,_calc!$E$364)),TEXT(INDEX('Our policies'!$I$4:$I$503,_calc!$E$364),"yyyy-mm-dd"),""),""))</f>
        <v/>
      </c>
      <c r="E362" s="46">
        <f>IF(_calc!$E$364="","",IF(_calc!$E$364&lt;=500,IF(LEN(INDEX('Our policies'!$Q$4:$Q$503,_calc!$E$364))=0,"",INDEX('Our policies'!$Q$4:$Q$503,_calc!$E$364)),"Medium"))</f>
        <v/>
      </c>
      <c r="F362" s="46">
        <f>IF(_calc!$E$364="","",IF(_calc!$E$364&lt;=500,TRIM(IF(LEN(IF(LEN(INDEX('Our policies'!$B$4:$B$503,_calc!$E$364))=0,"",INDEX('Our policies'!$B$4:$B$503,_calc!$E$364)))=0,"","Cover: "&amp;IF(LEN(INDEX('Our policies'!$B$4:$B$503,_calc!$E$364))=0,"",INDEX('Our policies'!$B$4:$B$503,_calc!$E$364))&amp;". ")&amp;IF(LEN(IF(LEN(INDEX('Our policies'!$C$4:$C$503,_calc!$E$364))=0,"",INDEX('Our policies'!$C$4:$C$503,_calc!$E$364)))=0,"","Insurer: "&amp;IF(LEN(INDEX('Our policies'!$C$4:$C$503,_calc!$E$364))=0,"",INDEX('Our policies'!$C$4:$C$503,_calc!$E$364))&amp;". ")&amp;IF(LEN(IF(LEN(INDEX('Our policies'!$D$4:$D$503,_calc!$E$364))=0,"",INDEX('Our policies'!$D$4:$D$503,_calc!$E$364)))=0,"","Broker: "&amp;IF(LEN(INDEX('Our policies'!$D$4:$D$503,_calc!$E$364))=0,"",INDEX('Our policies'!$D$4:$D$503,_calc!$E$364))&amp;". ")&amp;IF(LEN(IF(LEN(INDEX('Our policies'!$E$4:$E$503,_calc!$E$364))=0,"",INDEX('Our policies'!$E$4:$E$503,_calc!$E$364)))=0,"","Policy no.: "&amp;IF(LEN(INDEX('Our policies'!$E$4:$E$503,_calc!$E$364))=0,"",INDEX('Our policies'!$E$4:$E$503,_calc!$E$364))&amp;". ")&amp;IF(LEN(IF(LEN(INDEX('Our policies'!$S$4:$S$503,_calc!$E$364))=0,"",INDEX('Our policies'!$S$4:$S$503,_calc!$E$364)))=0,"",IF(LEN(INDEX('Our policies'!$S$4:$S$503,_calc!$E$364))=0,"",INDEX('Our policies'!$S$4:$S$503,_calc!$E$364)))),TRIM(IF(LEN(IF(LEN(INDEX('Vendor COIs'!$C$4:$C$503,(_calc!$E$364-500)))=0,"",INDEX('Vendor COIs'!$C$4:$C$503,(_calc!$E$364-500))))=0,"","Insurer: "&amp;IF(LEN(INDEX('Vendor COIs'!$C$4:$C$503,(_calc!$E$364-500)))=0,"",INDEX('Vendor COIs'!$C$4:$C$503,(_calc!$E$364-500)))&amp;". ")&amp;IF(LEN(IF(LEN(INDEX('Vendor COIs'!$D$4:$D$503,(_calc!$E$364-500)))=0,"",INDEX('Vendor COIs'!$D$4:$D$503,(_calc!$E$364-500))))=0,"","Policy no.: "&amp;IF(LEN(INDEX('Vendor COIs'!$D$4:$D$503,(_calc!$E$364-500)))=0,"",INDEX('Vendor COIs'!$D$4:$D$503,(_calc!$E$364-500)))&amp;". ")&amp;IF(LEN(IF(LEN(INDEX('Vendor COIs'!$F$4:$F$503,(_calc!$E$364-500)))=0,"",INDEX('Vendor COIs'!$F$4:$F$503,(_calc!$E$364-500))))=0,"","Meets minimum: "&amp;IF(LEN(INDEX('Vendor COIs'!$F$4:$F$503,(_calc!$E$364-500)))=0,"",INDEX('Vendor COIs'!$F$4:$F$503,(_calc!$E$364-500)))&amp;". ")&amp;IF(LEN(IF(LEN(INDEX('Vendor COIs'!$G$4:$G$503,(_calc!$E$364-500)))=0,"",INDEX('Vendor COIs'!$G$4:$G$503,(_calc!$E$364-500))))=0,"","Additional insured: "&amp;IF(LEN(INDEX('Vendor COIs'!$G$4:$G$503,(_calc!$E$364-500)))=0,"",INDEX('Vendor COIs'!$G$4:$G$503,(_calc!$E$364-500)))&amp;". ")&amp;IF(LEN(IF(LEN(INDEX('Vendor COIs'!$M$4:$M$503,(_calc!$E$364-500)))=0,"",INDEX('Vendor COIs'!$M$4:$M$503,(_calc!$E$364-500))))=0,"","Vendor contact: "&amp;IF(LEN(INDEX('Vendor COIs'!$M$4:$M$503,(_calc!$E$364-500)))=0,"",INDEX('Vendor COIs'!$M$4:$M$503,(_calc!$E$364-500)))&amp;". ")&amp;IF(LEN(IF(LEN(INDEX('Vendor COIs'!$P$4:$P$503,(_calc!$E$364-500)))=0,"",INDEX('Vendor COIs'!$P$4:$P$503,(_calc!$E$364-500))))=0,"",IF(LEN(INDEX('Vendor COIs'!$P$4:$P$503,(_calc!$E$364-500)))=0,"",INDEX('Vendor COIs'!$P$4:$P$503,(_calc!$E$364-500)))))))</f>
        <v/>
      </c>
      <c r="G362" s="46">
        <f>IF(_calc!$E$364="","",IF(_calc!$E$364&lt;=500,IF(LEN(INDEX('Our policies'!$R$4:$R$503,_calc!$E$364))=0,"",INDEX('Our policies'!$R$4:$R$503,_calc!$E$364)),IF(LEN(INDEX('Vendor COIs'!$O$4:$O$503,(_calc!$E$364-500)))=0,"",INDEX('Vendor COIs'!$O$4:$O$503,(_calc!$E$364-500)))))</f>
        <v/>
      </c>
      <c r="H362" s="46">
        <f>IF(_calc!$E$364="","",IF(_calc!$E$364&lt;=500,IF(LEN(INDEX('Our policies'!$G$4:$G$503,_calc!$E$364))=0,"",INDEX('Our policies'!$G$4:$G$503,_calc!$E$364)),""))</f>
        <v/>
      </c>
      <c r="I362" s="46">
        <f>IF(_calc!$E$364="","",IF(_calc!$E$364&lt;=500,IF(LEN(INDEX('Our policies'!$H$4:$H$503,_calc!$E$364))=0,"",INDEX('Our policies'!$H$4:$H$503,_calc!$E$364)),""))</f>
        <v/>
      </c>
      <c r="K362" s="46">
        <f>IF(_calc!$E$364="","",IF(_calc!$E$364&lt;=500,IF(LEN(INDEX('Our policies'!$P$4:$P$503,_calc!$E$364))=0,"",INDEX('Our policies'!$P$4:$P$503,_calc!$E$364)),IF(LEN(INDEX('Vendor COIs'!$N$4:$N$503,(_calc!$E$364-500)))=0,"",INDEX('Vendor COIs'!$N$4:$N$503,(_calc!$E$364-500)))))</f>
        <v/>
      </c>
    </row>
    <row r="363">
      <c r="A363" s="46">
        <f>IF(_calc!$E$365="","",IF(_calc!$E$365&lt;=500,IF(LEN(INDEX('Our policies'!$A$4:$A$503,_calc!$E$365))=0,"",INDEX('Our policies'!$A$4:$A$503,_calc!$E$365)),"COI – "&amp;IF(LEN(INDEX('Vendor COIs'!$A$4:$A$503,(_calc!$E$365-500)))=0,"",INDEX('Vendor COIs'!$A$4:$A$503,(_calc!$E$365-500)))&amp;" – "&amp;IF(LEN(INDEX('Vendor COIs'!$B$4:$B$503,(_calc!$E$365-500)))=0,"",INDEX('Vendor COIs'!$B$4:$B$503,(_calc!$E$365-500)))))</f>
        <v/>
      </c>
      <c r="B363" s="46">
        <f>IF(_calc!$E$365="","",IF(_calc!$E$365&lt;=500,IF(ISNUMBER(INDEX('Our policies'!$J$4:$J$503,_calc!$E$365)),TEXT(INDEX('Our policies'!$J$4:$J$503,_calc!$E$365),"yyyy-mm-dd"),""),IF(ISNUMBER(INDEX('Vendor COIs'!$H$4:$H$503,(_calc!$E$365-500))),TEXT(INDEX('Vendor COIs'!$H$4:$H$503,(_calc!$E$365-500)),"yyyy-mm-dd"),"")))</f>
        <v/>
      </c>
      <c r="C363" s="46">
        <f>IF(_calc!$E$365="","",IF(_calc!$E$365&lt;=500,"Insurance","Certificate of insurance"))</f>
        <v/>
      </c>
      <c r="D363" s="46">
        <f>IF(_calc!$E$365="","",IF(_calc!$E$365&lt;=500,IF(ISNUMBER(INDEX('Our policies'!$I$4:$I$503,_calc!$E$365)),TEXT(INDEX('Our policies'!$I$4:$I$503,_calc!$E$365),"yyyy-mm-dd"),""),""))</f>
        <v/>
      </c>
      <c r="E363" s="46">
        <f>IF(_calc!$E$365="","",IF(_calc!$E$365&lt;=500,IF(LEN(INDEX('Our policies'!$Q$4:$Q$503,_calc!$E$365))=0,"",INDEX('Our policies'!$Q$4:$Q$503,_calc!$E$365)),"Medium"))</f>
        <v/>
      </c>
      <c r="F363" s="46">
        <f>IF(_calc!$E$365="","",IF(_calc!$E$365&lt;=500,TRIM(IF(LEN(IF(LEN(INDEX('Our policies'!$B$4:$B$503,_calc!$E$365))=0,"",INDEX('Our policies'!$B$4:$B$503,_calc!$E$365)))=0,"","Cover: "&amp;IF(LEN(INDEX('Our policies'!$B$4:$B$503,_calc!$E$365))=0,"",INDEX('Our policies'!$B$4:$B$503,_calc!$E$365))&amp;". ")&amp;IF(LEN(IF(LEN(INDEX('Our policies'!$C$4:$C$503,_calc!$E$365))=0,"",INDEX('Our policies'!$C$4:$C$503,_calc!$E$365)))=0,"","Insurer: "&amp;IF(LEN(INDEX('Our policies'!$C$4:$C$503,_calc!$E$365))=0,"",INDEX('Our policies'!$C$4:$C$503,_calc!$E$365))&amp;". ")&amp;IF(LEN(IF(LEN(INDEX('Our policies'!$D$4:$D$503,_calc!$E$365))=0,"",INDEX('Our policies'!$D$4:$D$503,_calc!$E$365)))=0,"","Broker: "&amp;IF(LEN(INDEX('Our policies'!$D$4:$D$503,_calc!$E$365))=0,"",INDEX('Our policies'!$D$4:$D$503,_calc!$E$365))&amp;". ")&amp;IF(LEN(IF(LEN(INDEX('Our policies'!$E$4:$E$503,_calc!$E$365))=0,"",INDEX('Our policies'!$E$4:$E$503,_calc!$E$365)))=0,"","Policy no.: "&amp;IF(LEN(INDEX('Our policies'!$E$4:$E$503,_calc!$E$365))=0,"",INDEX('Our policies'!$E$4:$E$503,_calc!$E$365))&amp;". ")&amp;IF(LEN(IF(LEN(INDEX('Our policies'!$S$4:$S$503,_calc!$E$365))=0,"",INDEX('Our policies'!$S$4:$S$503,_calc!$E$365)))=0,"",IF(LEN(INDEX('Our policies'!$S$4:$S$503,_calc!$E$365))=0,"",INDEX('Our policies'!$S$4:$S$503,_calc!$E$365)))),TRIM(IF(LEN(IF(LEN(INDEX('Vendor COIs'!$C$4:$C$503,(_calc!$E$365-500)))=0,"",INDEX('Vendor COIs'!$C$4:$C$503,(_calc!$E$365-500))))=0,"","Insurer: "&amp;IF(LEN(INDEX('Vendor COIs'!$C$4:$C$503,(_calc!$E$365-500)))=0,"",INDEX('Vendor COIs'!$C$4:$C$503,(_calc!$E$365-500)))&amp;". ")&amp;IF(LEN(IF(LEN(INDEX('Vendor COIs'!$D$4:$D$503,(_calc!$E$365-500)))=0,"",INDEX('Vendor COIs'!$D$4:$D$503,(_calc!$E$365-500))))=0,"","Policy no.: "&amp;IF(LEN(INDEX('Vendor COIs'!$D$4:$D$503,(_calc!$E$365-500)))=0,"",INDEX('Vendor COIs'!$D$4:$D$503,(_calc!$E$365-500)))&amp;". ")&amp;IF(LEN(IF(LEN(INDEX('Vendor COIs'!$F$4:$F$503,(_calc!$E$365-500)))=0,"",INDEX('Vendor COIs'!$F$4:$F$503,(_calc!$E$365-500))))=0,"","Meets minimum: "&amp;IF(LEN(INDEX('Vendor COIs'!$F$4:$F$503,(_calc!$E$365-500)))=0,"",INDEX('Vendor COIs'!$F$4:$F$503,(_calc!$E$365-500)))&amp;". ")&amp;IF(LEN(IF(LEN(INDEX('Vendor COIs'!$G$4:$G$503,(_calc!$E$365-500)))=0,"",INDEX('Vendor COIs'!$G$4:$G$503,(_calc!$E$365-500))))=0,"","Additional insured: "&amp;IF(LEN(INDEX('Vendor COIs'!$G$4:$G$503,(_calc!$E$365-500)))=0,"",INDEX('Vendor COIs'!$G$4:$G$503,(_calc!$E$365-500)))&amp;". ")&amp;IF(LEN(IF(LEN(INDEX('Vendor COIs'!$M$4:$M$503,(_calc!$E$365-500)))=0,"",INDEX('Vendor COIs'!$M$4:$M$503,(_calc!$E$365-500))))=0,"","Vendor contact: "&amp;IF(LEN(INDEX('Vendor COIs'!$M$4:$M$503,(_calc!$E$365-500)))=0,"",INDEX('Vendor COIs'!$M$4:$M$503,(_calc!$E$365-500)))&amp;". ")&amp;IF(LEN(IF(LEN(INDEX('Vendor COIs'!$P$4:$P$503,(_calc!$E$365-500)))=0,"",INDEX('Vendor COIs'!$P$4:$P$503,(_calc!$E$365-500))))=0,"",IF(LEN(INDEX('Vendor COIs'!$P$4:$P$503,(_calc!$E$365-500)))=0,"",INDEX('Vendor COIs'!$P$4:$P$503,(_calc!$E$365-500)))))))</f>
        <v/>
      </c>
      <c r="G363" s="46">
        <f>IF(_calc!$E$365="","",IF(_calc!$E$365&lt;=500,IF(LEN(INDEX('Our policies'!$R$4:$R$503,_calc!$E$365))=0,"",INDEX('Our policies'!$R$4:$R$503,_calc!$E$365)),IF(LEN(INDEX('Vendor COIs'!$O$4:$O$503,(_calc!$E$365-500)))=0,"",INDEX('Vendor COIs'!$O$4:$O$503,(_calc!$E$365-500)))))</f>
        <v/>
      </c>
      <c r="H363" s="46">
        <f>IF(_calc!$E$365="","",IF(_calc!$E$365&lt;=500,IF(LEN(INDEX('Our policies'!$G$4:$G$503,_calc!$E$365))=0,"",INDEX('Our policies'!$G$4:$G$503,_calc!$E$365)),""))</f>
        <v/>
      </c>
      <c r="I363" s="46">
        <f>IF(_calc!$E$365="","",IF(_calc!$E$365&lt;=500,IF(LEN(INDEX('Our policies'!$H$4:$H$503,_calc!$E$365))=0,"",INDEX('Our policies'!$H$4:$H$503,_calc!$E$365)),""))</f>
        <v/>
      </c>
      <c r="K363" s="46">
        <f>IF(_calc!$E$365="","",IF(_calc!$E$365&lt;=500,IF(LEN(INDEX('Our policies'!$P$4:$P$503,_calc!$E$365))=0,"",INDEX('Our policies'!$P$4:$P$503,_calc!$E$365)),IF(LEN(INDEX('Vendor COIs'!$N$4:$N$503,(_calc!$E$365-500)))=0,"",INDEX('Vendor COIs'!$N$4:$N$503,(_calc!$E$365-500)))))</f>
        <v/>
      </c>
    </row>
    <row r="364">
      <c r="A364" s="46">
        <f>IF(_calc!$E$366="","",IF(_calc!$E$366&lt;=500,IF(LEN(INDEX('Our policies'!$A$4:$A$503,_calc!$E$366))=0,"",INDEX('Our policies'!$A$4:$A$503,_calc!$E$366)),"COI – "&amp;IF(LEN(INDEX('Vendor COIs'!$A$4:$A$503,(_calc!$E$366-500)))=0,"",INDEX('Vendor COIs'!$A$4:$A$503,(_calc!$E$366-500)))&amp;" – "&amp;IF(LEN(INDEX('Vendor COIs'!$B$4:$B$503,(_calc!$E$366-500)))=0,"",INDEX('Vendor COIs'!$B$4:$B$503,(_calc!$E$366-500)))))</f>
        <v/>
      </c>
      <c r="B364" s="46">
        <f>IF(_calc!$E$366="","",IF(_calc!$E$366&lt;=500,IF(ISNUMBER(INDEX('Our policies'!$J$4:$J$503,_calc!$E$366)),TEXT(INDEX('Our policies'!$J$4:$J$503,_calc!$E$366),"yyyy-mm-dd"),""),IF(ISNUMBER(INDEX('Vendor COIs'!$H$4:$H$503,(_calc!$E$366-500))),TEXT(INDEX('Vendor COIs'!$H$4:$H$503,(_calc!$E$366-500)),"yyyy-mm-dd"),"")))</f>
        <v/>
      </c>
      <c r="C364" s="46">
        <f>IF(_calc!$E$366="","",IF(_calc!$E$366&lt;=500,"Insurance","Certificate of insurance"))</f>
        <v/>
      </c>
      <c r="D364" s="46">
        <f>IF(_calc!$E$366="","",IF(_calc!$E$366&lt;=500,IF(ISNUMBER(INDEX('Our policies'!$I$4:$I$503,_calc!$E$366)),TEXT(INDEX('Our policies'!$I$4:$I$503,_calc!$E$366),"yyyy-mm-dd"),""),""))</f>
        <v/>
      </c>
      <c r="E364" s="46">
        <f>IF(_calc!$E$366="","",IF(_calc!$E$366&lt;=500,IF(LEN(INDEX('Our policies'!$Q$4:$Q$503,_calc!$E$366))=0,"",INDEX('Our policies'!$Q$4:$Q$503,_calc!$E$366)),"Medium"))</f>
        <v/>
      </c>
      <c r="F364" s="46">
        <f>IF(_calc!$E$366="","",IF(_calc!$E$366&lt;=500,TRIM(IF(LEN(IF(LEN(INDEX('Our policies'!$B$4:$B$503,_calc!$E$366))=0,"",INDEX('Our policies'!$B$4:$B$503,_calc!$E$366)))=0,"","Cover: "&amp;IF(LEN(INDEX('Our policies'!$B$4:$B$503,_calc!$E$366))=0,"",INDEX('Our policies'!$B$4:$B$503,_calc!$E$366))&amp;". ")&amp;IF(LEN(IF(LEN(INDEX('Our policies'!$C$4:$C$503,_calc!$E$366))=0,"",INDEX('Our policies'!$C$4:$C$503,_calc!$E$366)))=0,"","Insurer: "&amp;IF(LEN(INDEX('Our policies'!$C$4:$C$503,_calc!$E$366))=0,"",INDEX('Our policies'!$C$4:$C$503,_calc!$E$366))&amp;". ")&amp;IF(LEN(IF(LEN(INDEX('Our policies'!$D$4:$D$503,_calc!$E$366))=0,"",INDEX('Our policies'!$D$4:$D$503,_calc!$E$366)))=0,"","Broker: "&amp;IF(LEN(INDEX('Our policies'!$D$4:$D$503,_calc!$E$366))=0,"",INDEX('Our policies'!$D$4:$D$503,_calc!$E$366))&amp;". ")&amp;IF(LEN(IF(LEN(INDEX('Our policies'!$E$4:$E$503,_calc!$E$366))=0,"",INDEX('Our policies'!$E$4:$E$503,_calc!$E$366)))=0,"","Policy no.: "&amp;IF(LEN(INDEX('Our policies'!$E$4:$E$503,_calc!$E$366))=0,"",INDEX('Our policies'!$E$4:$E$503,_calc!$E$366))&amp;". ")&amp;IF(LEN(IF(LEN(INDEX('Our policies'!$S$4:$S$503,_calc!$E$366))=0,"",INDEX('Our policies'!$S$4:$S$503,_calc!$E$366)))=0,"",IF(LEN(INDEX('Our policies'!$S$4:$S$503,_calc!$E$366))=0,"",INDEX('Our policies'!$S$4:$S$503,_calc!$E$366)))),TRIM(IF(LEN(IF(LEN(INDEX('Vendor COIs'!$C$4:$C$503,(_calc!$E$366-500)))=0,"",INDEX('Vendor COIs'!$C$4:$C$503,(_calc!$E$366-500))))=0,"","Insurer: "&amp;IF(LEN(INDEX('Vendor COIs'!$C$4:$C$503,(_calc!$E$366-500)))=0,"",INDEX('Vendor COIs'!$C$4:$C$503,(_calc!$E$366-500)))&amp;". ")&amp;IF(LEN(IF(LEN(INDEX('Vendor COIs'!$D$4:$D$503,(_calc!$E$366-500)))=0,"",INDEX('Vendor COIs'!$D$4:$D$503,(_calc!$E$366-500))))=0,"","Policy no.: "&amp;IF(LEN(INDEX('Vendor COIs'!$D$4:$D$503,(_calc!$E$366-500)))=0,"",INDEX('Vendor COIs'!$D$4:$D$503,(_calc!$E$366-500)))&amp;". ")&amp;IF(LEN(IF(LEN(INDEX('Vendor COIs'!$F$4:$F$503,(_calc!$E$366-500)))=0,"",INDEX('Vendor COIs'!$F$4:$F$503,(_calc!$E$366-500))))=0,"","Meets minimum: "&amp;IF(LEN(INDEX('Vendor COIs'!$F$4:$F$503,(_calc!$E$366-500)))=0,"",INDEX('Vendor COIs'!$F$4:$F$503,(_calc!$E$366-500)))&amp;". ")&amp;IF(LEN(IF(LEN(INDEX('Vendor COIs'!$G$4:$G$503,(_calc!$E$366-500)))=0,"",INDEX('Vendor COIs'!$G$4:$G$503,(_calc!$E$366-500))))=0,"","Additional insured: "&amp;IF(LEN(INDEX('Vendor COIs'!$G$4:$G$503,(_calc!$E$366-500)))=0,"",INDEX('Vendor COIs'!$G$4:$G$503,(_calc!$E$366-500)))&amp;". ")&amp;IF(LEN(IF(LEN(INDEX('Vendor COIs'!$M$4:$M$503,(_calc!$E$366-500)))=0,"",INDEX('Vendor COIs'!$M$4:$M$503,(_calc!$E$366-500))))=0,"","Vendor contact: "&amp;IF(LEN(INDEX('Vendor COIs'!$M$4:$M$503,(_calc!$E$366-500)))=0,"",INDEX('Vendor COIs'!$M$4:$M$503,(_calc!$E$366-500)))&amp;". ")&amp;IF(LEN(IF(LEN(INDEX('Vendor COIs'!$P$4:$P$503,(_calc!$E$366-500)))=0,"",INDEX('Vendor COIs'!$P$4:$P$503,(_calc!$E$366-500))))=0,"",IF(LEN(INDEX('Vendor COIs'!$P$4:$P$503,(_calc!$E$366-500)))=0,"",INDEX('Vendor COIs'!$P$4:$P$503,(_calc!$E$366-500)))))))</f>
        <v/>
      </c>
      <c r="G364" s="46">
        <f>IF(_calc!$E$366="","",IF(_calc!$E$366&lt;=500,IF(LEN(INDEX('Our policies'!$R$4:$R$503,_calc!$E$366))=0,"",INDEX('Our policies'!$R$4:$R$503,_calc!$E$366)),IF(LEN(INDEX('Vendor COIs'!$O$4:$O$503,(_calc!$E$366-500)))=0,"",INDEX('Vendor COIs'!$O$4:$O$503,(_calc!$E$366-500)))))</f>
        <v/>
      </c>
      <c r="H364" s="46">
        <f>IF(_calc!$E$366="","",IF(_calc!$E$366&lt;=500,IF(LEN(INDEX('Our policies'!$G$4:$G$503,_calc!$E$366))=0,"",INDEX('Our policies'!$G$4:$G$503,_calc!$E$366)),""))</f>
        <v/>
      </c>
      <c r="I364" s="46">
        <f>IF(_calc!$E$366="","",IF(_calc!$E$366&lt;=500,IF(LEN(INDEX('Our policies'!$H$4:$H$503,_calc!$E$366))=0,"",INDEX('Our policies'!$H$4:$H$503,_calc!$E$366)),""))</f>
        <v/>
      </c>
      <c r="K364" s="46">
        <f>IF(_calc!$E$366="","",IF(_calc!$E$366&lt;=500,IF(LEN(INDEX('Our policies'!$P$4:$P$503,_calc!$E$366))=0,"",INDEX('Our policies'!$P$4:$P$503,_calc!$E$366)),IF(LEN(INDEX('Vendor COIs'!$N$4:$N$503,(_calc!$E$366-500)))=0,"",INDEX('Vendor COIs'!$N$4:$N$503,(_calc!$E$366-500)))))</f>
        <v/>
      </c>
    </row>
    <row r="365">
      <c r="A365" s="46">
        <f>IF(_calc!$E$367="","",IF(_calc!$E$367&lt;=500,IF(LEN(INDEX('Our policies'!$A$4:$A$503,_calc!$E$367))=0,"",INDEX('Our policies'!$A$4:$A$503,_calc!$E$367)),"COI – "&amp;IF(LEN(INDEX('Vendor COIs'!$A$4:$A$503,(_calc!$E$367-500)))=0,"",INDEX('Vendor COIs'!$A$4:$A$503,(_calc!$E$367-500)))&amp;" – "&amp;IF(LEN(INDEX('Vendor COIs'!$B$4:$B$503,(_calc!$E$367-500)))=0,"",INDEX('Vendor COIs'!$B$4:$B$503,(_calc!$E$367-500)))))</f>
        <v/>
      </c>
      <c r="B365" s="46">
        <f>IF(_calc!$E$367="","",IF(_calc!$E$367&lt;=500,IF(ISNUMBER(INDEX('Our policies'!$J$4:$J$503,_calc!$E$367)),TEXT(INDEX('Our policies'!$J$4:$J$503,_calc!$E$367),"yyyy-mm-dd"),""),IF(ISNUMBER(INDEX('Vendor COIs'!$H$4:$H$503,(_calc!$E$367-500))),TEXT(INDEX('Vendor COIs'!$H$4:$H$503,(_calc!$E$367-500)),"yyyy-mm-dd"),"")))</f>
        <v/>
      </c>
      <c r="C365" s="46">
        <f>IF(_calc!$E$367="","",IF(_calc!$E$367&lt;=500,"Insurance","Certificate of insurance"))</f>
        <v/>
      </c>
      <c r="D365" s="46">
        <f>IF(_calc!$E$367="","",IF(_calc!$E$367&lt;=500,IF(ISNUMBER(INDEX('Our policies'!$I$4:$I$503,_calc!$E$367)),TEXT(INDEX('Our policies'!$I$4:$I$503,_calc!$E$367),"yyyy-mm-dd"),""),""))</f>
        <v/>
      </c>
      <c r="E365" s="46">
        <f>IF(_calc!$E$367="","",IF(_calc!$E$367&lt;=500,IF(LEN(INDEX('Our policies'!$Q$4:$Q$503,_calc!$E$367))=0,"",INDEX('Our policies'!$Q$4:$Q$503,_calc!$E$367)),"Medium"))</f>
        <v/>
      </c>
      <c r="F365" s="46">
        <f>IF(_calc!$E$367="","",IF(_calc!$E$367&lt;=500,TRIM(IF(LEN(IF(LEN(INDEX('Our policies'!$B$4:$B$503,_calc!$E$367))=0,"",INDEX('Our policies'!$B$4:$B$503,_calc!$E$367)))=0,"","Cover: "&amp;IF(LEN(INDEX('Our policies'!$B$4:$B$503,_calc!$E$367))=0,"",INDEX('Our policies'!$B$4:$B$503,_calc!$E$367))&amp;". ")&amp;IF(LEN(IF(LEN(INDEX('Our policies'!$C$4:$C$503,_calc!$E$367))=0,"",INDEX('Our policies'!$C$4:$C$503,_calc!$E$367)))=0,"","Insurer: "&amp;IF(LEN(INDEX('Our policies'!$C$4:$C$503,_calc!$E$367))=0,"",INDEX('Our policies'!$C$4:$C$503,_calc!$E$367))&amp;". ")&amp;IF(LEN(IF(LEN(INDEX('Our policies'!$D$4:$D$503,_calc!$E$367))=0,"",INDEX('Our policies'!$D$4:$D$503,_calc!$E$367)))=0,"","Broker: "&amp;IF(LEN(INDEX('Our policies'!$D$4:$D$503,_calc!$E$367))=0,"",INDEX('Our policies'!$D$4:$D$503,_calc!$E$367))&amp;". ")&amp;IF(LEN(IF(LEN(INDEX('Our policies'!$E$4:$E$503,_calc!$E$367))=0,"",INDEX('Our policies'!$E$4:$E$503,_calc!$E$367)))=0,"","Policy no.: "&amp;IF(LEN(INDEX('Our policies'!$E$4:$E$503,_calc!$E$367))=0,"",INDEX('Our policies'!$E$4:$E$503,_calc!$E$367))&amp;". ")&amp;IF(LEN(IF(LEN(INDEX('Our policies'!$S$4:$S$503,_calc!$E$367))=0,"",INDEX('Our policies'!$S$4:$S$503,_calc!$E$367)))=0,"",IF(LEN(INDEX('Our policies'!$S$4:$S$503,_calc!$E$367))=0,"",INDEX('Our policies'!$S$4:$S$503,_calc!$E$367)))),TRIM(IF(LEN(IF(LEN(INDEX('Vendor COIs'!$C$4:$C$503,(_calc!$E$367-500)))=0,"",INDEX('Vendor COIs'!$C$4:$C$503,(_calc!$E$367-500))))=0,"","Insurer: "&amp;IF(LEN(INDEX('Vendor COIs'!$C$4:$C$503,(_calc!$E$367-500)))=0,"",INDEX('Vendor COIs'!$C$4:$C$503,(_calc!$E$367-500)))&amp;". ")&amp;IF(LEN(IF(LEN(INDEX('Vendor COIs'!$D$4:$D$503,(_calc!$E$367-500)))=0,"",INDEX('Vendor COIs'!$D$4:$D$503,(_calc!$E$367-500))))=0,"","Policy no.: "&amp;IF(LEN(INDEX('Vendor COIs'!$D$4:$D$503,(_calc!$E$367-500)))=0,"",INDEX('Vendor COIs'!$D$4:$D$503,(_calc!$E$367-500)))&amp;". ")&amp;IF(LEN(IF(LEN(INDEX('Vendor COIs'!$F$4:$F$503,(_calc!$E$367-500)))=0,"",INDEX('Vendor COIs'!$F$4:$F$503,(_calc!$E$367-500))))=0,"","Meets minimum: "&amp;IF(LEN(INDEX('Vendor COIs'!$F$4:$F$503,(_calc!$E$367-500)))=0,"",INDEX('Vendor COIs'!$F$4:$F$503,(_calc!$E$367-500)))&amp;". ")&amp;IF(LEN(IF(LEN(INDEX('Vendor COIs'!$G$4:$G$503,(_calc!$E$367-500)))=0,"",INDEX('Vendor COIs'!$G$4:$G$503,(_calc!$E$367-500))))=0,"","Additional insured: "&amp;IF(LEN(INDEX('Vendor COIs'!$G$4:$G$503,(_calc!$E$367-500)))=0,"",INDEX('Vendor COIs'!$G$4:$G$503,(_calc!$E$367-500)))&amp;". ")&amp;IF(LEN(IF(LEN(INDEX('Vendor COIs'!$M$4:$M$503,(_calc!$E$367-500)))=0,"",INDEX('Vendor COIs'!$M$4:$M$503,(_calc!$E$367-500))))=0,"","Vendor contact: "&amp;IF(LEN(INDEX('Vendor COIs'!$M$4:$M$503,(_calc!$E$367-500)))=0,"",INDEX('Vendor COIs'!$M$4:$M$503,(_calc!$E$367-500)))&amp;". ")&amp;IF(LEN(IF(LEN(INDEX('Vendor COIs'!$P$4:$P$503,(_calc!$E$367-500)))=0,"",INDEX('Vendor COIs'!$P$4:$P$503,(_calc!$E$367-500))))=0,"",IF(LEN(INDEX('Vendor COIs'!$P$4:$P$503,(_calc!$E$367-500)))=0,"",INDEX('Vendor COIs'!$P$4:$P$503,(_calc!$E$367-500)))))))</f>
        <v/>
      </c>
      <c r="G365" s="46">
        <f>IF(_calc!$E$367="","",IF(_calc!$E$367&lt;=500,IF(LEN(INDEX('Our policies'!$R$4:$R$503,_calc!$E$367))=0,"",INDEX('Our policies'!$R$4:$R$503,_calc!$E$367)),IF(LEN(INDEX('Vendor COIs'!$O$4:$O$503,(_calc!$E$367-500)))=0,"",INDEX('Vendor COIs'!$O$4:$O$503,(_calc!$E$367-500)))))</f>
        <v/>
      </c>
      <c r="H365" s="46">
        <f>IF(_calc!$E$367="","",IF(_calc!$E$367&lt;=500,IF(LEN(INDEX('Our policies'!$G$4:$G$503,_calc!$E$367))=0,"",INDEX('Our policies'!$G$4:$G$503,_calc!$E$367)),""))</f>
        <v/>
      </c>
      <c r="I365" s="46">
        <f>IF(_calc!$E$367="","",IF(_calc!$E$367&lt;=500,IF(LEN(INDEX('Our policies'!$H$4:$H$503,_calc!$E$367))=0,"",INDEX('Our policies'!$H$4:$H$503,_calc!$E$367)),""))</f>
        <v/>
      </c>
      <c r="K365" s="46">
        <f>IF(_calc!$E$367="","",IF(_calc!$E$367&lt;=500,IF(LEN(INDEX('Our policies'!$P$4:$P$503,_calc!$E$367))=0,"",INDEX('Our policies'!$P$4:$P$503,_calc!$E$367)),IF(LEN(INDEX('Vendor COIs'!$N$4:$N$503,(_calc!$E$367-500)))=0,"",INDEX('Vendor COIs'!$N$4:$N$503,(_calc!$E$367-500)))))</f>
        <v/>
      </c>
    </row>
    <row r="366">
      <c r="A366" s="46">
        <f>IF(_calc!$E$368="","",IF(_calc!$E$368&lt;=500,IF(LEN(INDEX('Our policies'!$A$4:$A$503,_calc!$E$368))=0,"",INDEX('Our policies'!$A$4:$A$503,_calc!$E$368)),"COI – "&amp;IF(LEN(INDEX('Vendor COIs'!$A$4:$A$503,(_calc!$E$368-500)))=0,"",INDEX('Vendor COIs'!$A$4:$A$503,(_calc!$E$368-500)))&amp;" – "&amp;IF(LEN(INDEX('Vendor COIs'!$B$4:$B$503,(_calc!$E$368-500)))=0,"",INDEX('Vendor COIs'!$B$4:$B$503,(_calc!$E$368-500)))))</f>
        <v/>
      </c>
      <c r="B366" s="46">
        <f>IF(_calc!$E$368="","",IF(_calc!$E$368&lt;=500,IF(ISNUMBER(INDEX('Our policies'!$J$4:$J$503,_calc!$E$368)),TEXT(INDEX('Our policies'!$J$4:$J$503,_calc!$E$368),"yyyy-mm-dd"),""),IF(ISNUMBER(INDEX('Vendor COIs'!$H$4:$H$503,(_calc!$E$368-500))),TEXT(INDEX('Vendor COIs'!$H$4:$H$503,(_calc!$E$368-500)),"yyyy-mm-dd"),"")))</f>
        <v/>
      </c>
      <c r="C366" s="46">
        <f>IF(_calc!$E$368="","",IF(_calc!$E$368&lt;=500,"Insurance","Certificate of insurance"))</f>
        <v/>
      </c>
      <c r="D366" s="46">
        <f>IF(_calc!$E$368="","",IF(_calc!$E$368&lt;=500,IF(ISNUMBER(INDEX('Our policies'!$I$4:$I$503,_calc!$E$368)),TEXT(INDEX('Our policies'!$I$4:$I$503,_calc!$E$368),"yyyy-mm-dd"),""),""))</f>
        <v/>
      </c>
      <c r="E366" s="46">
        <f>IF(_calc!$E$368="","",IF(_calc!$E$368&lt;=500,IF(LEN(INDEX('Our policies'!$Q$4:$Q$503,_calc!$E$368))=0,"",INDEX('Our policies'!$Q$4:$Q$503,_calc!$E$368)),"Medium"))</f>
        <v/>
      </c>
      <c r="F366" s="46">
        <f>IF(_calc!$E$368="","",IF(_calc!$E$368&lt;=500,TRIM(IF(LEN(IF(LEN(INDEX('Our policies'!$B$4:$B$503,_calc!$E$368))=0,"",INDEX('Our policies'!$B$4:$B$503,_calc!$E$368)))=0,"","Cover: "&amp;IF(LEN(INDEX('Our policies'!$B$4:$B$503,_calc!$E$368))=0,"",INDEX('Our policies'!$B$4:$B$503,_calc!$E$368))&amp;". ")&amp;IF(LEN(IF(LEN(INDEX('Our policies'!$C$4:$C$503,_calc!$E$368))=0,"",INDEX('Our policies'!$C$4:$C$503,_calc!$E$368)))=0,"","Insurer: "&amp;IF(LEN(INDEX('Our policies'!$C$4:$C$503,_calc!$E$368))=0,"",INDEX('Our policies'!$C$4:$C$503,_calc!$E$368))&amp;". ")&amp;IF(LEN(IF(LEN(INDEX('Our policies'!$D$4:$D$503,_calc!$E$368))=0,"",INDEX('Our policies'!$D$4:$D$503,_calc!$E$368)))=0,"","Broker: "&amp;IF(LEN(INDEX('Our policies'!$D$4:$D$503,_calc!$E$368))=0,"",INDEX('Our policies'!$D$4:$D$503,_calc!$E$368))&amp;". ")&amp;IF(LEN(IF(LEN(INDEX('Our policies'!$E$4:$E$503,_calc!$E$368))=0,"",INDEX('Our policies'!$E$4:$E$503,_calc!$E$368)))=0,"","Policy no.: "&amp;IF(LEN(INDEX('Our policies'!$E$4:$E$503,_calc!$E$368))=0,"",INDEX('Our policies'!$E$4:$E$503,_calc!$E$368))&amp;". ")&amp;IF(LEN(IF(LEN(INDEX('Our policies'!$S$4:$S$503,_calc!$E$368))=0,"",INDEX('Our policies'!$S$4:$S$503,_calc!$E$368)))=0,"",IF(LEN(INDEX('Our policies'!$S$4:$S$503,_calc!$E$368))=0,"",INDEX('Our policies'!$S$4:$S$503,_calc!$E$368)))),TRIM(IF(LEN(IF(LEN(INDEX('Vendor COIs'!$C$4:$C$503,(_calc!$E$368-500)))=0,"",INDEX('Vendor COIs'!$C$4:$C$503,(_calc!$E$368-500))))=0,"","Insurer: "&amp;IF(LEN(INDEX('Vendor COIs'!$C$4:$C$503,(_calc!$E$368-500)))=0,"",INDEX('Vendor COIs'!$C$4:$C$503,(_calc!$E$368-500)))&amp;". ")&amp;IF(LEN(IF(LEN(INDEX('Vendor COIs'!$D$4:$D$503,(_calc!$E$368-500)))=0,"",INDEX('Vendor COIs'!$D$4:$D$503,(_calc!$E$368-500))))=0,"","Policy no.: "&amp;IF(LEN(INDEX('Vendor COIs'!$D$4:$D$503,(_calc!$E$368-500)))=0,"",INDEX('Vendor COIs'!$D$4:$D$503,(_calc!$E$368-500)))&amp;". ")&amp;IF(LEN(IF(LEN(INDEX('Vendor COIs'!$F$4:$F$503,(_calc!$E$368-500)))=0,"",INDEX('Vendor COIs'!$F$4:$F$503,(_calc!$E$368-500))))=0,"","Meets minimum: "&amp;IF(LEN(INDEX('Vendor COIs'!$F$4:$F$503,(_calc!$E$368-500)))=0,"",INDEX('Vendor COIs'!$F$4:$F$503,(_calc!$E$368-500)))&amp;". ")&amp;IF(LEN(IF(LEN(INDEX('Vendor COIs'!$G$4:$G$503,(_calc!$E$368-500)))=0,"",INDEX('Vendor COIs'!$G$4:$G$503,(_calc!$E$368-500))))=0,"","Additional insured: "&amp;IF(LEN(INDEX('Vendor COIs'!$G$4:$G$503,(_calc!$E$368-500)))=0,"",INDEX('Vendor COIs'!$G$4:$G$503,(_calc!$E$368-500)))&amp;". ")&amp;IF(LEN(IF(LEN(INDEX('Vendor COIs'!$M$4:$M$503,(_calc!$E$368-500)))=0,"",INDEX('Vendor COIs'!$M$4:$M$503,(_calc!$E$368-500))))=0,"","Vendor contact: "&amp;IF(LEN(INDEX('Vendor COIs'!$M$4:$M$503,(_calc!$E$368-500)))=0,"",INDEX('Vendor COIs'!$M$4:$M$503,(_calc!$E$368-500)))&amp;". ")&amp;IF(LEN(IF(LEN(INDEX('Vendor COIs'!$P$4:$P$503,(_calc!$E$368-500)))=0,"",INDEX('Vendor COIs'!$P$4:$P$503,(_calc!$E$368-500))))=0,"",IF(LEN(INDEX('Vendor COIs'!$P$4:$P$503,(_calc!$E$368-500)))=0,"",INDEX('Vendor COIs'!$P$4:$P$503,(_calc!$E$368-500)))))))</f>
        <v/>
      </c>
      <c r="G366" s="46">
        <f>IF(_calc!$E$368="","",IF(_calc!$E$368&lt;=500,IF(LEN(INDEX('Our policies'!$R$4:$R$503,_calc!$E$368))=0,"",INDEX('Our policies'!$R$4:$R$503,_calc!$E$368)),IF(LEN(INDEX('Vendor COIs'!$O$4:$O$503,(_calc!$E$368-500)))=0,"",INDEX('Vendor COIs'!$O$4:$O$503,(_calc!$E$368-500)))))</f>
        <v/>
      </c>
      <c r="H366" s="46">
        <f>IF(_calc!$E$368="","",IF(_calc!$E$368&lt;=500,IF(LEN(INDEX('Our policies'!$G$4:$G$503,_calc!$E$368))=0,"",INDEX('Our policies'!$G$4:$G$503,_calc!$E$368)),""))</f>
        <v/>
      </c>
      <c r="I366" s="46">
        <f>IF(_calc!$E$368="","",IF(_calc!$E$368&lt;=500,IF(LEN(INDEX('Our policies'!$H$4:$H$503,_calc!$E$368))=0,"",INDEX('Our policies'!$H$4:$H$503,_calc!$E$368)),""))</f>
        <v/>
      </c>
      <c r="K366" s="46">
        <f>IF(_calc!$E$368="","",IF(_calc!$E$368&lt;=500,IF(LEN(INDEX('Our policies'!$P$4:$P$503,_calc!$E$368))=0,"",INDEX('Our policies'!$P$4:$P$503,_calc!$E$368)),IF(LEN(INDEX('Vendor COIs'!$N$4:$N$503,(_calc!$E$368-500)))=0,"",INDEX('Vendor COIs'!$N$4:$N$503,(_calc!$E$368-500)))))</f>
        <v/>
      </c>
    </row>
    <row r="367">
      <c r="A367" s="46">
        <f>IF(_calc!$E$369="","",IF(_calc!$E$369&lt;=500,IF(LEN(INDEX('Our policies'!$A$4:$A$503,_calc!$E$369))=0,"",INDEX('Our policies'!$A$4:$A$503,_calc!$E$369)),"COI – "&amp;IF(LEN(INDEX('Vendor COIs'!$A$4:$A$503,(_calc!$E$369-500)))=0,"",INDEX('Vendor COIs'!$A$4:$A$503,(_calc!$E$369-500)))&amp;" – "&amp;IF(LEN(INDEX('Vendor COIs'!$B$4:$B$503,(_calc!$E$369-500)))=0,"",INDEX('Vendor COIs'!$B$4:$B$503,(_calc!$E$369-500)))))</f>
        <v/>
      </c>
      <c r="B367" s="46">
        <f>IF(_calc!$E$369="","",IF(_calc!$E$369&lt;=500,IF(ISNUMBER(INDEX('Our policies'!$J$4:$J$503,_calc!$E$369)),TEXT(INDEX('Our policies'!$J$4:$J$503,_calc!$E$369),"yyyy-mm-dd"),""),IF(ISNUMBER(INDEX('Vendor COIs'!$H$4:$H$503,(_calc!$E$369-500))),TEXT(INDEX('Vendor COIs'!$H$4:$H$503,(_calc!$E$369-500)),"yyyy-mm-dd"),"")))</f>
        <v/>
      </c>
      <c r="C367" s="46">
        <f>IF(_calc!$E$369="","",IF(_calc!$E$369&lt;=500,"Insurance","Certificate of insurance"))</f>
        <v/>
      </c>
      <c r="D367" s="46">
        <f>IF(_calc!$E$369="","",IF(_calc!$E$369&lt;=500,IF(ISNUMBER(INDEX('Our policies'!$I$4:$I$503,_calc!$E$369)),TEXT(INDEX('Our policies'!$I$4:$I$503,_calc!$E$369),"yyyy-mm-dd"),""),""))</f>
        <v/>
      </c>
      <c r="E367" s="46">
        <f>IF(_calc!$E$369="","",IF(_calc!$E$369&lt;=500,IF(LEN(INDEX('Our policies'!$Q$4:$Q$503,_calc!$E$369))=0,"",INDEX('Our policies'!$Q$4:$Q$503,_calc!$E$369)),"Medium"))</f>
        <v/>
      </c>
      <c r="F367" s="46">
        <f>IF(_calc!$E$369="","",IF(_calc!$E$369&lt;=500,TRIM(IF(LEN(IF(LEN(INDEX('Our policies'!$B$4:$B$503,_calc!$E$369))=0,"",INDEX('Our policies'!$B$4:$B$503,_calc!$E$369)))=0,"","Cover: "&amp;IF(LEN(INDEX('Our policies'!$B$4:$B$503,_calc!$E$369))=0,"",INDEX('Our policies'!$B$4:$B$503,_calc!$E$369))&amp;". ")&amp;IF(LEN(IF(LEN(INDEX('Our policies'!$C$4:$C$503,_calc!$E$369))=0,"",INDEX('Our policies'!$C$4:$C$503,_calc!$E$369)))=0,"","Insurer: "&amp;IF(LEN(INDEX('Our policies'!$C$4:$C$503,_calc!$E$369))=0,"",INDEX('Our policies'!$C$4:$C$503,_calc!$E$369))&amp;". ")&amp;IF(LEN(IF(LEN(INDEX('Our policies'!$D$4:$D$503,_calc!$E$369))=0,"",INDEX('Our policies'!$D$4:$D$503,_calc!$E$369)))=0,"","Broker: "&amp;IF(LEN(INDEX('Our policies'!$D$4:$D$503,_calc!$E$369))=0,"",INDEX('Our policies'!$D$4:$D$503,_calc!$E$369))&amp;". ")&amp;IF(LEN(IF(LEN(INDEX('Our policies'!$E$4:$E$503,_calc!$E$369))=0,"",INDEX('Our policies'!$E$4:$E$503,_calc!$E$369)))=0,"","Policy no.: "&amp;IF(LEN(INDEX('Our policies'!$E$4:$E$503,_calc!$E$369))=0,"",INDEX('Our policies'!$E$4:$E$503,_calc!$E$369))&amp;". ")&amp;IF(LEN(IF(LEN(INDEX('Our policies'!$S$4:$S$503,_calc!$E$369))=0,"",INDEX('Our policies'!$S$4:$S$503,_calc!$E$369)))=0,"",IF(LEN(INDEX('Our policies'!$S$4:$S$503,_calc!$E$369))=0,"",INDEX('Our policies'!$S$4:$S$503,_calc!$E$369)))),TRIM(IF(LEN(IF(LEN(INDEX('Vendor COIs'!$C$4:$C$503,(_calc!$E$369-500)))=0,"",INDEX('Vendor COIs'!$C$4:$C$503,(_calc!$E$369-500))))=0,"","Insurer: "&amp;IF(LEN(INDEX('Vendor COIs'!$C$4:$C$503,(_calc!$E$369-500)))=0,"",INDEX('Vendor COIs'!$C$4:$C$503,(_calc!$E$369-500)))&amp;". ")&amp;IF(LEN(IF(LEN(INDEX('Vendor COIs'!$D$4:$D$503,(_calc!$E$369-500)))=0,"",INDEX('Vendor COIs'!$D$4:$D$503,(_calc!$E$369-500))))=0,"","Policy no.: "&amp;IF(LEN(INDEX('Vendor COIs'!$D$4:$D$503,(_calc!$E$369-500)))=0,"",INDEX('Vendor COIs'!$D$4:$D$503,(_calc!$E$369-500)))&amp;". ")&amp;IF(LEN(IF(LEN(INDEX('Vendor COIs'!$F$4:$F$503,(_calc!$E$369-500)))=0,"",INDEX('Vendor COIs'!$F$4:$F$503,(_calc!$E$369-500))))=0,"","Meets minimum: "&amp;IF(LEN(INDEX('Vendor COIs'!$F$4:$F$503,(_calc!$E$369-500)))=0,"",INDEX('Vendor COIs'!$F$4:$F$503,(_calc!$E$369-500)))&amp;". ")&amp;IF(LEN(IF(LEN(INDEX('Vendor COIs'!$G$4:$G$503,(_calc!$E$369-500)))=0,"",INDEX('Vendor COIs'!$G$4:$G$503,(_calc!$E$369-500))))=0,"","Additional insured: "&amp;IF(LEN(INDEX('Vendor COIs'!$G$4:$G$503,(_calc!$E$369-500)))=0,"",INDEX('Vendor COIs'!$G$4:$G$503,(_calc!$E$369-500)))&amp;". ")&amp;IF(LEN(IF(LEN(INDEX('Vendor COIs'!$M$4:$M$503,(_calc!$E$369-500)))=0,"",INDEX('Vendor COIs'!$M$4:$M$503,(_calc!$E$369-500))))=0,"","Vendor contact: "&amp;IF(LEN(INDEX('Vendor COIs'!$M$4:$M$503,(_calc!$E$369-500)))=0,"",INDEX('Vendor COIs'!$M$4:$M$503,(_calc!$E$369-500)))&amp;". ")&amp;IF(LEN(IF(LEN(INDEX('Vendor COIs'!$P$4:$P$503,(_calc!$E$369-500)))=0,"",INDEX('Vendor COIs'!$P$4:$P$503,(_calc!$E$369-500))))=0,"",IF(LEN(INDEX('Vendor COIs'!$P$4:$P$503,(_calc!$E$369-500)))=0,"",INDEX('Vendor COIs'!$P$4:$P$503,(_calc!$E$369-500)))))))</f>
        <v/>
      </c>
      <c r="G367" s="46">
        <f>IF(_calc!$E$369="","",IF(_calc!$E$369&lt;=500,IF(LEN(INDEX('Our policies'!$R$4:$R$503,_calc!$E$369))=0,"",INDEX('Our policies'!$R$4:$R$503,_calc!$E$369)),IF(LEN(INDEX('Vendor COIs'!$O$4:$O$503,(_calc!$E$369-500)))=0,"",INDEX('Vendor COIs'!$O$4:$O$503,(_calc!$E$369-500)))))</f>
        <v/>
      </c>
      <c r="H367" s="46">
        <f>IF(_calc!$E$369="","",IF(_calc!$E$369&lt;=500,IF(LEN(INDEX('Our policies'!$G$4:$G$503,_calc!$E$369))=0,"",INDEX('Our policies'!$G$4:$G$503,_calc!$E$369)),""))</f>
        <v/>
      </c>
      <c r="I367" s="46">
        <f>IF(_calc!$E$369="","",IF(_calc!$E$369&lt;=500,IF(LEN(INDEX('Our policies'!$H$4:$H$503,_calc!$E$369))=0,"",INDEX('Our policies'!$H$4:$H$503,_calc!$E$369)),""))</f>
        <v/>
      </c>
      <c r="K367" s="46">
        <f>IF(_calc!$E$369="","",IF(_calc!$E$369&lt;=500,IF(LEN(INDEX('Our policies'!$P$4:$P$503,_calc!$E$369))=0,"",INDEX('Our policies'!$P$4:$P$503,_calc!$E$369)),IF(LEN(INDEX('Vendor COIs'!$N$4:$N$503,(_calc!$E$369-500)))=0,"",INDEX('Vendor COIs'!$N$4:$N$503,(_calc!$E$369-500)))))</f>
        <v/>
      </c>
    </row>
    <row r="368">
      <c r="A368" s="46">
        <f>IF(_calc!$E$370="","",IF(_calc!$E$370&lt;=500,IF(LEN(INDEX('Our policies'!$A$4:$A$503,_calc!$E$370))=0,"",INDEX('Our policies'!$A$4:$A$503,_calc!$E$370)),"COI – "&amp;IF(LEN(INDEX('Vendor COIs'!$A$4:$A$503,(_calc!$E$370-500)))=0,"",INDEX('Vendor COIs'!$A$4:$A$503,(_calc!$E$370-500)))&amp;" – "&amp;IF(LEN(INDEX('Vendor COIs'!$B$4:$B$503,(_calc!$E$370-500)))=0,"",INDEX('Vendor COIs'!$B$4:$B$503,(_calc!$E$370-500)))))</f>
        <v/>
      </c>
      <c r="B368" s="46">
        <f>IF(_calc!$E$370="","",IF(_calc!$E$370&lt;=500,IF(ISNUMBER(INDEX('Our policies'!$J$4:$J$503,_calc!$E$370)),TEXT(INDEX('Our policies'!$J$4:$J$503,_calc!$E$370),"yyyy-mm-dd"),""),IF(ISNUMBER(INDEX('Vendor COIs'!$H$4:$H$503,(_calc!$E$370-500))),TEXT(INDEX('Vendor COIs'!$H$4:$H$503,(_calc!$E$370-500)),"yyyy-mm-dd"),"")))</f>
        <v/>
      </c>
      <c r="C368" s="46">
        <f>IF(_calc!$E$370="","",IF(_calc!$E$370&lt;=500,"Insurance","Certificate of insurance"))</f>
        <v/>
      </c>
      <c r="D368" s="46">
        <f>IF(_calc!$E$370="","",IF(_calc!$E$370&lt;=500,IF(ISNUMBER(INDEX('Our policies'!$I$4:$I$503,_calc!$E$370)),TEXT(INDEX('Our policies'!$I$4:$I$503,_calc!$E$370),"yyyy-mm-dd"),""),""))</f>
        <v/>
      </c>
      <c r="E368" s="46">
        <f>IF(_calc!$E$370="","",IF(_calc!$E$370&lt;=500,IF(LEN(INDEX('Our policies'!$Q$4:$Q$503,_calc!$E$370))=0,"",INDEX('Our policies'!$Q$4:$Q$503,_calc!$E$370)),"Medium"))</f>
        <v/>
      </c>
      <c r="F368" s="46">
        <f>IF(_calc!$E$370="","",IF(_calc!$E$370&lt;=500,TRIM(IF(LEN(IF(LEN(INDEX('Our policies'!$B$4:$B$503,_calc!$E$370))=0,"",INDEX('Our policies'!$B$4:$B$503,_calc!$E$370)))=0,"","Cover: "&amp;IF(LEN(INDEX('Our policies'!$B$4:$B$503,_calc!$E$370))=0,"",INDEX('Our policies'!$B$4:$B$503,_calc!$E$370))&amp;". ")&amp;IF(LEN(IF(LEN(INDEX('Our policies'!$C$4:$C$503,_calc!$E$370))=0,"",INDEX('Our policies'!$C$4:$C$503,_calc!$E$370)))=0,"","Insurer: "&amp;IF(LEN(INDEX('Our policies'!$C$4:$C$503,_calc!$E$370))=0,"",INDEX('Our policies'!$C$4:$C$503,_calc!$E$370))&amp;". ")&amp;IF(LEN(IF(LEN(INDEX('Our policies'!$D$4:$D$503,_calc!$E$370))=0,"",INDEX('Our policies'!$D$4:$D$503,_calc!$E$370)))=0,"","Broker: "&amp;IF(LEN(INDEX('Our policies'!$D$4:$D$503,_calc!$E$370))=0,"",INDEX('Our policies'!$D$4:$D$503,_calc!$E$370))&amp;". ")&amp;IF(LEN(IF(LEN(INDEX('Our policies'!$E$4:$E$503,_calc!$E$370))=0,"",INDEX('Our policies'!$E$4:$E$503,_calc!$E$370)))=0,"","Policy no.: "&amp;IF(LEN(INDEX('Our policies'!$E$4:$E$503,_calc!$E$370))=0,"",INDEX('Our policies'!$E$4:$E$503,_calc!$E$370))&amp;". ")&amp;IF(LEN(IF(LEN(INDEX('Our policies'!$S$4:$S$503,_calc!$E$370))=0,"",INDEX('Our policies'!$S$4:$S$503,_calc!$E$370)))=0,"",IF(LEN(INDEX('Our policies'!$S$4:$S$503,_calc!$E$370))=0,"",INDEX('Our policies'!$S$4:$S$503,_calc!$E$370)))),TRIM(IF(LEN(IF(LEN(INDEX('Vendor COIs'!$C$4:$C$503,(_calc!$E$370-500)))=0,"",INDEX('Vendor COIs'!$C$4:$C$503,(_calc!$E$370-500))))=0,"","Insurer: "&amp;IF(LEN(INDEX('Vendor COIs'!$C$4:$C$503,(_calc!$E$370-500)))=0,"",INDEX('Vendor COIs'!$C$4:$C$503,(_calc!$E$370-500)))&amp;". ")&amp;IF(LEN(IF(LEN(INDEX('Vendor COIs'!$D$4:$D$503,(_calc!$E$370-500)))=0,"",INDEX('Vendor COIs'!$D$4:$D$503,(_calc!$E$370-500))))=0,"","Policy no.: "&amp;IF(LEN(INDEX('Vendor COIs'!$D$4:$D$503,(_calc!$E$370-500)))=0,"",INDEX('Vendor COIs'!$D$4:$D$503,(_calc!$E$370-500)))&amp;". ")&amp;IF(LEN(IF(LEN(INDEX('Vendor COIs'!$F$4:$F$503,(_calc!$E$370-500)))=0,"",INDEX('Vendor COIs'!$F$4:$F$503,(_calc!$E$370-500))))=0,"","Meets minimum: "&amp;IF(LEN(INDEX('Vendor COIs'!$F$4:$F$503,(_calc!$E$370-500)))=0,"",INDEX('Vendor COIs'!$F$4:$F$503,(_calc!$E$370-500)))&amp;". ")&amp;IF(LEN(IF(LEN(INDEX('Vendor COIs'!$G$4:$G$503,(_calc!$E$370-500)))=0,"",INDEX('Vendor COIs'!$G$4:$G$503,(_calc!$E$370-500))))=0,"","Additional insured: "&amp;IF(LEN(INDEX('Vendor COIs'!$G$4:$G$503,(_calc!$E$370-500)))=0,"",INDEX('Vendor COIs'!$G$4:$G$503,(_calc!$E$370-500)))&amp;". ")&amp;IF(LEN(IF(LEN(INDEX('Vendor COIs'!$M$4:$M$503,(_calc!$E$370-500)))=0,"",INDEX('Vendor COIs'!$M$4:$M$503,(_calc!$E$370-500))))=0,"","Vendor contact: "&amp;IF(LEN(INDEX('Vendor COIs'!$M$4:$M$503,(_calc!$E$370-500)))=0,"",INDEX('Vendor COIs'!$M$4:$M$503,(_calc!$E$370-500)))&amp;". ")&amp;IF(LEN(IF(LEN(INDEX('Vendor COIs'!$P$4:$P$503,(_calc!$E$370-500)))=0,"",INDEX('Vendor COIs'!$P$4:$P$503,(_calc!$E$370-500))))=0,"",IF(LEN(INDEX('Vendor COIs'!$P$4:$P$503,(_calc!$E$370-500)))=0,"",INDEX('Vendor COIs'!$P$4:$P$503,(_calc!$E$370-500)))))))</f>
        <v/>
      </c>
      <c r="G368" s="46">
        <f>IF(_calc!$E$370="","",IF(_calc!$E$370&lt;=500,IF(LEN(INDEX('Our policies'!$R$4:$R$503,_calc!$E$370))=0,"",INDEX('Our policies'!$R$4:$R$503,_calc!$E$370)),IF(LEN(INDEX('Vendor COIs'!$O$4:$O$503,(_calc!$E$370-500)))=0,"",INDEX('Vendor COIs'!$O$4:$O$503,(_calc!$E$370-500)))))</f>
        <v/>
      </c>
      <c r="H368" s="46">
        <f>IF(_calc!$E$370="","",IF(_calc!$E$370&lt;=500,IF(LEN(INDEX('Our policies'!$G$4:$G$503,_calc!$E$370))=0,"",INDEX('Our policies'!$G$4:$G$503,_calc!$E$370)),""))</f>
        <v/>
      </c>
      <c r="I368" s="46">
        <f>IF(_calc!$E$370="","",IF(_calc!$E$370&lt;=500,IF(LEN(INDEX('Our policies'!$H$4:$H$503,_calc!$E$370))=0,"",INDEX('Our policies'!$H$4:$H$503,_calc!$E$370)),""))</f>
        <v/>
      </c>
      <c r="K368" s="46">
        <f>IF(_calc!$E$370="","",IF(_calc!$E$370&lt;=500,IF(LEN(INDEX('Our policies'!$P$4:$P$503,_calc!$E$370))=0,"",INDEX('Our policies'!$P$4:$P$503,_calc!$E$370)),IF(LEN(INDEX('Vendor COIs'!$N$4:$N$503,(_calc!$E$370-500)))=0,"",INDEX('Vendor COIs'!$N$4:$N$503,(_calc!$E$370-500)))))</f>
        <v/>
      </c>
    </row>
    <row r="369">
      <c r="A369" s="46">
        <f>IF(_calc!$E$371="","",IF(_calc!$E$371&lt;=500,IF(LEN(INDEX('Our policies'!$A$4:$A$503,_calc!$E$371))=0,"",INDEX('Our policies'!$A$4:$A$503,_calc!$E$371)),"COI – "&amp;IF(LEN(INDEX('Vendor COIs'!$A$4:$A$503,(_calc!$E$371-500)))=0,"",INDEX('Vendor COIs'!$A$4:$A$503,(_calc!$E$371-500)))&amp;" – "&amp;IF(LEN(INDEX('Vendor COIs'!$B$4:$B$503,(_calc!$E$371-500)))=0,"",INDEX('Vendor COIs'!$B$4:$B$503,(_calc!$E$371-500)))))</f>
        <v/>
      </c>
      <c r="B369" s="46">
        <f>IF(_calc!$E$371="","",IF(_calc!$E$371&lt;=500,IF(ISNUMBER(INDEX('Our policies'!$J$4:$J$503,_calc!$E$371)),TEXT(INDEX('Our policies'!$J$4:$J$503,_calc!$E$371),"yyyy-mm-dd"),""),IF(ISNUMBER(INDEX('Vendor COIs'!$H$4:$H$503,(_calc!$E$371-500))),TEXT(INDEX('Vendor COIs'!$H$4:$H$503,(_calc!$E$371-500)),"yyyy-mm-dd"),"")))</f>
        <v/>
      </c>
      <c r="C369" s="46">
        <f>IF(_calc!$E$371="","",IF(_calc!$E$371&lt;=500,"Insurance","Certificate of insurance"))</f>
        <v/>
      </c>
      <c r="D369" s="46">
        <f>IF(_calc!$E$371="","",IF(_calc!$E$371&lt;=500,IF(ISNUMBER(INDEX('Our policies'!$I$4:$I$503,_calc!$E$371)),TEXT(INDEX('Our policies'!$I$4:$I$503,_calc!$E$371),"yyyy-mm-dd"),""),""))</f>
        <v/>
      </c>
      <c r="E369" s="46">
        <f>IF(_calc!$E$371="","",IF(_calc!$E$371&lt;=500,IF(LEN(INDEX('Our policies'!$Q$4:$Q$503,_calc!$E$371))=0,"",INDEX('Our policies'!$Q$4:$Q$503,_calc!$E$371)),"Medium"))</f>
        <v/>
      </c>
      <c r="F369" s="46">
        <f>IF(_calc!$E$371="","",IF(_calc!$E$371&lt;=500,TRIM(IF(LEN(IF(LEN(INDEX('Our policies'!$B$4:$B$503,_calc!$E$371))=0,"",INDEX('Our policies'!$B$4:$B$503,_calc!$E$371)))=0,"","Cover: "&amp;IF(LEN(INDEX('Our policies'!$B$4:$B$503,_calc!$E$371))=0,"",INDEX('Our policies'!$B$4:$B$503,_calc!$E$371))&amp;". ")&amp;IF(LEN(IF(LEN(INDEX('Our policies'!$C$4:$C$503,_calc!$E$371))=0,"",INDEX('Our policies'!$C$4:$C$503,_calc!$E$371)))=0,"","Insurer: "&amp;IF(LEN(INDEX('Our policies'!$C$4:$C$503,_calc!$E$371))=0,"",INDEX('Our policies'!$C$4:$C$503,_calc!$E$371))&amp;". ")&amp;IF(LEN(IF(LEN(INDEX('Our policies'!$D$4:$D$503,_calc!$E$371))=0,"",INDEX('Our policies'!$D$4:$D$503,_calc!$E$371)))=0,"","Broker: "&amp;IF(LEN(INDEX('Our policies'!$D$4:$D$503,_calc!$E$371))=0,"",INDEX('Our policies'!$D$4:$D$503,_calc!$E$371))&amp;". ")&amp;IF(LEN(IF(LEN(INDEX('Our policies'!$E$4:$E$503,_calc!$E$371))=0,"",INDEX('Our policies'!$E$4:$E$503,_calc!$E$371)))=0,"","Policy no.: "&amp;IF(LEN(INDEX('Our policies'!$E$4:$E$503,_calc!$E$371))=0,"",INDEX('Our policies'!$E$4:$E$503,_calc!$E$371))&amp;". ")&amp;IF(LEN(IF(LEN(INDEX('Our policies'!$S$4:$S$503,_calc!$E$371))=0,"",INDEX('Our policies'!$S$4:$S$503,_calc!$E$371)))=0,"",IF(LEN(INDEX('Our policies'!$S$4:$S$503,_calc!$E$371))=0,"",INDEX('Our policies'!$S$4:$S$503,_calc!$E$371)))),TRIM(IF(LEN(IF(LEN(INDEX('Vendor COIs'!$C$4:$C$503,(_calc!$E$371-500)))=0,"",INDEX('Vendor COIs'!$C$4:$C$503,(_calc!$E$371-500))))=0,"","Insurer: "&amp;IF(LEN(INDEX('Vendor COIs'!$C$4:$C$503,(_calc!$E$371-500)))=0,"",INDEX('Vendor COIs'!$C$4:$C$503,(_calc!$E$371-500)))&amp;". ")&amp;IF(LEN(IF(LEN(INDEX('Vendor COIs'!$D$4:$D$503,(_calc!$E$371-500)))=0,"",INDEX('Vendor COIs'!$D$4:$D$503,(_calc!$E$371-500))))=0,"","Policy no.: "&amp;IF(LEN(INDEX('Vendor COIs'!$D$4:$D$503,(_calc!$E$371-500)))=0,"",INDEX('Vendor COIs'!$D$4:$D$503,(_calc!$E$371-500)))&amp;". ")&amp;IF(LEN(IF(LEN(INDEX('Vendor COIs'!$F$4:$F$503,(_calc!$E$371-500)))=0,"",INDEX('Vendor COIs'!$F$4:$F$503,(_calc!$E$371-500))))=0,"","Meets minimum: "&amp;IF(LEN(INDEX('Vendor COIs'!$F$4:$F$503,(_calc!$E$371-500)))=0,"",INDEX('Vendor COIs'!$F$4:$F$503,(_calc!$E$371-500)))&amp;". ")&amp;IF(LEN(IF(LEN(INDEX('Vendor COIs'!$G$4:$G$503,(_calc!$E$371-500)))=0,"",INDEX('Vendor COIs'!$G$4:$G$503,(_calc!$E$371-500))))=0,"","Additional insured: "&amp;IF(LEN(INDEX('Vendor COIs'!$G$4:$G$503,(_calc!$E$371-500)))=0,"",INDEX('Vendor COIs'!$G$4:$G$503,(_calc!$E$371-500)))&amp;". ")&amp;IF(LEN(IF(LEN(INDEX('Vendor COIs'!$M$4:$M$503,(_calc!$E$371-500)))=0,"",INDEX('Vendor COIs'!$M$4:$M$503,(_calc!$E$371-500))))=0,"","Vendor contact: "&amp;IF(LEN(INDEX('Vendor COIs'!$M$4:$M$503,(_calc!$E$371-500)))=0,"",INDEX('Vendor COIs'!$M$4:$M$503,(_calc!$E$371-500)))&amp;". ")&amp;IF(LEN(IF(LEN(INDEX('Vendor COIs'!$P$4:$P$503,(_calc!$E$371-500)))=0,"",INDEX('Vendor COIs'!$P$4:$P$503,(_calc!$E$371-500))))=0,"",IF(LEN(INDEX('Vendor COIs'!$P$4:$P$503,(_calc!$E$371-500)))=0,"",INDEX('Vendor COIs'!$P$4:$P$503,(_calc!$E$371-500)))))))</f>
        <v/>
      </c>
      <c r="G369" s="46">
        <f>IF(_calc!$E$371="","",IF(_calc!$E$371&lt;=500,IF(LEN(INDEX('Our policies'!$R$4:$R$503,_calc!$E$371))=0,"",INDEX('Our policies'!$R$4:$R$503,_calc!$E$371)),IF(LEN(INDEX('Vendor COIs'!$O$4:$O$503,(_calc!$E$371-500)))=0,"",INDEX('Vendor COIs'!$O$4:$O$503,(_calc!$E$371-500)))))</f>
        <v/>
      </c>
      <c r="H369" s="46">
        <f>IF(_calc!$E$371="","",IF(_calc!$E$371&lt;=500,IF(LEN(INDEX('Our policies'!$G$4:$G$503,_calc!$E$371))=0,"",INDEX('Our policies'!$G$4:$G$503,_calc!$E$371)),""))</f>
        <v/>
      </c>
      <c r="I369" s="46">
        <f>IF(_calc!$E$371="","",IF(_calc!$E$371&lt;=500,IF(LEN(INDEX('Our policies'!$H$4:$H$503,_calc!$E$371))=0,"",INDEX('Our policies'!$H$4:$H$503,_calc!$E$371)),""))</f>
        <v/>
      </c>
      <c r="K369" s="46">
        <f>IF(_calc!$E$371="","",IF(_calc!$E$371&lt;=500,IF(LEN(INDEX('Our policies'!$P$4:$P$503,_calc!$E$371))=0,"",INDEX('Our policies'!$P$4:$P$503,_calc!$E$371)),IF(LEN(INDEX('Vendor COIs'!$N$4:$N$503,(_calc!$E$371-500)))=0,"",INDEX('Vendor COIs'!$N$4:$N$503,(_calc!$E$371-500)))))</f>
        <v/>
      </c>
    </row>
    <row r="370">
      <c r="A370" s="46">
        <f>IF(_calc!$E$372="","",IF(_calc!$E$372&lt;=500,IF(LEN(INDEX('Our policies'!$A$4:$A$503,_calc!$E$372))=0,"",INDEX('Our policies'!$A$4:$A$503,_calc!$E$372)),"COI – "&amp;IF(LEN(INDEX('Vendor COIs'!$A$4:$A$503,(_calc!$E$372-500)))=0,"",INDEX('Vendor COIs'!$A$4:$A$503,(_calc!$E$372-500)))&amp;" – "&amp;IF(LEN(INDEX('Vendor COIs'!$B$4:$B$503,(_calc!$E$372-500)))=0,"",INDEX('Vendor COIs'!$B$4:$B$503,(_calc!$E$372-500)))))</f>
        <v/>
      </c>
      <c r="B370" s="46">
        <f>IF(_calc!$E$372="","",IF(_calc!$E$372&lt;=500,IF(ISNUMBER(INDEX('Our policies'!$J$4:$J$503,_calc!$E$372)),TEXT(INDEX('Our policies'!$J$4:$J$503,_calc!$E$372),"yyyy-mm-dd"),""),IF(ISNUMBER(INDEX('Vendor COIs'!$H$4:$H$503,(_calc!$E$372-500))),TEXT(INDEX('Vendor COIs'!$H$4:$H$503,(_calc!$E$372-500)),"yyyy-mm-dd"),"")))</f>
        <v/>
      </c>
      <c r="C370" s="46">
        <f>IF(_calc!$E$372="","",IF(_calc!$E$372&lt;=500,"Insurance","Certificate of insurance"))</f>
        <v/>
      </c>
      <c r="D370" s="46">
        <f>IF(_calc!$E$372="","",IF(_calc!$E$372&lt;=500,IF(ISNUMBER(INDEX('Our policies'!$I$4:$I$503,_calc!$E$372)),TEXT(INDEX('Our policies'!$I$4:$I$503,_calc!$E$372),"yyyy-mm-dd"),""),""))</f>
        <v/>
      </c>
      <c r="E370" s="46">
        <f>IF(_calc!$E$372="","",IF(_calc!$E$372&lt;=500,IF(LEN(INDEX('Our policies'!$Q$4:$Q$503,_calc!$E$372))=0,"",INDEX('Our policies'!$Q$4:$Q$503,_calc!$E$372)),"Medium"))</f>
        <v/>
      </c>
      <c r="F370" s="46">
        <f>IF(_calc!$E$372="","",IF(_calc!$E$372&lt;=500,TRIM(IF(LEN(IF(LEN(INDEX('Our policies'!$B$4:$B$503,_calc!$E$372))=0,"",INDEX('Our policies'!$B$4:$B$503,_calc!$E$372)))=0,"","Cover: "&amp;IF(LEN(INDEX('Our policies'!$B$4:$B$503,_calc!$E$372))=0,"",INDEX('Our policies'!$B$4:$B$503,_calc!$E$372))&amp;". ")&amp;IF(LEN(IF(LEN(INDEX('Our policies'!$C$4:$C$503,_calc!$E$372))=0,"",INDEX('Our policies'!$C$4:$C$503,_calc!$E$372)))=0,"","Insurer: "&amp;IF(LEN(INDEX('Our policies'!$C$4:$C$503,_calc!$E$372))=0,"",INDEX('Our policies'!$C$4:$C$503,_calc!$E$372))&amp;". ")&amp;IF(LEN(IF(LEN(INDEX('Our policies'!$D$4:$D$503,_calc!$E$372))=0,"",INDEX('Our policies'!$D$4:$D$503,_calc!$E$372)))=0,"","Broker: "&amp;IF(LEN(INDEX('Our policies'!$D$4:$D$503,_calc!$E$372))=0,"",INDEX('Our policies'!$D$4:$D$503,_calc!$E$372))&amp;". ")&amp;IF(LEN(IF(LEN(INDEX('Our policies'!$E$4:$E$503,_calc!$E$372))=0,"",INDEX('Our policies'!$E$4:$E$503,_calc!$E$372)))=0,"","Policy no.: "&amp;IF(LEN(INDEX('Our policies'!$E$4:$E$503,_calc!$E$372))=0,"",INDEX('Our policies'!$E$4:$E$503,_calc!$E$372))&amp;". ")&amp;IF(LEN(IF(LEN(INDEX('Our policies'!$S$4:$S$503,_calc!$E$372))=0,"",INDEX('Our policies'!$S$4:$S$503,_calc!$E$372)))=0,"",IF(LEN(INDEX('Our policies'!$S$4:$S$503,_calc!$E$372))=0,"",INDEX('Our policies'!$S$4:$S$503,_calc!$E$372)))),TRIM(IF(LEN(IF(LEN(INDEX('Vendor COIs'!$C$4:$C$503,(_calc!$E$372-500)))=0,"",INDEX('Vendor COIs'!$C$4:$C$503,(_calc!$E$372-500))))=0,"","Insurer: "&amp;IF(LEN(INDEX('Vendor COIs'!$C$4:$C$503,(_calc!$E$372-500)))=0,"",INDEX('Vendor COIs'!$C$4:$C$503,(_calc!$E$372-500)))&amp;". ")&amp;IF(LEN(IF(LEN(INDEX('Vendor COIs'!$D$4:$D$503,(_calc!$E$372-500)))=0,"",INDEX('Vendor COIs'!$D$4:$D$503,(_calc!$E$372-500))))=0,"","Policy no.: "&amp;IF(LEN(INDEX('Vendor COIs'!$D$4:$D$503,(_calc!$E$372-500)))=0,"",INDEX('Vendor COIs'!$D$4:$D$503,(_calc!$E$372-500)))&amp;". ")&amp;IF(LEN(IF(LEN(INDEX('Vendor COIs'!$F$4:$F$503,(_calc!$E$372-500)))=0,"",INDEX('Vendor COIs'!$F$4:$F$503,(_calc!$E$372-500))))=0,"","Meets minimum: "&amp;IF(LEN(INDEX('Vendor COIs'!$F$4:$F$503,(_calc!$E$372-500)))=0,"",INDEX('Vendor COIs'!$F$4:$F$503,(_calc!$E$372-500)))&amp;". ")&amp;IF(LEN(IF(LEN(INDEX('Vendor COIs'!$G$4:$G$503,(_calc!$E$372-500)))=0,"",INDEX('Vendor COIs'!$G$4:$G$503,(_calc!$E$372-500))))=0,"","Additional insured: "&amp;IF(LEN(INDEX('Vendor COIs'!$G$4:$G$503,(_calc!$E$372-500)))=0,"",INDEX('Vendor COIs'!$G$4:$G$503,(_calc!$E$372-500)))&amp;". ")&amp;IF(LEN(IF(LEN(INDEX('Vendor COIs'!$M$4:$M$503,(_calc!$E$372-500)))=0,"",INDEX('Vendor COIs'!$M$4:$M$503,(_calc!$E$372-500))))=0,"","Vendor contact: "&amp;IF(LEN(INDEX('Vendor COIs'!$M$4:$M$503,(_calc!$E$372-500)))=0,"",INDEX('Vendor COIs'!$M$4:$M$503,(_calc!$E$372-500)))&amp;". ")&amp;IF(LEN(IF(LEN(INDEX('Vendor COIs'!$P$4:$P$503,(_calc!$E$372-500)))=0,"",INDEX('Vendor COIs'!$P$4:$P$503,(_calc!$E$372-500))))=0,"",IF(LEN(INDEX('Vendor COIs'!$P$4:$P$503,(_calc!$E$372-500)))=0,"",INDEX('Vendor COIs'!$P$4:$P$503,(_calc!$E$372-500)))))))</f>
        <v/>
      </c>
      <c r="G370" s="46">
        <f>IF(_calc!$E$372="","",IF(_calc!$E$372&lt;=500,IF(LEN(INDEX('Our policies'!$R$4:$R$503,_calc!$E$372))=0,"",INDEX('Our policies'!$R$4:$R$503,_calc!$E$372)),IF(LEN(INDEX('Vendor COIs'!$O$4:$O$503,(_calc!$E$372-500)))=0,"",INDEX('Vendor COIs'!$O$4:$O$503,(_calc!$E$372-500)))))</f>
        <v/>
      </c>
      <c r="H370" s="46">
        <f>IF(_calc!$E$372="","",IF(_calc!$E$372&lt;=500,IF(LEN(INDEX('Our policies'!$G$4:$G$503,_calc!$E$372))=0,"",INDEX('Our policies'!$G$4:$G$503,_calc!$E$372)),""))</f>
        <v/>
      </c>
      <c r="I370" s="46">
        <f>IF(_calc!$E$372="","",IF(_calc!$E$372&lt;=500,IF(LEN(INDEX('Our policies'!$H$4:$H$503,_calc!$E$372))=0,"",INDEX('Our policies'!$H$4:$H$503,_calc!$E$372)),""))</f>
        <v/>
      </c>
      <c r="K370" s="46">
        <f>IF(_calc!$E$372="","",IF(_calc!$E$372&lt;=500,IF(LEN(INDEX('Our policies'!$P$4:$P$503,_calc!$E$372))=0,"",INDEX('Our policies'!$P$4:$P$503,_calc!$E$372)),IF(LEN(INDEX('Vendor COIs'!$N$4:$N$503,(_calc!$E$372-500)))=0,"",INDEX('Vendor COIs'!$N$4:$N$503,(_calc!$E$372-500)))))</f>
        <v/>
      </c>
    </row>
    <row r="371">
      <c r="A371" s="46">
        <f>IF(_calc!$E$373="","",IF(_calc!$E$373&lt;=500,IF(LEN(INDEX('Our policies'!$A$4:$A$503,_calc!$E$373))=0,"",INDEX('Our policies'!$A$4:$A$503,_calc!$E$373)),"COI – "&amp;IF(LEN(INDEX('Vendor COIs'!$A$4:$A$503,(_calc!$E$373-500)))=0,"",INDEX('Vendor COIs'!$A$4:$A$503,(_calc!$E$373-500)))&amp;" – "&amp;IF(LEN(INDEX('Vendor COIs'!$B$4:$B$503,(_calc!$E$373-500)))=0,"",INDEX('Vendor COIs'!$B$4:$B$503,(_calc!$E$373-500)))))</f>
        <v/>
      </c>
      <c r="B371" s="46">
        <f>IF(_calc!$E$373="","",IF(_calc!$E$373&lt;=500,IF(ISNUMBER(INDEX('Our policies'!$J$4:$J$503,_calc!$E$373)),TEXT(INDEX('Our policies'!$J$4:$J$503,_calc!$E$373),"yyyy-mm-dd"),""),IF(ISNUMBER(INDEX('Vendor COIs'!$H$4:$H$503,(_calc!$E$373-500))),TEXT(INDEX('Vendor COIs'!$H$4:$H$503,(_calc!$E$373-500)),"yyyy-mm-dd"),"")))</f>
        <v/>
      </c>
      <c r="C371" s="46">
        <f>IF(_calc!$E$373="","",IF(_calc!$E$373&lt;=500,"Insurance","Certificate of insurance"))</f>
        <v/>
      </c>
      <c r="D371" s="46">
        <f>IF(_calc!$E$373="","",IF(_calc!$E$373&lt;=500,IF(ISNUMBER(INDEX('Our policies'!$I$4:$I$503,_calc!$E$373)),TEXT(INDEX('Our policies'!$I$4:$I$503,_calc!$E$373),"yyyy-mm-dd"),""),""))</f>
        <v/>
      </c>
      <c r="E371" s="46">
        <f>IF(_calc!$E$373="","",IF(_calc!$E$373&lt;=500,IF(LEN(INDEX('Our policies'!$Q$4:$Q$503,_calc!$E$373))=0,"",INDEX('Our policies'!$Q$4:$Q$503,_calc!$E$373)),"Medium"))</f>
        <v/>
      </c>
      <c r="F371" s="46">
        <f>IF(_calc!$E$373="","",IF(_calc!$E$373&lt;=500,TRIM(IF(LEN(IF(LEN(INDEX('Our policies'!$B$4:$B$503,_calc!$E$373))=0,"",INDEX('Our policies'!$B$4:$B$503,_calc!$E$373)))=0,"","Cover: "&amp;IF(LEN(INDEX('Our policies'!$B$4:$B$503,_calc!$E$373))=0,"",INDEX('Our policies'!$B$4:$B$503,_calc!$E$373))&amp;". ")&amp;IF(LEN(IF(LEN(INDEX('Our policies'!$C$4:$C$503,_calc!$E$373))=0,"",INDEX('Our policies'!$C$4:$C$503,_calc!$E$373)))=0,"","Insurer: "&amp;IF(LEN(INDEX('Our policies'!$C$4:$C$503,_calc!$E$373))=0,"",INDEX('Our policies'!$C$4:$C$503,_calc!$E$373))&amp;". ")&amp;IF(LEN(IF(LEN(INDEX('Our policies'!$D$4:$D$503,_calc!$E$373))=0,"",INDEX('Our policies'!$D$4:$D$503,_calc!$E$373)))=0,"","Broker: "&amp;IF(LEN(INDEX('Our policies'!$D$4:$D$503,_calc!$E$373))=0,"",INDEX('Our policies'!$D$4:$D$503,_calc!$E$373))&amp;". ")&amp;IF(LEN(IF(LEN(INDEX('Our policies'!$E$4:$E$503,_calc!$E$373))=0,"",INDEX('Our policies'!$E$4:$E$503,_calc!$E$373)))=0,"","Policy no.: "&amp;IF(LEN(INDEX('Our policies'!$E$4:$E$503,_calc!$E$373))=0,"",INDEX('Our policies'!$E$4:$E$503,_calc!$E$373))&amp;". ")&amp;IF(LEN(IF(LEN(INDEX('Our policies'!$S$4:$S$503,_calc!$E$373))=0,"",INDEX('Our policies'!$S$4:$S$503,_calc!$E$373)))=0,"",IF(LEN(INDEX('Our policies'!$S$4:$S$503,_calc!$E$373))=0,"",INDEX('Our policies'!$S$4:$S$503,_calc!$E$373)))),TRIM(IF(LEN(IF(LEN(INDEX('Vendor COIs'!$C$4:$C$503,(_calc!$E$373-500)))=0,"",INDEX('Vendor COIs'!$C$4:$C$503,(_calc!$E$373-500))))=0,"","Insurer: "&amp;IF(LEN(INDEX('Vendor COIs'!$C$4:$C$503,(_calc!$E$373-500)))=0,"",INDEX('Vendor COIs'!$C$4:$C$503,(_calc!$E$373-500)))&amp;". ")&amp;IF(LEN(IF(LEN(INDEX('Vendor COIs'!$D$4:$D$503,(_calc!$E$373-500)))=0,"",INDEX('Vendor COIs'!$D$4:$D$503,(_calc!$E$373-500))))=0,"","Policy no.: "&amp;IF(LEN(INDEX('Vendor COIs'!$D$4:$D$503,(_calc!$E$373-500)))=0,"",INDEX('Vendor COIs'!$D$4:$D$503,(_calc!$E$373-500)))&amp;". ")&amp;IF(LEN(IF(LEN(INDEX('Vendor COIs'!$F$4:$F$503,(_calc!$E$373-500)))=0,"",INDEX('Vendor COIs'!$F$4:$F$503,(_calc!$E$373-500))))=0,"","Meets minimum: "&amp;IF(LEN(INDEX('Vendor COIs'!$F$4:$F$503,(_calc!$E$373-500)))=0,"",INDEX('Vendor COIs'!$F$4:$F$503,(_calc!$E$373-500)))&amp;". ")&amp;IF(LEN(IF(LEN(INDEX('Vendor COIs'!$G$4:$G$503,(_calc!$E$373-500)))=0,"",INDEX('Vendor COIs'!$G$4:$G$503,(_calc!$E$373-500))))=0,"","Additional insured: "&amp;IF(LEN(INDEX('Vendor COIs'!$G$4:$G$503,(_calc!$E$373-500)))=0,"",INDEX('Vendor COIs'!$G$4:$G$503,(_calc!$E$373-500)))&amp;". ")&amp;IF(LEN(IF(LEN(INDEX('Vendor COIs'!$M$4:$M$503,(_calc!$E$373-500)))=0,"",INDEX('Vendor COIs'!$M$4:$M$503,(_calc!$E$373-500))))=0,"","Vendor contact: "&amp;IF(LEN(INDEX('Vendor COIs'!$M$4:$M$503,(_calc!$E$373-500)))=0,"",INDEX('Vendor COIs'!$M$4:$M$503,(_calc!$E$373-500)))&amp;". ")&amp;IF(LEN(IF(LEN(INDEX('Vendor COIs'!$P$4:$P$503,(_calc!$E$373-500)))=0,"",INDEX('Vendor COIs'!$P$4:$P$503,(_calc!$E$373-500))))=0,"",IF(LEN(INDEX('Vendor COIs'!$P$4:$P$503,(_calc!$E$373-500)))=0,"",INDEX('Vendor COIs'!$P$4:$P$503,(_calc!$E$373-500)))))))</f>
        <v/>
      </c>
      <c r="G371" s="46">
        <f>IF(_calc!$E$373="","",IF(_calc!$E$373&lt;=500,IF(LEN(INDEX('Our policies'!$R$4:$R$503,_calc!$E$373))=0,"",INDEX('Our policies'!$R$4:$R$503,_calc!$E$373)),IF(LEN(INDEX('Vendor COIs'!$O$4:$O$503,(_calc!$E$373-500)))=0,"",INDEX('Vendor COIs'!$O$4:$O$503,(_calc!$E$373-500)))))</f>
        <v/>
      </c>
      <c r="H371" s="46">
        <f>IF(_calc!$E$373="","",IF(_calc!$E$373&lt;=500,IF(LEN(INDEX('Our policies'!$G$4:$G$503,_calc!$E$373))=0,"",INDEX('Our policies'!$G$4:$G$503,_calc!$E$373)),""))</f>
        <v/>
      </c>
      <c r="I371" s="46">
        <f>IF(_calc!$E$373="","",IF(_calc!$E$373&lt;=500,IF(LEN(INDEX('Our policies'!$H$4:$H$503,_calc!$E$373))=0,"",INDEX('Our policies'!$H$4:$H$503,_calc!$E$373)),""))</f>
        <v/>
      </c>
      <c r="K371" s="46">
        <f>IF(_calc!$E$373="","",IF(_calc!$E$373&lt;=500,IF(LEN(INDEX('Our policies'!$P$4:$P$503,_calc!$E$373))=0,"",INDEX('Our policies'!$P$4:$P$503,_calc!$E$373)),IF(LEN(INDEX('Vendor COIs'!$N$4:$N$503,(_calc!$E$373-500)))=0,"",INDEX('Vendor COIs'!$N$4:$N$503,(_calc!$E$373-500)))))</f>
        <v/>
      </c>
    </row>
    <row r="372">
      <c r="A372" s="46">
        <f>IF(_calc!$E$374="","",IF(_calc!$E$374&lt;=500,IF(LEN(INDEX('Our policies'!$A$4:$A$503,_calc!$E$374))=0,"",INDEX('Our policies'!$A$4:$A$503,_calc!$E$374)),"COI – "&amp;IF(LEN(INDEX('Vendor COIs'!$A$4:$A$503,(_calc!$E$374-500)))=0,"",INDEX('Vendor COIs'!$A$4:$A$503,(_calc!$E$374-500)))&amp;" – "&amp;IF(LEN(INDEX('Vendor COIs'!$B$4:$B$503,(_calc!$E$374-500)))=0,"",INDEX('Vendor COIs'!$B$4:$B$503,(_calc!$E$374-500)))))</f>
        <v/>
      </c>
      <c r="B372" s="46">
        <f>IF(_calc!$E$374="","",IF(_calc!$E$374&lt;=500,IF(ISNUMBER(INDEX('Our policies'!$J$4:$J$503,_calc!$E$374)),TEXT(INDEX('Our policies'!$J$4:$J$503,_calc!$E$374),"yyyy-mm-dd"),""),IF(ISNUMBER(INDEX('Vendor COIs'!$H$4:$H$503,(_calc!$E$374-500))),TEXT(INDEX('Vendor COIs'!$H$4:$H$503,(_calc!$E$374-500)),"yyyy-mm-dd"),"")))</f>
        <v/>
      </c>
      <c r="C372" s="46">
        <f>IF(_calc!$E$374="","",IF(_calc!$E$374&lt;=500,"Insurance","Certificate of insurance"))</f>
        <v/>
      </c>
      <c r="D372" s="46">
        <f>IF(_calc!$E$374="","",IF(_calc!$E$374&lt;=500,IF(ISNUMBER(INDEX('Our policies'!$I$4:$I$503,_calc!$E$374)),TEXT(INDEX('Our policies'!$I$4:$I$503,_calc!$E$374),"yyyy-mm-dd"),""),""))</f>
        <v/>
      </c>
      <c r="E372" s="46">
        <f>IF(_calc!$E$374="","",IF(_calc!$E$374&lt;=500,IF(LEN(INDEX('Our policies'!$Q$4:$Q$503,_calc!$E$374))=0,"",INDEX('Our policies'!$Q$4:$Q$503,_calc!$E$374)),"Medium"))</f>
        <v/>
      </c>
      <c r="F372" s="46">
        <f>IF(_calc!$E$374="","",IF(_calc!$E$374&lt;=500,TRIM(IF(LEN(IF(LEN(INDEX('Our policies'!$B$4:$B$503,_calc!$E$374))=0,"",INDEX('Our policies'!$B$4:$B$503,_calc!$E$374)))=0,"","Cover: "&amp;IF(LEN(INDEX('Our policies'!$B$4:$B$503,_calc!$E$374))=0,"",INDEX('Our policies'!$B$4:$B$503,_calc!$E$374))&amp;". ")&amp;IF(LEN(IF(LEN(INDEX('Our policies'!$C$4:$C$503,_calc!$E$374))=0,"",INDEX('Our policies'!$C$4:$C$503,_calc!$E$374)))=0,"","Insurer: "&amp;IF(LEN(INDEX('Our policies'!$C$4:$C$503,_calc!$E$374))=0,"",INDEX('Our policies'!$C$4:$C$503,_calc!$E$374))&amp;". ")&amp;IF(LEN(IF(LEN(INDEX('Our policies'!$D$4:$D$503,_calc!$E$374))=0,"",INDEX('Our policies'!$D$4:$D$503,_calc!$E$374)))=0,"","Broker: "&amp;IF(LEN(INDEX('Our policies'!$D$4:$D$503,_calc!$E$374))=0,"",INDEX('Our policies'!$D$4:$D$503,_calc!$E$374))&amp;". ")&amp;IF(LEN(IF(LEN(INDEX('Our policies'!$E$4:$E$503,_calc!$E$374))=0,"",INDEX('Our policies'!$E$4:$E$503,_calc!$E$374)))=0,"","Policy no.: "&amp;IF(LEN(INDEX('Our policies'!$E$4:$E$503,_calc!$E$374))=0,"",INDEX('Our policies'!$E$4:$E$503,_calc!$E$374))&amp;". ")&amp;IF(LEN(IF(LEN(INDEX('Our policies'!$S$4:$S$503,_calc!$E$374))=0,"",INDEX('Our policies'!$S$4:$S$503,_calc!$E$374)))=0,"",IF(LEN(INDEX('Our policies'!$S$4:$S$503,_calc!$E$374))=0,"",INDEX('Our policies'!$S$4:$S$503,_calc!$E$374)))),TRIM(IF(LEN(IF(LEN(INDEX('Vendor COIs'!$C$4:$C$503,(_calc!$E$374-500)))=0,"",INDEX('Vendor COIs'!$C$4:$C$503,(_calc!$E$374-500))))=0,"","Insurer: "&amp;IF(LEN(INDEX('Vendor COIs'!$C$4:$C$503,(_calc!$E$374-500)))=0,"",INDEX('Vendor COIs'!$C$4:$C$503,(_calc!$E$374-500)))&amp;". ")&amp;IF(LEN(IF(LEN(INDEX('Vendor COIs'!$D$4:$D$503,(_calc!$E$374-500)))=0,"",INDEX('Vendor COIs'!$D$4:$D$503,(_calc!$E$374-500))))=0,"","Policy no.: "&amp;IF(LEN(INDEX('Vendor COIs'!$D$4:$D$503,(_calc!$E$374-500)))=0,"",INDEX('Vendor COIs'!$D$4:$D$503,(_calc!$E$374-500)))&amp;". ")&amp;IF(LEN(IF(LEN(INDEX('Vendor COIs'!$F$4:$F$503,(_calc!$E$374-500)))=0,"",INDEX('Vendor COIs'!$F$4:$F$503,(_calc!$E$374-500))))=0,"","Meets minimum: "&amp;IF(LEN(INDEX('Vendor COIs'!$F$4:$F$503,(_calc!$E$374-500)))=0,"",INDEX('Vendor COIs'!$F$4:$F$503,(_calc!$E$374-500)))&amp;". ")&amp;IF(LEN(IF(LEN(INDEX('Vendor COIs'!$G$4:$G$503,(_calc!$E$374-500)))=0,"",INDEX('Vendor COIs'!$G$4:$G$503,(_calc!$E$374-500))))=0,"","Additional insured: "&amp;IF(LEN(INDEX('Vendor COIs'!$G$4:$G$503,(_calc!$E$374-500)))=0,"",INDEX('Vendor COIs'!$G$4:$G$503,(_calc!$E$374-500)))&amp;". ")&amp;IF(LEN(IF(LEN(INDEX('Vendor COIs'!$M$4:$M$503,(_calc!$E$374-500)))=0,"",INDEX('Vendor COIs'!$M$4:$M$503,(_calc!$E$374-500))))=0,"","Vendor contact: "&amp;IF(LEN(INDEX('Vendor COIs'!$M$4:$M$503,(_calc!$E$374-500)))=0,"",INDEX('Vendor COIs'!$M$4:$M$503,(_calc!$E$374-500)))&amp;". ")&amp;IF(LEN(IF(LEN(INDEX('Vendor COIs'!$P$4:$P$503,(_calc!$E$374-500)))=0,"",INDEX('Vendor COIs'!$P$4:$P$503,(_calc!$E$374-500))))=0,"",IF(LEN(INDEX('Vendor COIs'!$P$4:$P$503,(_calc!$E$374-500)))=0,"",INDEX('Vendor COIs'!$P$4:$P$503,(_calc!$E$374-500)))))))</f>
        <v/>
      </c>
      <c r="G372" s="46">
        <f>IF(_calc!$E$374="","",IF(_calc!$E$374&lt;=500,IF(LEN(INDEX('Our policies'!$R$4:$R$503,_calc!$E$374))=0,"",INDEX('Our policies'!$R$4:$R$503,_calc!$E$374)),IF(LEN(INDEX('Vendor COIs'!$O$4:$O$503,(_calc!$E$374-500)))=0,"",INDEX('Vendor COIs'!$O$4:$O$503,(_calc!$E$374-500)))))</f>
        <v/>
      </c>
      <c r="H372" s="46">
        <f>IF(_calc!$E$374="","",IF(_calc!$E$374&lt;=500,IF(LEN(INDEX('Our policies'!$G$4:$G$503,_calc!$E$374))=0,"",INDEX('Our policies'!$G$4:$G$503,_calc!$E$374)),""))</f>
        <v/>
      </c>
      <c r="I372" s="46">
        <f>IF(_calc!$E$374="","",IF(_calc!$E$374&lt;=500,IF(LEN(INDEX('Our policies'!$H$4:$H$503,_calc!$E$374))=0,"",INDEX('Our policies'!$H$4:$H$503,_calc!$E$374)),""))</f>
        <v/>
      </c>
      <c r="K372" s="46">
        <f>IF(_calc!$E$374="","",IF(_calc!$E$374&lt;=500,IF(LEN(INDEX('Our policies'!$P$4:$P$503,_calc!$E$374))=0,"",INDEX('Our policies'!$P$4:$P$503,_calc!$E$374)),IF(LEN(INDEX('Vendor COIs'!$N$4:$N$503,(_calc!$E$374-500)))=0,"",INDEX('Vendor COIs'!$N$4:$N$503,(_calc!$E$374-500)))))</f>
        <v/>
      </c>
    </row>
    <row r="373">
      <c r="A373" s="46">
        <f>IF(_calc!$E$375="","",IF(_calc!$E$375&lt;=500,IF(LEN(INDEX('Our policies'!$A$4:$A$503,_calc!$E$375))=0,"",INDEX('Our policies'!$A$4:$A$503,_calc!$E$375)),"COI – "&amp;IF(LEN(INDEX('Vendor COIs'!$A$4:$A$503,(_calc!$E$375-500)))=0,"",INDEX('Vendor COIs'!$A$4:$A$503,(_calc!$E$375-500)))&amp;" – "&amp;IF(LEN(INDEX('Vendor COIs'!$B$4:$B$503,(_calc!$E$375-500)))=0,"",INDEX('Vendor COIs'!$B$4:$B$503,(_calc!$E$375-500)))))</f>
        <v/>
      </c>
      <c r="B373" s="46">
        <f>IF(_calc!$E$375="","",IF(_calc!$E$375&lt;=500,IF(ISNUMBER(INDEX('Our policies'!$J$4:$J$503,_calc!$E$375)),TEXT(INDEX('Our policies'!$J$4:$J$503,_calc!$E$375),"yyyy-mm-dd"),""),IF(ISNUMBER(INDEX('Vendor COIs'!$H$4:$H$503,(_calc!$E$375-500))),TEXT(INDEX('Vendor COIs'!$H$4:$H$503,(_calc!$E$375-500)),"yyyy-mm-dd"),"")))</f>
        <v/>
      </c>
      <c r="C373" s="46">
        <f>IF(_calc!$E$375="","",IF(_calc!$E$375&lt;=500,"Insurance","Certificate of insurance"))</f>
        <v/>
      </c>
      <c r="D373" s="46">
        <f>IF(_calc!$E$375="","",IF(_calc!$E$375&lt;=500,IF(ISNUMBER(INDEX('Our policies'!$I$4:$I$503,_calc!$E$375)),TEXT(INDEX('Our policies'!$I$4:$I$503,_calc!$E$375),"yyyy-mm-dd"),""),""))</f>
        <v/>
      </c>
      <c r="E373" s="46">
        <f>IF(_calc!$E$375="","",IF(_calc!$E$375&lt;=500,IF(LEN(INDEX('Our policies'!$Q$4:$Q$503,_calc!$E$375))=0,"",INDEX('Our policies'!$Q$4:$Q$503,_calc!$E$375)),"Medium"))</f>
        <v/>
      </c>
      <c r="F373" s="46">
        <f>IF(_calc!$E$375="","",IF(_calc!$E$375&lt;=500,TRIM(IF(LEN(IF(LEN(INDEX('Our policies'!$B$4:$B$503,_calc!$E$375))=0,"",INDEX('Our policies'!$B$4:$B$503,_calc!$E$375)))=0,"","Cover: "&amp;IF(LEN(INDEX('Our policies'!$B$4:$B$503,_calc!$E$375))=0,"",INDEX('Our policies'!$B$4:$B$503,_calc!$E$375))&amp;". ")&amp;IF(LEN(IF(LEN(INDEX('Our policies'!$C$4:$C$503,_calc!$E$375))=0,"",INDEX('Our policies'!$C$4:$C$503,_calc!$E$375)))=0,"","Insurer: "&amp;IF(LEN(INDEX('Our policies'!$C$4:$C$503,_calc!$E$375))=0,"",INDEX('Our policies'!$C$4:$C$503,_calc!$E$375))&amp;". ")&amp;IF(LEN(IF(LEN(INDEX('Our policies'!$D$4:$D$503,_calc!$E$375))=0,"",INDEX('Our policies'!$D$4:$D$503,_calc!$E$375)))=0,"","Broker: "&amp;IF(LEN(INDEX('Our policies'!$D$4:$D$503,_calc!$E$375))=0,"",INDEX('Our policies'!$D$4:$D$503,_calc!$E$375))&amp;". ")&amp;IF(LEN(IF(LEN(INDEX('Our policies'!$E$4:$E$503,_calc!$E$375))=0,"",INDEX('Our policies'!$E$4:$E$503,_calc!$E$375)))=0,"","Policy no.: "&amp;IF(LEN(INDEX('Our policies'!$E$4:$E$503,_calc!$E$375))=0,"",INDEX('Our policies'!$E$4:$E$503,_calc!$E$375))&amp;". ")&amp;IF(LEN(IF(LEN(INDEX('Our policies'!$S$4:$S$503,_calc!$E$375))=0,"",INDEX('Our policies'!$S$4:$S$503,_calc!$E$375)))=0,"",IF(LEN(INDEX('Our policies'!$S$4:$S$503,_calc!$E$375))=0,"",INDEX('Our policies'!$S$4:$S$503,_calc!$E$375)))),TRIM(IF(LEN(IF(LEN(INDEX('Vendor COIs'!$C$4:$C$503,(_calc!$E$375-500)))=0,"",INDEX('Vendor COIs'!$C$4:$C$503,(_calc!$E$375-500))))=0,"","Insurer: "&amp;IF(LEN(INDEX('Vendor COIs'!$C$4:$C$503,(_calc!$E$375-500)))=0,"",INDEX('Vendor COIs'!$C$4:$C$503,(_calc!$E$375-500)))&amp;". ")&amp;IF(LEN(IF(LEN(INDEX('Vendor COIs'!$D$4:$D$503,(_calc!$E$375-500)))=0,"",INDEX('Vendor COIs'!$D$4:$D$503,(_calc!$E$375-500))))=0,"","Policy no.: "&amp;IF(LEN(INDEX('Vendor COIs'!$D$4:$D$503,(_calc!$E$375-500)))=0,"",INDEX('Vendor COIs'!$D$4:$D$503,(_calc!$E$375-500)))&amp;". ")&amp;IF(LEN(IF(LEN(INDEX('Vendor COIs'!$F$4:$F$503,(_calc!$E$375-500)))=0,"",INDEX('Vendor COIs'!$F$4:$F$503,(_calc!$E$375-500))))=0,"","Meets minimum: "&amp;IF(LEN(INDEX('Vendor COIs'!$F$4:$F$503,(_calc!$E$375-500)))=0,"",INDEX('Vendor COIs'!$F$4:$F$503,(_calc!$E$375-500)))&amp;". ")&amp;IF(LEN(IF(LEN(INDEX('Vendor COIs'!$G$4:$G$503,(_calc!$E$375-500)))=0,"",INDEX('Vendor COIs'!$G$4:$G$503,(_calc!$E$375-500))))=0,"","Additional insured: "&amp;IF(LEN(INDEX('Vendor COIs'!$G$4:$G$503,(_calc!$E$375-500)))=0,"",INDEX('Vendor COIs'!$G$4:$G$503,(_calc!$E$375-500)))&amp;". ")&amp;IF(LEN(IF(LEN(INDEX('Vendor COIs'!$M$4:$M$503,(_calc!$E$375-500)))=0,"",INDEX('Vendor COIs'!$M$4:$M$503,(_calc!$E$375-500))))=0,"","Vendor contact: "&amp;IF(LEN(INDEX('Vendor COIs'!$M$4:$M$503,(_calc!$E$375-500)))=0,"",INDEX('Vendor COIs'!$M$4:$M$503,(_calc!$E$375-500)))&amp;". ")&amp;IF(LEN(IF(LEN(INDEX('Vendor COIs'!$P$4:$P$503,(_calc!$E$375-500)))=0,"",INDEX('Vendor COIs'!$P$4:$P$503,(_calc!$E$375-500))))=0,"",IF(LEN(INDEX('Vendor COIs'!$P$4:$P$503,(_calc!$E$375-500)))=0,"",INDEX('Vendor COIs'!$P$4:$P$503,(_calc!$E$375-500)))))))</f>
        <v/>
      </c>
      <c r="G373" s="46">
        <f>IF(_calc!$E$375="","",IF(_calc!$E$375&lt;=500,IF(LEN(INDEX('Our policies'!$R$4:$R$503,_calc!$E$375))=0,"",INDEX('Our policies'!$R$4:$R$503,_calc!$E$375)),IF(LEN(INDEX('Vendor COIs'!$O$4:$O$503,(_calc!$E$375-500)))=0,"",INDEX('Vendor COIs'!$O$4:$O$503,(_calc!$E$375-500)))))</f>
        <v/>
      </c>
      <c r="H373" s="46">
        <f>IF(_calc!$E$375="","",IF(_calc!$E$375&lt;=500,IF(LEN(INDEX('Our policies'!$G$4:$G$503,_calc!$E$375))=0,"",INDEX('Our policies'!$G$4:$G$503,_calc!$E$375)),""))</f>
        <v/>
      </c>
      <c r="I373" s="46">
        <f>IF(_calc!$E$375="","",IF(_calc!$E$375&lt;=500,IF(LEN(INDEX('Our policies'!$H$4:$H$503,_calc!$E$375))=0,"",INDEX('Our policies'!$H$4:$H$503,_calc!$E$375)),""))</f>
        <v/>
      </c>
      <c r="K373" s="46">
        <f>IF(_calc!$E$375="","",IF(_calc!$E$375&lt;=500,IF(LEN(INDEX('Our policies'!$P$4:$P$503,_calc!$E$375))=0,"",INDEX('Our policies'!$P$4:$P$503,_calc!$E$375)),IF(LEN(INDEX('Vendor COIs'!$N$4:$N$503,(_calc!$E$375-500)))=0,"",INDEX('Vendor COIs'!$N$4:$N$503,(_calc!$E$375-500)))))</f>
        <v/>
      </c>
    </row>
    <row r="374">
      <c r="A374" s="46">
        <f>IF(_calc!$E$376="","",IF(_calc!$E$376&lt;=500,IF(LEN(INDEX('Our policies'!$A$4:$A$503,_calc!$E$376))=0,"",INDEX('Our policies'!$A$4:$A$503,_calc!$E$376)),"COI – "&amp;IF(LEN(INDEX('Vendor COIs'!$A$4:$A$503,(_calc!$E$376-500)))=0,"",INDEX('Vendor COIs'!$A$4:$A$503,(_calc!$E$376-500)))&amp;" – "&amp;IF(LEN(INDEX('Vendor COIs'!$B$4:$B$503,(_calc!$E$376-500)))=0,"",INDEX('Vendor COIs'!$B$4:$B$503,(_calc!$E$376-500)))))</f>
        <v/>
      </c>
      <c r="B374" s="46">
        <f>IF(_calc!$E$376="","",IF(_calc!$E$376&lt;=500,IF(ISNUMBER(INDEX('Our policies'!$J$4:$J$503,_calc!$E$376)),TEXT(INDEX('Our policies'!$J$4:$J$503,_calc!$E$376),"yyyy-mm-dd"),""),IF(ISNUMBER(INDEX('Vendor COIs'!$H$4:$H$503,(_calc!$E$376-500))),TEXT(INDEX('Vendor COIs'!$H$4:$H$503,(_calc!$E$376-500)),"yyyy-mm-dd"),"")))</f>
        <v/>
      </c>
      <c r="C374" s="46">
        <f>IF(_calc!$E$376="","",IF(_calc!$E$376&lt;=500,"Insurance","Certificate of insurance"))</f>
        <v/>
      </c>
      <c r="D374" s="46">
        <f>IF(_calc!$E$376="","",IF(_calc!$E$376&lt;=500,IF(ISNUMBER(INDEX('Our policies'!$I$4:$I$503,_calc!$E$376)),TEXT(INDEX('Our policies'!$I$4:$I$503,_calc!$E$376),"yyyy-mm-dd"),""),""))</f>
        <v/>
      </c>
      <c r="E374" s="46">
        <f>IF(_calc!$E$376="","",IF(_calc!$E$376&lt;=500,IF(LEN(INDEX('Our policies'!$Q$4:$Q$503,_calc!$E$376))=0,"",INDEX('Our policies'!$Q$4:$Q$503,_calc!$E$376)),"Medium"))</f>
        <v/>
      </c>
      <c r="F374" s="46">
        <f>IF(_calc!$E$376="","",IF(_calc!$E$376&lt;=500,TRIM(IF(LEN(IF(LEN(INDEX('Our policies'!$B$4:$B$503,_calc!$E$376))=0,"",INDEX('Our policies'!$B$4:$B$503,_calc!$E$376)))=0,"","Cover: "&amp;IF(LEN(INDEX('Our policies'!$B$4:$B$503,_calc!$E$376))=0,"",INDEX('Our policies'!$B$4:$B$503,_calc!$E$376))&amp;". ")&amp;IF(LEN(IF(LEN(INDEX('Our policies'!$C$4:$C$503,_calc!$E$376))=0,"",INDEX('Our policies'!$C$4:$C$503,_calc!$E$376)))=0,"","Insurer: "&amp;IF(LEN(INDEX('Our policies'!$C$4:$C$503,_calc!$E$376))=0,"",INDEX('Our policies'!$C$4:$C$503,_calc!$E$376))&amp;". ")&amp;IF(LEN(IF(LEN(INDEX('Our policies'!$D$4:$D$503,_calc!$E$376))=0,"",INDEX('Our policies'!$D$4:$D$503,_calc!$E$376)))=0,"","Broker: "&amp;IF(LEN(INDEX('Our policies'!$D$4:$D$503,_calc!$E$376))=0,"",INDEX('Our policies'!$D$4:$D$503,_calc!$E$376))&amp;". ")&amp;IF(LEN(IF(LEN(INDEX('Our policies'!$E$4:$E$503,_calc!$E$376))=0,"",INDEX('Our policies'!$E$4:$E$503,_calc!$E$376)))=0,"","Policy no.: "&amp;IF(LEN(INDEX('Our policies'!$E$4:$E$503,_calc!$E$376))=0,"",INDEX('Our policies'!$E$4:$E$503,_calc!$E$376))&amp;". ")&amp;IF(LEN(IF(LEN(INDEX('Our policies'!$S$4:$S$503,_calc!$E$376))=0,"",INDEX('Our policies'!$S$4:$S$503,_calc!$E$376)))=0,"",IF(LEN(INDEX('Our policies'!$S$4:$S$503,_calc!$E$376))=0,"",INDEX('Our policies'!$S$4:$S$503,_calc!$E$376)))),TRIM(IF(LEN(IF(LEN(INDEX('Vendor COIs'!$C$4:$C$503,(_calc!$E$376-500)))=0,"",INDEX('Vendor COIs'!$C$4:$C$503,(_calc!$E$376-500))))=0,"","Insurer: "&amp;IF(LEN(INDEX('Vendor COIs'!$C$4:$C$503,(_calc!$E$376-500)))=0,"",INDEX('Vendor COIs'!$C$4:$C$503,(_calc!$E$376-500)))&amp;". ")&amp;IF(LEN(IF(LEN(INDEX('Vendor COIs'!$D$4:$D$503,(_calc!$E$376-500)))=0,"",INDEX('Vendor COIs'!$D$4:$D$503,(_calc!$E$376-500))))=0,"","Policy no.: "&amp;IF(LEN(INDEX('Vendor COIs'!$D$4:$D$503,(_calc!$E$376-500)))=0,"",INDEX('Vendor COIs'!$D$4:$D$503,(_calc!$E$376-500)))&amp;". ")&amp;IF(LEN(IF(LEN(INDEX('Vendor COIs'!$F$4:$F$503,(_calc!$E$376-500)))=0,"",INDEX('Vendor COIs'!$F$4:$F$503,(_calc!$E$376-500))))=0,"","Meets minimum: "&amp;IF(LEN(INDEX('Vendor COIs'!$F$4:$F$503,(_calc!$E$376-500)))=0,"",INDEX('Vendor COIs'!$F$4:$F$503,(_calc!$E$376-500)))&amp;". ")&amp;IF(LEN(IF(LEN(INDEX('Vendor COIs'!$G$4:$G$503,(_calc!$E$376-500)))=0,"",INDEX('Vendor COIs'!$G$4:$G$503,(_calc!$E$376-500))))=0,"","Additional insured: "&amp;IF(LEN(INDEX('Vendor COIs'!$G$4:$G$503,(_calc!$E$376-500)))=0,"",INDEX('Vendor COIs'!$G$4:$G$503,(_calc!$E$376-500)))&amp;". ")&amp;IF(LEN(IF(LEN(INDEX('Vendor COIs'!$M$4:$M$503,(_calc!$E$376-500)))=0,"",INDEX('Vendor COIs'!$M$4:$M$503,(_calc!$E$376-500))))=0,"","Vendor contact: "&amp;IF(LEN(INDEX('Vendor COIs'!$M$4:$M$503,(_calc!$E$376-500)))=0,"",INDEX('Vendor COIs'!$M$4:$M$503,(_calc!$E$376-500)))&amp;". ")&amp;IF(LEN(IF(LEN(INDEX('Vendor COIs'!$P$4:$P$503,(_calc!$E$376-500)))=0,"",INDEX('Vendor COIs'!$P$4:$P$503,(_calc!$E$376-500))))=0,"",IF(LEN(INDEX('Vendor COIs'!$P$4:$P$503,(_calc!$E$376-500)))=0,"",INDEX('Vendor COIs'!$P$4:$P$503,(_calc!$E$376-500)))))))</f>
        <v/>
      </c>
      <c r="G374" s="46">
        <f>IF(_calc!$E$376="","",IF(_calc!$E$376&lt;=500,IF(LEN(INDEX('Our policies'!$R$4:$R$503,_calc!$E$376))=0,"",INDEX('Our policies'!$R$4:$R$503,_calc!$E$376)),IF(LEN(INDEX('Vendor COIs'!$O$4:$O$503,(_calc!$E$376-500)))=0,"",INDEX('Vendor COIs'!$O$4:$O$503,(_calc!$E$376-500)))))</f>
        <v/>
      </c>
      <c r="H374" s="46">
        <f>IF(_calc!$E$376="","",IF(_calc!$E$376&lt;=500,IF(LEN(INDEX('Our policies'!$G$4:$G$503,_calc!$E$376))=0,"",INDEX('Our policies'!$G$4:$G$503,_calc!$E$376)),""))</f>
        <v/>
      </c>
      <c r="I374" s="46">
        <f>IF(_calc!$E$376="","",IF(_calc!$E$376&lt;=500,IF(LEN(INDEX('Our policies'!$H$4:$H$503,_calc!$E$376))=0,"",INDEX('Our policies'!$H$4:$H$503,_calc!$E$376)),""))</f>
        <v/>
      </c>
      <c r="K374" s="46">
        <f>IF(_calc!$E$376="","",IF(_calc!$E$376&lt;=500,IF(LEN(INDEX('Our policies'!$P$4:$P$503,_calc!$E$376))=0,"",INDEX('Our policies'!$P$4:$P$503,_calc!$E$376)),IF(LEN(INDEX('Vendor COIs'!$N$4:$N$503,(_calc!$E$376-500)))=0,"",INDEX('Vendor COIs'!$N$4:$N$503,(_calc!$E$376-500)))))</f>
        <v/>
      </c>
    </row>
    <row r="375">
      <c r="A375" s="46">
        <f>IF(_calc!$E$377="","",IF(_calc!$E$377&lt;=500,IF(LEN(INDEX('Our policies'!$A$4:$A$503,_calc!$E$377))=0,"",INDEX('Our policies'!$A$4:$A$503,_calc!$E$377)),"COI – "&amp;IF(LEN(INDEX('Vendor COIs'!$A$4:$A$503,(_calc!$E$377-500)))=0,"",INDEX('Vendor COIs'!$A$4:$A$503,(_calc!$E$377-500)))&amp;" – "&amp;IF(LEN(INDEX('Vendor COIs'!$B$4:$B$503,(_calc!$E$377-500)))=0,"",INDEX('Vendor COIs'!$B$4:$B$503,(_calc!$E$377-500)))))</f>
        <v/>
      </c>
      <c r="B375" s="46">
        <f>IF(_calc!$E$377="","",IF(_calc!$E$377&lt;=500,IF(ISNUMBER(INDEX('Our policies'!$J$4:$J$503,_calc!$E$377)),TEXT(INDEX('Our policies'!$J$4:$J$503,_calc!$E$377),"yyyy-mm-dd"),""),IF(ISNUMBER(INDEX('Vendor COIs'!$H$4:$H$503,(_calc!$E$377-500))),TEXT(INDEX('Vendor COIs'!$H$4:$H$503,(_calc!$E$377-500)),"yyyy-mm-dd"),"")))</f>
        <v/>
      </c>
      <c r="C375" s="46">
        <f>IF(_calc!$E$377="","",IF(_calc!$E$377&lt;=500,"Insurance","Certificate of insurance"))</f>
        <v/>
      </c>
      <c r="D375" s="46">
        <f>IF(_calc!$E$377="","",IF(_calc!$E$377&lt;=500,IF(ISNUMBER(INDEX('Our policies'!$I$4:$I$503,_calc!$E$377)),TEXT(INDEX('Our policies'!$I$4:$I$503,_calc!$E$377),"yyyy-mm-dd"),""),""))</f>
        <v/>
      </c>
      <c r="E375" s="46">
        <f>IF(_calc!$E$377="","",IF(_calc!$E$377&lt;=500,IF(LEN(INDEX('Our policies'!$Q$4:$Q$503,_calc!$E$377))=0,"",INDEX('Our policies'!$Q$4:$Q$503,_calc!$E$377)),"Medium"))</f>
        <v/>
      </c>
      <c r="F375" s="46">
        <f>IF(_calc!$E$377="","",IF(_calc!$E$377&lt;=500,TRIM(IF(LEN(IF(LEN(INDEX('Our policies'!$B$4:$B$503,_calc!$E$377))=0,"",INDEX('Our policies'!$B$4:$B$503,_calc!$E$377)))=0,"","Cover: "&amp;IF(LEN(INDEX('Our policies'!$B$4:$B$503,_calc!$E$377))=0,"",INDEX('Our policies'!$B$4:$B$503,_calc!$E$377))&amp;". ")&amp;IF(LEN(IF(LEN(INDEX('Our policies'!$C$4:$C$503,_calc!$E$377))=0,"",INDEX('Our policies'!$C$4:$C$503,_calc!$E$377)))=0,"","Insurer: "&amp;IF(LEN(INDEX('Our policies'!$C$4:$C$503,_calc!$E$377))=0,"",INDEX('Our policies'!$C$4:$C$503,_calc!$E$377))&amp;". ")&amp;IF(LEN(IF(LEN(INDEX('Our policies'!$D$4:$D$503,_calc!$E$377))=0,"",INDEX('Our policies'!$D$4:$D$503,_calc!$E$377)))=0,"","Broker: "&amp;IF(LEN(INDEX('Our policies'!$D$4:$D$503,_calc!$E$377))=0,"",INDEX('Our policies'!$D$4:$D$503,_calc!$E$377))&amp;". ")&amp;IF(LEN(IF(LEN(INDEX('Our policies'!$E$4:$E$503,_calc!$E$377))=0,"",INDEX('Our policies'!$E$4:$E$503,_calc!$E$377)))=0,"","Policy no.: "&amp;IF(LEN(INDEX('Our policies'!$E$4:$E$503,_calc!$E$377))=0,"",INDEX('Our policies'!$E$4:$E$503,_calc!$E$377))&amp;". ")&amp;IF(LEN(IF(LEN(INDEX('Our policies'!$S$4:$S$503,_calc!$E$377))=0,"",INDEX('Our policies'!$S$4:$S$503,_calc!$E$377)))=0,"",IF(LEN(INDEX('Our policies'!$S$4:$S$503,_calc!$E$377))=0,"",INDEX('Our policies'!$S$4:$S$503,_calc!$E$377)))),TRIM(IF(LEN(IF(LEN(INDEX('Vendor COIs'!$C$4:$C$503,(_calc!$E$377-500)))=0,"",INDEX('Vendor COIs'!$C$4:$C$503,(_calc!$E$377-500))))=0,"","Insurer: "&amp;IF(LEN(INDEX('Vendor COIs'!$C$4:$C$503,(_calc!$E$377-500)))=0,"",INDEX('Vendor COIs'!$C$4:$C$503,(_calc!$E$377-500)))&amp;". ")&amp;IF(LEN(IF(LEN(INDEX('Vendor COIs'!$D$4:$D$503,(_calc!$E$377-500)))=0,"",INDEX('Vendor COIs'!$D$4:$D$503,(_calc!$E$377-500))))=0,"","Policy no.: "&amp;IF(LEN(INDEX('Vendor COIs'!$D$4:$D$503,(_calc!$E$377-500)))=0,"",INDEX('Vendor COIs'!$D$4:$D$503,(_calc!$E$377-500)))&amp;". ")&amp;IF(LEN(IF(LEN(INDEX('Vendor COIs'!$F$4:$F$503,(_calc!$E$377-500)))=0,"",INDEX('Vendor COIs'!$F$4:$F$503,(_calc!$E$377-500))))=0,"","Meets minimum: "&amp;IF(LEN(INDEX('Vendor COIs'!$F$4:$F$503,(_calc!$E$377-500)))=0,"",INDEX('Vendor COIs'!$F$4:$F$503,(_calc!$E$377-500)))&amp;". ")&amp;IF(LEN(IF(LEN(INDEX('Vendor COIs'!$G$4:$G$503,(_calc!$E$377-500)))=0,"",INDEX('Vendor COIs'!$G$4:$G$503,(_calc!$E$377-500))))=0,"","Additional insured: "&amp;IF(LEN(INDEX('Vendor COIs'!$G$4:$G$503,(_calc!$E$377-500)))=0,"",INDEX('Vendor COIs'!$G$4:$G$503,(_calc!$E$377-500)))&amp;". ")&amp;IF(LEN(IF(LEN(INDEX('Vendor COIs'!$M$4:$M$503,(_calc!$E$377-500)))=0,"",INDEX('Vendor COIs'!$M$4:$M$503,(_calc!$E$377-500))))=0,"","Vendor contact: "&amp;IF(LEN(INDEX('Vendor COIs'!$M$4:$M$503,(_calc!$E$377-500)))=0,"",INDEX('Vendor COIs'!$M$4:$M$503,(_calc!$E$377-500)))&amp;". ")&amp;IF(LEN(IF(LEN(INDEX('Vendor COIs'!$P$4:$P$503,(_calc!$E$377-500)))=0,"",INDEX('Vendor COIs'!$P$4:$P$503,(_calc!$E$377-500))))=0,"",IF(LEN(INDEX('Vendor COIs'!$P$4:$P$503,(_calc!$E$377-500)))=0,"",INDEX('Vendor COIs'!$P$4:$P$503,(_calc!$E$377-500)))))))</f>
        <v/>
      </c>
      <c r="G375" s="46">
        <f>IF(_calc!$E$377="","",IF(_calc!$E$377&lt;=500,IF(LEN(INDEX('Our policies'!$R$4:$R$503,_calc!$E$377))=0,"",INDEX('Our policies'!$R$4:$R$503,_calc!$E$377)),IF(LEN(INDEX('Vendor COIs'!$O$4:$O$503,(_calc!$E$377-500)))=0,"",INDEX('Vendor COIs'!$O$4:$O$503,(_calc!$E$377-500)))))</f>
        <v/>
      </c>
      <c r="H375" s="46">
        <f>IF(_calc!$E$377="","",IF(_calc!$E$377&lt;=500,IF(LEN(INDEX('Our policies'!$G$4:$G$503,_calc!$E$377))=0,"",INDEX('Our policies'!$G$4:$G$503,_calc!$E$377)),""))</f>
        <v/>
      </c>
      <c r="I375" s="46">
        <f>IF(_calc!$E$377="","",IF(_calc!$E$377&lt;=500,IF(LEN(INDEX('Our policies'!$H$4:$H$503,_calc!$E$377))=0,"",INDEX('Our policies'!$H$4:$H$503,_calc!$E$377)),""))</f>
        <v/>
      </c>
      <c r="K375" s="46">
        <f>IF(_calc!$E$377="","",IF(_calc!$E$377&lt;=500,IF(LEN(INDEX('Our policies'!$P$4:$P$503,_calc!$E$377))=0,"",INDEX('Our policies'!$P$4:$P$503,_calc!$E$377)),IF(LEN(INDEX('Vendor COIs'!$N$4:$N$503,(_calc!$E$377-500)))=0,"",INDEX('Vendor COIs'!$N$4:$N$503,(_calc!$E$377-500)))))</f>
        <v/>
      </c>
    </row>
    <row r="376">
      <c r="A376" s="46">
        <f>IF(_calc!$E$378="","",IF(_calc!$E$378&lt;=500,IF(LEN(INDEX('Our policies'!$A$4:$A$503,_calc!$E$378))=0,"",INDEX('Our policies'!$A$4:$A$503,_calc!$E$378)),"COI – "&amp;IF(LEN(INDEX('Vendor COIs'!$A$4:$A$503,(_calc!$E$378-500)))=0,"",INDEX('Vendor COIs'!$A$4:$A$503,(_calc!$E$378-500)))&amp;" – "&amp;IF(LEN(INDEX('Vendor COIs'!$B$4:$B$503,(_calc!$E$378-500)))=0,"",INDEX('Vendor COIs'!$B$4:$B$503,(_calc!$E$378-500)))))</f>
        <v/>
      </c>
      <c r="B376" s="46">
        <f>IF(_calc!$E$378="","",IF(_calc!$E$378&lt;=500,IF(ISNUMBER(INDEX('Our policies'!$J$4:$J$503,_calc!$E$378)),TEXT(INDEX('Our policies'!$J$4:$J$503,_calc!$E$378),"yyyy-mm-dd"),""),IF(ISNUMBER(INDEX('Vendor COIs'!$H$4:$H$503,(_calc!$E$378-500))),TEXT(INDEX('Vendor COIs'!$H$4:$H$503,(_calc!$E$378-500)),"yyyy-mm-dd"),"")))</f>
        <v/>
      </c>
      <c r="C376" s="46">
        <f>IF(_calc!$E$378="","",IF(_calc!$E$378&lt;=500,"Insurance","Certificate of insurance"))</f>
        <v/>
      </c>
      <c r="D376" s="46">
        <f>IF(_calc!$E$378="","",IF(_calc!$E$378&lt;=500,IF(ISNUMBER(INDEX('Our policies'!$I$4:$I$503,_calc!$E$378)),TEXT(INDEX('Our policies'!$I$4:$I$503,_calc!$E$378),"yyyy-mm-dd"),""),""))</f>
        <v/>
      </c>
      <c r="E376" s="46">
        <f>IF(_calc!$E$378="","",IF(_calc!$E$378&lt;=500,IF(LEN(INDEX('Our policies'!$Q$4:$Q$503,_calc!$E$378))=0,"",INDEX('Our policies'!$Q$4:$Q$503,_calc!$E$378)),"Medium"))</f>
        <v/>
      </c>
      <c r="F376" s="46">
        <f>IF(_calc!$E$378="","",IF(_calc!$E$378&lt;=500,TRIM(IF(LEN(IF(LEN(INDEX('Our policies'!$B$4:$B$503,_calc!$E$378))=0,"",INDEX('Our policies'!$B$4:$B$503,_calc!$E$378)))=0,"","Cover: "&amp;IF(LEN(INDEX('Our policies'!$B$4:$B$503,_calc!$E$378))=0,"",INDEX('Our policies'!$B$4:$B$503,_calc!$E$378))&amp;". ")&amp;IF(LEN(IF(LEN(INDEX('Our policies'!$C$4:$C$503,_calc!$E$378))=0,"",INDEX('Our policies'!$C$4:$C$503,_calc!$E$378)))=0,"","Insurer: "&amp;IF(LEN(INDEX('Our policies'!$C$4:$C$503,_calc!$E$378))=0,"",INDEX('Our policies'!$C$4:$C$503,_calc!$E$378))&amp;". ")&amp;IF(LEN(IF(LEN(INDEX('Our policies'!$D$4:$D$503,_calc!$E$378))=0,"",INDEX('Our policies'!$D$4:$D$503,_calc!$E$378)))=0,"","Broker: "&amp;IF(LEN(INDEX('Our policies'!$D$4:$D$503,_calc!$E$378))=0,"",INDEX('Our policies'!$D$4:$D$503,_calc!$E$378))&amp;". ")&amp;IF(LEN(IF(LEN(INDEX('Our policies'!$E$4:$E$503,_calc!$E$378))=0,"",INDEX('Our policies'!$E$4:$E$503,_calc!$E$378)))=0,"","Policy no.: "&amp;IF(LEN(INDEX('Our policies'!$E$4:$E$503,_calc!$E$378))=0,"",INDEX('Our policies'!$E$4:$E$503,_calc!$E$378))&amp;". ")&amp;IF(LEN(IF(LEN(INDEX('Our policies'!$S$4:$S$503,_calc!$E$378))=0,"",INDEX('Our policies'!$S$4:$S$503,_calc!$E$378)))=0,"",IF(LEN(INDEX('Our policies'!$S$4:$S$503,_calc!$E$378))=0,"",INDEX('Our policies'!$S$4:$S$503,_calc!$E$378)))),TRIM(IF(LEN(IF(LEN(INDEX('Vendor COIs'!$C$4:$C$503,(_calc!$E$378-500)))=0,"",INDEX('Vendor COIs'!$C$4:$C$503,(_calc!$E$378-500))))=0,"","Insurer: "&amp;IF(LEN(INDEX('Vendor COIs'!$C$4:$C$503,(_calc!$E$378-500)))=0,"",INDEX('Vendor COIs'!$C$4:$C$503,(_calc!$E$378-500)))&amp;". ")&amp;IF(LEN(IF(LEN(INDEX('Vendor COIs'!$D$4:$D$503,(_calc!$E$378-500)))=0,"",INDEX('Vendor COIs'!$D$4:$D$503,(_calc!$E$378-500))))=0,"","Policy no.: "&amp;IF(LEN(INDEX('Vendor COIs'!$D$4:$D$503,(_calc!$E$378-500)))=0,"",INDEX('Vendor COIs'!$D$4:$D$503,(_calc!$E$378-500)))&amp;". ")&amp;IF(LEN(IF(LEN(INDEX('Vendor COIs'!$F$4:$F$503,(_calc!$E$378-500)))=0,"",INDEX('Vendor COIs'!$F$4:$F$503,(_calc!$E$378-500))))=0,"","Meets minimum: "&amp;IF(LEN(INDEX('Vendor COIs'!$F$4:$F$503,(_calc!$E$378-500)))=0,"",INDEX('Vendor COIs'!$F$4:$F$503,(_calc!$E$378-500)))&amp;". ")&amp;IF(LEN(IF(LEN(INDEX('Vendor COIs'!$G$4:$G$503,(_calc!$E$378-500)))=0,"",INDEX('Vendor COIs'!$G$4:$G$503,(_calc!$E$378-500))))=0,"","Additional insured: "&amp;IF(LEN(INDEX('Vendor COIs'!$G$4:$G$503,(_calc!$E$378-500)))=0,"",INDEX('Vendor COIs'!$G$4:$G$503,(_calc!$E$378-500)))&amp;". ")&amp;IF(LEN(IF(LEN(INDEX('Vendor COIs'!$M$4:$M$503,(_calc!$E$378-500)))=0,"",INDEX('Vendor COIs'!$M$4:$M$503,(_calc!$E$378-500))))=0,"","Vendor contact: "&amp;IF(LEN(INDEX('Vendor COIs'!$M$4:$M$503,(_calc!$E$378-500)))=0,"",INDEX('Vendor COIs'!$M$4:$M$503,(_calc!$E$378-500)))&amp;". ")&amp;IF(LEN(IF(LEN(INDEX('Vendor COIs'!$P$4:$P$503,(_calc!$E$378-500)))=0,"",INDEX('Vendor COIs'!$P$4:$P$503,(_calc!$E$378-500))))=0,"",IF(LEN(INDEX('Vendor COIs'!$P$4:$P$503,(_calc!$E$378-500)))=0,"",INDEX('Vendor COIs'!$P$4:$P$503,(_calc!$E$378-500)))))))</f>
        <v/>
      </c>
      <c r="G376" s="46">
        <f>IF(_calc!$E$378="","",IF(_calc!$E$378&lt;=500,IF(LEN(INDEX('Our policies'!$R$4:$R$503,_calc!$E$378))=0,"",INDEX('Our policies'!$R$4:$R$503,_calc!$E$378)),IF(LEN(INDEX('Vendor COIs'!$O$4:$O$503,(_calc!$E$378-500)))=0,"",INDEX('Vendor COIs'!$O$4:$O$503,(_calc!$E$378-500)))))</f>
        <v/>
      </c>
      <c r="H376" s="46">
        <f>IF(_calc!$E$378="","",IF(_calc!$E$378&lt;=500,IF(LEN(INDEX('Our policies'!$G$4:$G$503,_calc!$E$378))=0,"",INDEX('Our policies'!$G$4:$G$503,_calc!$E$378)),""))</f>
        <v/>
      </c>
      <c r="I376" s="46">
        <f>IF(_calc!$E$378="","",IF(_calc!$E$378&lt;=500,IF(LEN(INDEX('Our policies'!$H$4:$H$503,_calc!$E$378))=0,"",INDEX('Our policies'!$H$4:$H$503,_calc!$E$378)),""))</f>
        <v/>
      </c>
      <c r="K376" s="46">
        <f>IF(_calc!$E$378="","",IF(_calc!$E$378&lt;=500,IF(LEN(INDEX('Our policies'!$P$4:$P$503,_calc!$E$378))=0,"",INDEX('Our policies'!$P$4:$P$503,_calc!$E$378)),IF(LEN(INDEX('Vendor COIs'!$N$4:$N$503,(_calc!$E$378-500)))=0,"",INDEX('Vendor COIs'!$N$4:$N$503,(_calc!$E$378-500)))))</f>
        <v/>
      </c>
    </row>
    <row r="377">
      <c r="A377" s="46">
        <f>IF(_calc!$E$379="","",IF(_calc!$E$379&lt;=500,IF(LEN(INDEX('Our policies'!$A$4:$A$503,_calc!$E$379))=0,"",INDEX('Our policies'!$A$4:$A$503,_calc!$E$379)),"COI – "&amp;IF(LEN(INDEX('Vendor COIs'!$A$4:$A$503,(_calc!$E$379-500)))=0,"",INDEX('Vendor COIs'!$A$4:$A$503,(_calc!$E$379-500)))&amp;" – "&amp;IF(LEN(INDEX('Vendor COIs'!$B$4:$B$503,(_calc!$E$379-500)))=0,"",INDEX('Vendor COIs'!$B$4:$B$503,(_calc!$E$379-500)))))</f>
        <v/>
      </c>
      <c r="B377" s="46">
        <f>IF(_calc!$E$379="","",IF(_calc!$E$379&lt;=500,IF(ISNUMBER(INDEX('Our policies'!$J$4:$J$503,_calc!$E$379)),TEXT(INDEX('Our policies'!$J$4:$J$503,_calc!$E$379),"yyyy-mm-dd"),""),IF(ISNUMBER(INDEX('Vendor COIs'!$H$4:$H$503,(_calc!$E$379-500))),TEXT(INDEX('Vendor COIs'!$H$4:$H$503,(_calc!$E$379-500)),"yyyy-mm-dd"),"")))</f>
        <v/>
      </c>
      <c r="C377" s="46">
        <f>IF(_calc!$E$379="","",IF(_calc!$E$379&lt;=500,"Insurance","Certificate of insurance"))</f>
        <v/>
      </c>
      <c r="D377" s="46">
        <f>IF(_calc!$E$379="","",IF(_calc!$E$379&lt;=500,IF(ISNUMBER(INDEX('Our policies'!$I$4:$I$503,_calc!$E$379)),TEXT(INDEX('Our policies'!$I$4:$I$503,_calc!$E$379),"yyyy-mm-dd"),""),""))</f>
        <v/>
      </c>
      <c r="E377" s="46">
        <f>IF(_calc!$E$379="","",IF(_calc!$E$379&lt;=500,IF(LEN(INDEX('Our policies'!$Q$4:$Q$503,_calc!$E$379))=0,"",INDEX('Our policies'!$Q$4:$Q$503,_calc!$E$379)),"Medium"))</f>
        <v/>
      </c>
      <c r="F377" s="46">
        <f>IF(_calc!$E$379="","",IF(_calc!$E$379&lt;=500,TRIM(IF(LEN(IF(LEN(INDEX('Our policies'!$B$4:$B$503,_calc!$E$379))=0,"",INDEX('Our policies'!$B$4:$B$503,_calc!$E$379)))=0,"","Cover: "&amp;IF(LEN(INDEX('Our policies'!$B$4:$B$503,_calc!$E$379))=0,"",INDEX('Our policies'!$B$4:$B$503,_calc!$E$379))&amp;". ")&amp;IF(LEN(IF(LEN(INDEX('Our policies'!$C$4:$C$503,_calc!$E$379))=0,"",INDEX('Our policies'!$C$4:$C$503,_calc!$E$379)))=0,"","Insurer: "&amp;IF(LEN(INDEX('Our policies'!$C$4:$C$503,_calc!$E$379))=0,"",INDEX('Our policies'!$C$4:$C$503,_calc!$E$379))&amp;". ")&amp;IF(LEN(IF(LEN(INDEX('Our policies'!$D$4:$D$503,_calc!$E$379))=0,"",INDEX('Our policies'!$D$4:$D$503,_calc!$E$379)))=0,"","Broker: "&amp;IF(LEN(INDEX('Our policies'!$D$4:$D$503,_calc!$E$379))=0,"",INDEX('Our policies'!$D$4:$D$503,_calc!$E$379))&amp;". ")&amp;IF(LEN(IF(LEN(INDEX('Our policies'!$E$4:$E$503,_calc!$E$379))=0,"",INDEX('Our policies'!$E$4:$E$503,_calc!$E$379)))=0,"","Policy no.: "&amp;IF(LEN(INDEX('Our policies'!$E$4:$E$503,_calc!$E$379))=0,"",INDEX('Our policies'!$E$4:$E$503,_calc!$E$379))&amp;". ")&amp;IF(LEN(IF(LEN(INDEX('Our policies'!$S$4:$S$503,_calc!$E$379))=0,"",INDEX('Our policies'!$S$4:$S$503,_calc!$E$379)))=0,"",IF(LEN(INDEX('Our policies'!$S$4:$S$503,_calc!$E$379))=0,"",INDEX('Our policies'!$S$4:$S$503,_calc!$E$379)))),TRIM(IF(LEN(IF(LEN(INDEX('Vendor COIs'!$C$4:$C$503,(_calc!$E$379-500)))=0,"",INDEX('Vendor COIs'!$C$4:$C$503,(_calc!$E$379-500))))=0,"","Insurer: "&amp;IF(LEN(INDEX('Vendor COIs'!$C$4:$C$503,(_calc!$E$379-500)))=0,"",INDEX('Vendor COIs'!$C$4:$C$503,(_calc!$E$379-500)))&amp;". ")&amp;IF(LEN(IF(LEN(INDEX('Vendor COIs'!$D$4:$D$503,(_calc!$E$379-500)))=0,"",INDEX('Vendor COIs'!$D$4:$D$503,(_calc!$E$379-500))))=0,"","Policy no.: "&amp;IF(LEN(INDEX('Vendor COIs'!$D$4:$D$503,(_calc!$E$379-500)))=0,"",INDEX('Vendor COIs'!$D$4:$D$503,(_calc!$E$379-500)))&amp;". ")&amp;IF(LEN(IF(LEN(INDEX('Vendor COIs'!$F$4:$F$503,(_calc!$E$379-500)))=0,"",INDEX('Vendor COIs'!$F$4:$F$503,(_calc!$E$379-500))))=0,"","Meets minimum: "&amp;IF(LEN(INDEX('Vendor COIs'!$F$4:$F$503,(_calc!$E$379-500)))=0,"",INDEX('Vendor COIs'!$F$4:$F$503,(_calc!$E$379-500)))&amp;". ")&amp;IF(LEN(IF(LEN(INDEX('Vendor COIs'!$G$4:$G$503,(_calc!$E$379-500)))=0,"",INDEX('Vendor COIs'!$G$4:$G$503,(_calc!$E$379-500))))=0,"","Additional insured: "&amp;IF(LEN(INDEX('Vendor COIs'!$G$4:$G$503,(_calc!$E$379-500)))=0,"",INDEX('Vendor COIs'!$G$4:$G$503,(_calc!$E$379-500)))&amp;". ")&amp;IF(LEN(IF(LEN(INDEX('Vendor COIs'!$M$4:$M$503,(_calc!$E$379-500)))=0,"",INDEX('Vendor COIs'!$M$4:$M$503,(_calc!$E$379-500))))=0,"","Vendor contact: "&amp;IF(LEN(INDEX('Vendor COIs'!$M$4:$M$503,(_calc!$E$379-500)))=0,"",INDEX('Vendor COIs'!$M$4:$M$503,(_calc!$E$379-500)))&amp;". ")&amp;IF(LEN(IF(LEN(INDEX('Vendor COIs'!$P$4:$P$503,(_calc!$E$379-500)))=0,"",INDEX('Vendor COIs'!$P$4:$P$503,(_calc!$E$379-500))))=0,"",IF(LEN(INDEX('Vendor COIs'!$P$4:$P$503,(_calc!$E$379-500)))=0,"",INDEX('Vendor COIs'!$P$4:$P$503,(_calc!$E$379-500)))))))</f>
        <v/>
      </c>
      <c r="G377" s="46">
        <f>IF(_calc!$E$379="","",IF(_calc!$E$379&lt;=500,IF(LEN(INDEX('Our policies'!$R$4:$R$503,_calc!$E$379))=0,"",INDEX('Our policies'!$R$4:$R$503,_calc!$E$379)),IF(LEN(INDEX('Vendor COIs'!$O$4:$O$503,(_calc!$E$379-500)))=0,"",INDEX('Vendor COIs'!$O$4:$O$503,(_calc!$E$379-500)))))</f>
        <v/>
      </c>
      <c r="H377" s="46">
        <f>IF(_calc!$E$379="","",IF(_calc!$E$379&lt;=500,IF(LEN(INDEX('Our policies'!$G$4:$G$503,_calc!$E$379))=0,"",INDEX('Our policies'!$G$4:$G$503,_calc!$E$379)),""))</f>
        <v/>
      </c>
      <c r="I377" s="46">
        <f>IF(_calc!$E$379="","",IF(_calc!$E$379&lt;=500,IF(LEN(INDEX('Our policies'!$H$4:$H$503,_calc!$E$379))=0,"",INDEX('Our policies'!$H$4:$H$503,_calc!$E$379)),""))</f>
        <v/>
      </c>
      <c r="K377" s="46">
        <f>IF(_calc!$E$379="","",IF(_calc!$E$379&lt;=500,IF(LEN(INDEX('Our policies'!$P$4:$P$503,_calc!$E$379))=0,"",INDEX('Our policies'!$P$4:$P$503,_calc!$E$379)),IF(LEN(INDEX('Vendor COIs'!$N$4:$N$503,(_calc!$E$379-500)))=0,"",INDEX('Vendor COIs'!$N$4:$N$503,(_calc!$E$379-500)))))</f>
        <v/>
      </c>
    </row>
    <row r="378">
      <c r="A378" s="46">
        <f>IF(_calc!$E$380="","",IF(_calc!$E$380&lt;=500,IF(LEN(INDEX('Our policies'!$A$4:$A$503,_calc!$E$380))=0,"",INDEX('Our policies'!$A$4:$A$503,_calc!$E$380)),"COI – "&amp;IF(LEN(INDEX('Vendor COIs'!$A$4:$A$503,(_calc!$E$380-500)))=0,"",INDEX('Vendor COIs'!$A$4:$A$503,(_calc!$E$380-500)))&amp;" – "&amp;IF(LEN(INDEX('Vendor COIs'!$B$4:$B$503,(_calc!$E$380-500)))=0,"",INDEX('Vendor COIs'!$B$4:$B$503,(_calc!$E$380-500)))))</f>
        <v/>
      </c>
      <c r="B378" s="46">
        <f>IF(_calc!$E$380="","",IF(_calc!$E$380&lt;=500,IF(ISNUMBER(INDEX('Our policies'!$J$4:$J$503,_calc!$E$380)),TEXT(INDEX('Our policies'!$J$4:$J$503,_calc!$E$380),"yyyy-mm-dd"),""),IF(ISNUMBER(INDEX('Vendor COIs'!$H$4:$H$503,(_calc!$E$380-500))),TEXT(INDEX('Vendor COIs'!$H$4:$H$503,(_calc!$E$380-500)),"yyyy-mm-dd"),"")))</f>
        <v/>
      </c>
      <c r="C378" s="46">
        <f>IF(_calc!$E$380="","",IF(_calc!$E$380&lt;=500,"Insurance","Certificate of insurance"))</f>
        <v/>
      </c>
      <c r="D378" s="46">
        <f>IF(_calc!$E$380="","",IF(_calc!$E$380&lt;=500,IF(ISNUMBER(INDEX('Our policies'!$I$4:$I$503,_calc!$E$380)),TEXT(INDEX('Our policies'!$I$4:$I$503,_calc!$E$380),"yyyy-mm-dd"),""),""))</f>
        <v/>
      </c>
      <c r="E378" s="46">
        <f>IF(_calc!$E$380="","",IF(_calc!$E$380&lt;=500,IF(LEN(INDEX('Our policies'!$Q$4:$Q$503,_calc!$E$380))=0,"",INDEX('Our policies'!$Q$4:$Q$503,_calc!$E$380)),"Medium"))</f>
        <v/>
      </c>
      <c r="F378" s="46">
        <f>IF(_calc!$E$380="","",IF(_calc!$E$380&lt;=500,TRIM(IF(LEN(IF(LEN(INDEX('Our policies'!$B$4:$B$503,_calc!$E$380))=0,"",INDEX('Our policies'!$B$4:$B$503,_calc!$E$380)))=0,"","Cover: "&amp;IF(LEN(INDEX('Our policies'!$B$4:$B$503,_calc!$E$380))=0,"",INDEX('Our policies'!$B$4:$B$503,_calc!$E$380))&amp;". ")&amp;IF(LEN(IF(LEN(INDEX('Our policies'!$C$4:$C$503,_calc!$E$380))=0,"",INDEX('Our policies'!$C$4:$C$503,_calc!$E$380)))=0,"","Insurer: "&amp;IF(LEN(INDEX('Our policies'!$C$4:$C$503,_calc!$E$380))=0,"",INDEX('Our policies'!$C$4:$C$503,_calc!$E$380))&amp;". ")&amp;IF(LEN(IF(LEN(INDEX('Our policies'!$D$4:$D$503,_calc!$E$380))=0,"",INDEX('Our policies'!$D$4:$D$503,_calc!$E$380)))=0,"","Broker: "&amp;IF(LEN(INDEX('Our policies'!$D$4:$D$503,_calc!$E$380))=0,"",INDEX('Our policies'!$D$4:$D$503,_calc!$E$380))&amp;". ")&amp;IF(LEN(IF(LEN(INDEX('Our policies'!$E$4:$E$503,_calc!$E$380))=0,"",INDEX('Our policies'!$E$4:$E$503,_calc!$E$380)))=0,"","Policy no.: "&amp;IF(LEN(INDEX('Our policies'!$E$4:$E$503,_calc!$E$380))=0,"",INDEX('Our policies'!$E$4:$E$503,_calc!$E$380))&amp;". ")&amp;IF(LEN(IF(LEN(INDEX('Our policies'!$S$4:$S$503,_calc!$E$380))=0,"",INDEX('Our policies'!$S$4:$S$503,_calc!$E$380)))=0,"",IF(LEN(INDEX('Our policies'!$S$4:$S$503,_calc!$E$380))=0,"",INDEX('Our policies'!$S$4:$S$503,_calc!$E$380)))),TRIM(IF(LEN(IF(LEN(INDEX('Vendor COIs'!$C$4:$C$503,(_calc!$E$380-500)))=0,"",INDEX('Vendor COIs'!$C$4:$C$503,(_calc!$E$380-500))))=0,"","Insurer: "&amp;IF(LEN(INDEX('Vendor COIs'!$C$4:$C$503,(_calc!$E$380-500)))=0,"",INDEX('Vendor COIs'!$C$4:$C$503,(_calc!$E$380-500)))&amp;". ")&amp;IF(LEN(IF(LEN(INDEX('Vendor COIs'!$D$4:$D$503,(_calc!$E$380-500)))=0,"",INDEX('Vendor COIs'!$D$4:$D$503,(_calc!$E$380-500))))=0,"","Policy no.: "&amp;IF(LEN(INDEX('Vendor COIs'!$D$4:$D$503,(_calc!$E$380-500)))=0,"",INDEX('Vendor COIs'!$D$4:$D$503,(_calc!$E$380-500)))&amp;". ")&amp;IF(LEN(IF(LEN(INDEX('Vendor COIs'!$F$4:$F$503,(_calc!$E$380-500)))=0,"",INDEX('Vendor COIs'!$F$4:$F$503,(_calc!$E$380-500))))=0,"","Meets minimum: "&amp;IF(LEN(INDEX('Vendor COIs'!$F$4:$F$503,(_calc!$E$380-500)))=0,"",INDEX('Vendor COIs'!$F$4:$F$503,(_calc!$E$380-500)))&amp;". ")&amp;IF(LEN(IF(LEN(INDEX('Vendor COIs'!$G$4:$G$503,(_calc!$E$380-500)))=0,"",INDEX('Vendor COIs'!$G$4:$G$503,(_calc!$E$380-500))))=0,"","Additional insured: "&amp;IF(LEN(INDEX('Vendor COIs'!$G$4:$G$503,(_calc!$E$380-500)))=0,"",INDEX('Vendor COIs'!$G$4:$G$503,(_calc!$E$380-500)))&amp;". ")&amp;IF(LEN(IF(LEN(INDEX('Vendor COIs'!$M$4:$M$503,(_calc!$E$380-500)))=0,"",INDEX('Vendor COIs'!$M$4:$M$503,(_calc!$E$380-500))))=0,"","Vendor contact: "&amp;IF(LEN(INDEX('Vendor COIs'!$M$4:$M$503,(_calc!$E$380-500)))=0,"",INDEX('Vendor COIs'!$M$4:$M$503,(_calc!$E$380-500)))&amp;". ")&amp;IF(LEN(IF(LEN(INDEX('Vendor COIs'!$P$4:$P$503,(_calc!$E$380-500)))=0,"",INDEX('Vendor COIs'!$P$4:$P$503,(_calc!$E$380-500))))=0,"",IF(LEN(INDEX('Vendor COIs'!$P$4:$P$503,(_calc!$E$380-500)))=0,"",INDEX('Vendor COIs'!$P$4:$P$503,(_calc!$E$380-500)))))))</f>
        <v/>
      </c>
      <c r="G378" s="46">
        <f>IF(_calc!$E$380="","",IF(_calc!$E$380&lt;=500,IF(LEN(INDEX('Our policies'!$R$4:$R$503,_calc!$E$380))=0,"",INDEX('Our policies'!$R$4:$R$503,_calc!$E$380)),IF(LEN(INDEX('Vendor COIs'!$O$4:$O$503,(_calc!$E$380-500)))=0,"",INDEX('Vendor COIs'!$O$4:$O$503,(_calc!$E$380-500)))))</f>
        <v/>
      </c>
      <c r="H378" s="46">
        <f>IF(_calc!$E$380="","",IF(_calc!$E$380&lt;=500,IF(LEN(INDEX('Our policies'!$G$4:$G$503,_calc!$E$380))=0,"",INDEX('Our policies'!$G$4:$G$503,_calc!$E$380)),""))</f>
        <v/>
      </c>
      <c r="I378" s="46">
        <f>IF(_calc!$E$380="","",IF(_calc!$E$380&lt;=500,IF(LEN(INDEX('Our policies'!$H$4:$H$503,_calc!$E$380))=0,"",INDEX('Our policies'!$H$4:$H$503,_calc!$E$380)),""))</f>
        <v/>
      </c>
      <c r="K378" s="46">
        <f>IF(_calc!$E$380="","",IF(_calc!$E$380&lt;=500,IF(LEN(INDEX('Our policies'!$P$4:$P$503,_calc!$E$380))=0,"",INDEX('Our policies'!$P$4:$P$503,_calc!$E$380)),IF(LEN(INDEX('Vendor COIs'!$N$4:$N$503,(_calc!$E$380-500)))=0,"",INDEX('Vendor COIs'!$N$4:$N$503,(_calc!$E$380-500)))))</f>
        <v/>
      </c>
    </row>
    <row r="379">
      <c r="A379" s="46">
        <f>IF(_calc!$E$381="","",IF(_calc!$E$381&lt;=500,IF(LEN(INDEX('Our policies'!$A$4:$A$503,_calc!$E$381))=0,"",INDEX('Our policies'!$A$4:$A$503,_calc!$E$381)),"COI – "&amp;IF(LEN(INDEX('Vendor COIs'!$A$4:$A$503,(_calc!$E$381-500)))=0,"",INDEX('Vendor COIs'!$A$4:$A$503,(_calc!$E$381-500)))&amp;" – "&amp;IF(LEN(INDEX('Vendor COIs'!$B$4:$B$503,(_calc!$E$381-500)))=0,"",INDEX('Vendor COIs'!$B$4:$B$503,(_calc!$E$381-500)))))</f>
        <v/>
      </c>
      <c r="B379" s="46">
        <f>IF(_calc!$E$381="","",IF(_calc!$E$381&lt;=500,IF(ISNUMBER(INDEX('Our policies'!$J$4:$J$503,_calc!$E$381)),TEXT(INDEX('Our policies'!$J$4:$J$503,_calc!$E$381),"yyyy-mm-dd"),""),IF(ISNUMBER(INDEX('Vendor COIs'!$H$4:$H$503,(_calc!$E$381-500))),TEXT(INDEX('Vendor COIs'!$H$4:$H$503,(_calc!$E$381-500)),"yyyy-mm-dd"),"")))</f>
        <v/>
      </c>
      <c r="C379" s="46">
        <f>IF(_calc!$E$381="","",IF(_calc!$E$381&lt;=500,"Insurance","Certificate of insurance"))</f>
        <v/>
      </c>
      <c r="D379" s="46">
        <f>IF(_calc!$E$381="","",IF(_calc!$E$381&lt;=500,IF(ISNUMBER(INDEX('Our policies'!$I$4:$I$503,_calc!$E$381)),TEXT(INDEX('Our policies'!$I$4:$I$503,_calc!$E$381),"yyyy-mm-dd"),""),""))</f>
        <v/>
      </c>
      <c r="E379" s="46">
        <f>IF(_calc!$E$381="","",IF(_calc!$E$381&lt;=500,IF(LEN(INDEX('Our policies'!$Q$4:$Q$503,_calc!$E$381))=0,"",INDEX('Our policies'!$Q$4:$Q$503,_calc!$E$381)),"Medium"))</f>
        <v/>
      </c>
      <c r="F379" s="46">
        <f>IF(_calc!$E$381="","",IF(_calc!$E$381&lt;=500,TRIM(IF(LEN(IF(LEN(INDEX('Our policies'!$B$4:$B$503,_calc!$E$381))=0,"",INDEX('Our policies'!$B$4:$B$503,_calc!$E$381)))=0,"","Cover: "&amp;IF(LEN(INDEX('Our policies'!$B$4:$B$503,_calc!$E$381))=0,"",INDEX('Our policies'!$B$4:$B$503,_calc!$E$381))&amp;". ")&amp;IF(LEN(IF(LEN(INDEX('Our policies'!$C$4:$C$503,_calc!$E$381))=0,"",INDEX('Our policies'!$C$4:$C$503,_calc!$E$381)))=0,"","Insurer: "&amp;IF(LEN(INDEX('Our policies'!$C$4:$C$503,_calc!$E$381))=0,"",INDEX('Our policies'!$C$4:$C$503,_calc!$E$381))&amp;". ")&amp;IF(LEN(IF(LEN(INDEX('Our policies'!$D$4:$D$503,_calc!$E$381))=0,"",INDEX('Our policies'!$D$4:$D$503,_calc!$E$381)))=0,"","Broker: "&amp;IF(LEN(INDEX('Our policies'!$D$4:$D$503,_calc!$E$381))=0,"",INDEX('Our policies'!$D$4:$D$503,_calc!$E$381))&amp;". ")&amp;IF(LEN(IF(LEN(INDEX('Our policies'!$E$4:$E$503,_calc!$E$381))=0,"",INDEX('Our policies'!$E$4:$E$503,_calc!$E$381)))=0,"","Policy no.: "&amp;IF(LEN(INDEX('Our policies'!$E$4:$E$503,_calc!$E$381))=0,"",INDEX('Our policies'!$E$4:$E$503,_calc!$E$381))&amp;". ")&amp;IF(LEN(IF(LEN(INDEX('Our policies'!$S$4:$S$503,_calc!$E$381))=0,"",INDEX('Our policies'!$S$4:$S$503,_calc!$E$381)))=0,"",IF(LEN(INDEX('Our policies'!$S$4:$S$503,_calc!$E$381))=0,"",INDEX('Our policies'!$S$4:$S$503,_calc!$E$381)))),TRIM(IF(LEN(IF(LEN(INDEX('Vendor COIs'!$C$4:$C$503,(_calc!$E$381-500)))=0,"",INDEX('Vendor COIs'!$C$4:$C$503,(_calc!$E$381-500))))=0,"","Insurer: "&amp;IF(LEN(INDEX('Vendor COIs'!$C$4:$C$503,(_calc!$E$381-500)))=0,"",INDEX('Vendor COIs'!$C$4:$C$503,(_calc!$E$381-500)))&amp;". ")&amp;IF(LEN(IF(LEN(INDEX('Vendor COIs'!$D$4:$D$503,(_calc!$E$381-500)))=0,"",INDEX('Vendor COIs'!$D$4:$D$503,(_calc!$E$381-500))))=0,"","Policy no.: "&amp;IF(LEN(INDEX('Vendor COIs'!$D$4:$D$503,(_calc!$E$381-500)))=0,"",INDEX('Vendor COIs'!$D$4:$D$503,(_calc!$E$381-500)))&amp;". ")&amp;IF(LEN(IF(LEN(INDEX('Vendor COIs'!$F$4:$F$503,(_calc!$E$381-500)))=0,"",INDEX('Vendor COIs'!$F$4:$F$503,(_calc!$E$381-500))))=0,"","Meets minimum: "&amp;IF(LEN(INDEX('Vendor COIs'!$F$4:$F$503,(_calc!$E$381-500)))=0,"",INDEX('Vendor COIs'!$F$4:$F$503,(_calc!$E$381-500)))&amp;". ")&amp;IF(LEN(IF(LEN(INDEX('Vendor COIs'!$G$4:$G$503,(_calc!$E$381-500)))=0,"",INDEX('Vendor COIs'!$G$4:$G$503,(_calc!$E$381-500))))=0,"","Additional insured: "&amp;IF(LEN(INDEX('Vendor COIs'!$G$4:$G$503,(_calc!$E$381-500)))=0,"",INDEX('Vendor COIs'!$G$4:$G$503,(_calc!$E$381-500)))&amp;". ")&amp;IF(LEN(IF(LEN(INDEX('Vendor COIs'!$M$4:$M$503,(_calc!$E$381-500)))=0,"",INDEX('Vendor COIs'!$M$4:$M$503,(_calc!$E$381-500))))=0,"","Vendor contact: "&amp;IF(LEN(INDEX('Vendor COIs'!$M$4:$M$503,(_calc!$E$381-500)))=0,"",INDEX('Vendor COIs'!$M$4:$M$503,(_calc!$E$381-500)))&amp;". ")&amp;IF(LEN(IF(LEN(INDEX('Vendor COIs'!$P$4:$P$503,(_calc!$E$381-500)))=0,"",INDEX('Vendor COIs'!$P$4:$P$503,(_calc!$E$381-500))))=0,"",IF(LEN(INDEX('Vendor COIs'!$P$4:$P$503,(_calc!$E$381-500)))=0,"",INDEX('Vendor COIs'!$P$4:$P$503,(_calc!$E$381-500)))))))</f>
        <v/>
      </c>
      <c r="G379" s="46">
        <f>IF(_calc!$E$381="","",IF(_calc!$E$381&lt;=500,IF(LEN(INDEX('Our policies'!$R$4:$R$503,_calc!$E$381))=0,"",INDEX('Our policies'!$R$4:$R$503,_calc!$E$381)),IF(LEN(INDEX('Vendor COIs'!$O$4:$O$503,(_calc!$E$381-500)))=0,"",INDEX('Vendor COIs'!$O$4:$O$503,(_calc!$E$381-500)))))</f>
        <v/>
      </c>
      <c r="H379" s="46">
        <f>IF(_calc!$E$381="","",IF(_calc!$E$381&lt;=500,IF(LEN(INDEX('Our policies'!$G$4:$G$503,_calc!$E$381))=0,"",INDEX('Our policies'!$G$4:$G$503,_calc!$E$381)),""))</f>
        <v/>
      </c>
      <c r="I379" s="46">
        <f>IF(_calc!$E$381="","",IF(_calc!$E$381&lt;=500,IF(LEN(INDEX('Our policies'!$H$4:$H$503,_calc!$E$381))=0,"",INDEX('Our policies'!$H$4:$H$503,_calc!$E$381)),""))</f>
        <v/>
      </c>
      <c r="K379" s="46">
        <f>IF(_calc!$E$381="","",IF(_calc!$E$381&lt;=500,IF(LEN(INDEX('Our policies'!$P$4:$P$503,_calc!$E$381))=0,"",INDEX('Our policies'!$P$4:$P$503,_calc!$E$381)),IF(LEN(INDEX('Vendor COIs'!$N$4:$N$503,(_calc!$E$381-500)))=0,"",INDEX('Vendor COIs'!$N$4:$N$503,(_calc!$E$381-500)))))</f>
        <v/>
      </c>
    </row>
    <row r="380">
      <c r="A380" s="46">
        <f>IF(_calc!$E$382="","",IF(_calc!$E$382&lt;=500,IF(LEN(INDEX('Our policies'!$A$4:$A$503,_calc!$E$382))=0,"",INDEX('Our policies'!$A$4:$A$503,_calc!$E$382)),"COI – "&amp;IF(LEN(INDEX('Vendor COIs'!$A$4:$A$503,(_calc!$E$382-500)))=0,"",INDEX('Vendor COIs'!$A$4:$A$503,(_calc!$E$382-500)))&amp;" – "&amp;IF(LEN(INDEX('Vendor COIs'!$B$4:$B$503,(_calc!$E$382-500)))=0,"",INDEX('Vendor COIs'!$B$4:$B$503,(_calc!$E$382-500)))))</f>
        <v/>
      </c>
      <c r="B380" s="46">
        <f>IF(_calc!$E$382="","",IF(_calc!$E$382&lt;=500,IF(ISNUMBER(INDEX('Our policies'!$J$4:$J$503,_calc!$E$382)),TEXT(INDEX('Our policies'!$J$4:$J$503,_calc!$E$382),"yyyy-mm-dd"),""),IF(ISNUMBER(INDEX('Vendor COIs'!$H$4:$H$503,(_calc!$E$382-500))),TEXT(INDEX('Vendor COIs'!$H$4:$H$503,(_calc!$E$382-500)),"yyyy-mm-dd"),"")))</f>
        <v/>
      </c>
      <c r="C380" s="46">
        <f>IF(_calc!$E$382="","",IF(_calc!$E$382&lt;=500,"Insurance","Certificate of insurance"))</f>
        <v/>
      </c>
      <c r="D380" s="46">
        <f>IF(_calc!$E$382="","",IF(_calc!$E$382&lt;=500,IF(ISNUMBER(INDEX('Our policies'!$I$4:$I$503,_calc!$E$382)),TEXT(INDEX('Our policies'!$I$4:$I$503,_calc!$E$382),"yyyy-mm-dd"),""),""))</f>
        <v/>
      </c>
      <c r="E380" s="46">
        <f>IF(_calc!$E$382="","",IF(_calc!$E$382&lt;=500,IF(LEN(INDEX('Our policies'!$Q$4:$Q$503,_calc!$E$382))=0,"",INDEX('Our policies'!$Q$4:$Q$503,_calc!$E$382)),"Medium"))</f>
        <v/>
      </c>
      <c r="F380" s="46">
        <f>IF(_calc!$E$382="","",IF(_calc!$E$382&lt;=500,TRIM(IF(LEN(IF(LEN(INDEX('Our policies'!$B$4:$B$503,_calc!$E$382))=0,"",INDEX('Our policies'!$B$4:$B$503,_calc!$E$382)))=0,"","Cover: "&amp;IF(LEN(INDEX('Our policies'!$B$4:$B$503,_calc!$E$382))=0,"",INDEX('Our policies'!$B$4:$B$503,_calc!$E$382))&amp;". ")&amp;IF(LEN(IF(LEN(INDEX('Our policies'!$C$4:$C$503,_calc!$E$382))=0,"",INDEX('Our policies'!$C$4:$C$503,_calc!$E$382)))=0,"","Insurer: "&amp;IF(LEN(INDEX('Our policies'!$C$4:$C$503,_calc!$E$382))=0,"",INDEX('Our policies'!$C$4:$C$503,_calc!$E$382))&amp;". ")&amp;IF(LEN(IF(LEN(INDEX('Our policies'!$D$4:$D$503,_calc!$E$382))=0,"",INDEX('Our policies'!$D$4:$D$503,_calc!$E$382)))=0,"","Broker: "&amp;IF(LEN(INDEX('Our policies'!$D$4:$D$503,_calc!$E$382))=0,"",INDEX('Our policies'!$D$4:$D$503,_calc!$E$382))&amp;". ")&amp;IF(LEN(IF(LEN(INDEX('Our policies'!$E$4:$E$503,_calc!$E$382))=0,"",INDEX('Our policies'!$E$4:$E$503,_calc!$E$382)))=0,"","Policy no.: "&amp;IF(LEN(INDEX('Our policies'!$E$4:$E$503,_calc!$E$382))=0,"",INDEX('Our policies'!$E$4:$E$503,_calc!$E$382))&amp;". ")&amp;IF(LEN(IF(LEN(INDEX('Our policies'!$S$4:$S$503,_calc!$E$382))=0,"",INDEX('Our policies'!$S$4:$S$503,_calc!$E$382)))=0,"",IF(LEN(INDEX('Our policies'!$S$4:$S$503,_calc!$E$382))=0,"",INDEX('Our policies'!$S$4:$S$503,_calc!$E$382)))),TRIM(IF(LEN(IF(LEN(INDEX('Vendor COIs'!$C$4:$C$503,(_calc!$E$382-500)))=0,"",INDEX('Vendor COIs'!$C$4:$C$503,(_calc!$E$382-500))))=0,"","Insurer: "&amp;IF(LEN(INDEX('Vendor COIs'!$C$4:$C$503,(_calc!$E$382-500)))=0,"",INDEX('Vendor COIs'!$C$4:$C$503,(_calc!$E$382-500)))&amp;". ")&amp;IF(LEN(IF(LEN(INDEX('Vendor COIs'!$D$4:$D$503,(_calc!$E$382-500)))=0,"",INDEX('Vendor COIs'!$D$4:$D$503,(_calc!$E$382-500))))=0,"","Policy no.: "&amp;IF(LEN(INDEX('Vendor COIs'!$D$4:$D$503,(_calc!$E$382-500)))=0,"",INDEX('Vendor COIs'!$D$4:$D$503,(_calc!$E$382-500)))&amp;". ")&amp;IF(LEN(IF(LEN(INDEX('Vendor COIs'!$F$4:$F$503,(_calc!$E$382-500)))=0,"",INDEX('Vendor COIs'!$F$4:$F$503,(_calc!$E$382-500))))=0,"","Meets minimum: "&amp;IF(LEN(INDEX('Vendor COIs'!$F$4:$F$503,(_calc!$E$382-500)))=0,"",INDEX('Vendor COIs'!$F$4:$F$503,(_calc!$E$382-500)))&amp;". ")&amp;IF(LEN(IF(LEN(INDEX('Vendor COIs'!$G$4:$G$503,(_calc!$E$382-500)))=0,"",INDEX('Vendor COIs'!$G$4:$G$503,(_calc!$E$382-500))))=0,"","Additional insured: "&amp;IF(LEN(INDEX('Vendor COIs'!$G$4:$G$503,(_calc!$E$382-500)))=0,"",INDEX('Vendor COIs'!$G$4:$G$503,(_calc!$E$382-500)))&amp;". ")&amp;IF(LEN(IF(LEN(INDEX('Vendor COIs'!$M$4:$M$503,(_calc!$E$382-500)))=0,"",INDEX('Vendor COIs'!$M$4:$M$503,(_calc!$E$382-500))))=0,"","Vendor contact: "&amp;IF(LEN(INDEX('Vendor COIs'!$M$4:$M$503,(_calc!$E$382-500)))=0,"",INDEX('Vendor COIs'!$M$4:$M$503,(_calc!$E$382-500)))&amp;". ")&amp;IF(LEN(IF(LEN(INDEX('Vendor COIs'!$P$4:$P$503,(_calc!$E$382-500)))=0,"",INDEX('Vendor COIs'!$P$4:$P$503,(_calc!$E$382-500))))=0,"",IF(LEN(INDEX('Vendor COIs'!$P$4:$P$503,(_calc!$E$382-500)))=0,"",INDEX('Vendor COIs'!$P$4:$P$503,(_calc!$E$382-500)))))))</f>
        <v/>
      </c>
      <c r="G380" s="46">
        <f>IF(_calc!$E$382="","",IF(_calc!$E$382&lt;=500,IF(LEN(INDEX('Our policies'!$R$4:$R$503,_calc!$E$382))=0,"",INDEX('Our policies'!$R$4:$R$503,_calc!$E$382)),IF(LEN(INDEX('Vendor COIs'!$O$4:$O$503,(_calc!$E$382-500)))=0,"",INDEX('Vendor COIs'!$O$4:$O$503,(_calc!$E$382-500)))))</f>
        <v/>
      </c>
      <c r="H380" s="46">
        <f>IF(_calc!$E$382="","",IF(_calc!$E$382&lt;=500,IF(LEN(INDEX('Our policies'!$G$4:$G$503,_calc!$E$382))=0,"",INDEX('Our policies'!$G$4:$G$503,_calc!$E$382)),""))</f>
        <v/>
      </c>
      <c r="I380" s="46">
        <f>IF(_calc!$E$382="","",IF(_calc!$E$382&lt;=500,IF(LEN(INDEX('Our policies'!$H$4:$H$503,_calc!$E$382))=0,"",INDEX('Our policies'!$H$4:$H$503,_calc!$E$382)),""))</f>
        <v/>
      </c>
      <c r="K380" s="46">
        <f>IF(_calc!$E$382="","",IF(_calc!$E$382&lt;=500,IF(LEN(INDEX('Our policies'!$P$4:$P$503,_calc!$E$382))=0,"",INDEX('Our policies'!$P$4:$P$503,_calc!$E$382)),IF(LEN(INDEX('Vendor COIs'!$N$4:$N$503,(_calc!$E$382-500)))=0,"",INDEX('Vendor COIs'!$N$4:$N$503,(_calc!$E$382-500)))))</f>
        <v/>
      </c>
    </row>
    <row r="381">
      <c r="A381" s="46">
        <f>IF(_calc!$E$383="","",IF(_calc!$E$383&lt;=500,IF(LEN(INDEX('Our policies'!$A$4:$A$503,_calc!$E$383))=0,"",INDEX('Our policies'!$A$4:$A$503,_calc!$E$383)),"COI – "&amp;IF(LEN(INDEX('Vendor COIs'!$A$4:$A$503,(_calc!$E$383-500)))=0,"",INDEX('Vendor COIs'!$A$4:$A$503,(_calc!$E$383-500)))&amp;" – "&amp;IF(LEN(INDEX('Vendor COIs'!$B$4:$B$503,(_calc!$E$383-500)))=0,"",INDEX('Vendor COIs'!$B$4:$B$503,(_calc!$E$383-500)))))</f>
        <v/>
      </c>
      <c r="B381" s="46">
        <f>IF(_calc!$E$383="","",IF(_calc!$E$383&lt;=500,IF(ISNUMBER(INDEX('Our policies'!$J$4:$J$503,_calc!$E$383)),TEXT(INDEX('Our policies'!$J$4:$J$503,_calc!$E$383),"yyyy-mm-dd"),""),IF(ISNUMBER(INDEX('Vendor COIs'!$H$4:$H$503,(_calc!$E$383-500))),TEXT(INDEX('Vendor COIs'!$H$4:$H$503,(_calc!$E$383-500)),"yyyy-mm-dd"),"")))</f>
        <v/>
      </c>
      <c r="C381" s="46">
        <f>IF(_calc!$E$383="","",IF(_calc!$E$383&lt;=500,"Insurance","Certificate of insurance"))</f>
        <v/>
      </c>
      <c r="D381" s="46">
        <f>IF(_calc!$E$383="","",IF(_calc!$E$383&lt;=500,IF(ISNUMBER(INDEX('Our policies'!$I$4:$I$503,_calc!$E$383)),TEXT(INDEX('Our policies'!$I$4:$I$503,_calc!$E$383),"yyyy-mm-dd"),""),""))</f>
        <v/>
      </c>
      <c r="E381" s="46">
        <f>IF(_calc!$E$383="","",IF(_calc!$E$383&lt;=500,IF(LEN(INDEX('Our policies'!$Q$4:$Q$503,_calc!$E$383))=0,"",INDEX('Our policies'!$Q$4:$Q$503,_calc!$E$383)),"Medium"))</f>
        <v/>
      </c>
      <c r="F381" s="46">
        <f>IF(_calc!$E$383="","",IF(_calc!$E$383&lt;=500,TRIM(IF(LEN(IF(LEN(INDEX('Our policies'!$B$4:$B$503,_calc!$E$383))=0,"",INDEX('Our policies'!$B$4:$B$503,_calc!$E$383)))=0,"","Cover: "&amp;IF(LEN(INDEX('Our policies'!$B$4:$B$503,_calc!$E$383))=0,"",INDEX('Our policies'!$B$4:$B$503,_calc!$E$383))&amp;". ")&amp;IF(LEN(IF(LEN(INDEX('Our policies'!$C$4:$C$503,_calc!$E$383))=0,"",INDEX('Our policies'!$C$4:$C$503,_calc!$E$383)))=0,"","Insurer: "&amp;IF(LEN(INDEX('Our policies'!$C$4:$C$503,_calc!$E$383))=0,"",INDEX('Our policies'!$C$4:$C$503,_calc!$E$383))&amp;". ")&amp;IF(LEN(IF(LEN(INDEX('Our policies'!$D$4:$D$503,_calc!$E$383))=0,"",INDEX('Our policies'!$D$4:$D$503,_calc!$E$383)))=0,"","Broker: "&amp;IF(LEN(INDEX('Our policies'!$D$4:$D$503,_calc!$E$383))=0,"",INDEX('Our policies'!$D$4:$D$503,_calc!$E$383))&amp;". ")&amp;IF(LEN(IF(LEN(INDEX('Our policies'!$E$4:$E$503,_calc!$E$383))=0,"",INDEX('Our policies'!$E$4:$E$503,_calc!$E$383)))=0,"","Policy no.: "&amp;IF(LEN(INDEX('Our policies'!$E$4:$E$503,_calc!$E$383))=0,"",INDEX('Our policies'!$E$4:$E$503,_calc!$E$383))&amp;". ")&amp;IF(LEN(IF(LEN(INDEX('Our policies'!$S$4:$S$503,_calc!$E$383))=0,"",INDEX('Our policies'!$S$4:$S$503,_calc!$E$383)))=0,"",IF(LEN(INDEX('Our policies'!$S$4:$S$503,_calc!$E$383))=0,"",INDEX('Our policies'!$S$4:$S$503,_calc!$E$383)))),TRIM(IF(LEN(IF(LEN(INDEX('Vendor COIs'!$C$4:$C$503,(_calc!$E$383-500)))=0,"",INDEX('Vendor COIs'!$C$4:$C$503,(_calc!$E$383-500))))=0,"","Insurer: "&amp;IF(LEN(INDEX('Vendor COIs'!$C$4:$C$503,(_calc!$E$383-500)))=0,"",INDEX('Vendor COIs'!$C$4:$C$503,(_calc!$E$383-500)))&amp;". ")&amp;IF(LEN(IF(LEN(INDEX('Vendor COIs'!$D$4:$D$503,(_calc!$E$383-500)))=0,"",INDEX('Vendor COIs'!$D$4:$D$503,(_calc!$E$383-500))))=0,"","Policy no.: "&amp;IF(LEN(INDEX('Vendor COIs'!$D$4:$D$503,(_calc!$E$383-500)))=0,"",INDEX('Vendor COIs'!$D$4:$D$503,(_calc!$E$383-500)))&amp;". ")&amp;IF(LEN(IF(LEN(INDEX('Vendor COIs'!$F$4:$F$503,(_calc!$E$383-500)))=0,"",INDEX('Vendor COIs'!$F$4:$F$503,(_calc!$E$383-500))))=0,"","Meets minimum: "&amp;IF(LEN(INDEX('Vendor COIs'!$F$4:$F$503,(_calc!$E$383-500)))=0,"",INDEX('Vendor COIs'!$F$4:$F$503,(_calc!$E$383-500)))&amp;". ")&amp;IF(LEN(IF(LEN(INDEX('Vendor COIs'!$G$4:$G$503,(_calc!$E$383-500)))=0,"",INDEX('Vendor COIs'!$G$4:$G$503,(_calc!$E$383-500))))=0,"","Additional insured: "&amp;IF(LEN(INDEX('Vendor COIs'!$G$4:$G$503,(_calc!$E$383-500)))=0,"",INDEX('Vendor COIs'!$G$4:$G$503,(_calc!$E$383-500)))&amp;". ")&amp;IF(LEN(IF(LEN(INDEX('Vendor COIs'!$M$4:$M$503,(_calc!$E$383-500)))=0,"",INDEX('Vendor COIs'!$M$4:$M$503,(_calc!$E$383-500))))=0,"","Vendor contact: "&amp;IF(LEN(INDEX('Vendor COIs'!$M$4:$M$503,(_calc!$E$383-500)))=0,"",INDEX('Vendor COIs'!$M$4:$M$503,(_calc!$E$383-500)))&amp;". ")&amp;IF(LEN(IF(LEN(INDEX('Vendor COIs'!$P$4:$P$503,(_calc!$E$383-500)))=0,"",INDEX('Vendor COIs'!$P$4:$P$503,(_calc!$E$383-500))))=0,"",IF(LEN(INDEX('Vendor COIs'!$P$4:$P$503,(_calc!$E$383-500)))=0,"",INDEX('Vendor COIs'!$P$4:$P$503,(_calc!$E$383-500)))))))</f>
        <v/>
      </c>
      <c r="G381" s="46">
        <f>IF(_calc!$E$383="","",IF(_calc!$E$383&lt;=500,IF(LEN(INDEX('Our policies'!$R$4:$R$503,_calc!$E$383))=0,"",INDEX('Our policies'!$R$4:$R$503,_calc!$E$383)),IF(LEN(INDEX('Vendor COIs'!$O$4:$O$503,(_calc!$E$383-500)))=0,"",INDEX('Vendor COIs'!$O$4:$O$503,(_calc!$E$383-500)))))</f>
        <v/>
      </c>
      <c r="H381" s="46">
        <f>IF(_calc!$E$383="","",IF(_calc!$E$383&lt;=500,IF(LEN(INDEX('Our policies'!$G$4:$G$503,_calc!$E$383))=0,"",INDEX('Our policies'!$G$4:$G$503,_calc!$E$383)),""))</f>
        <v/>
      </c>
      <c r="I381" s="46">
        <f>IF(_calc!$E$383="","",IF(_calc!$E$383&lt;=500,IF(LEN(INDEX('Our policies'!$H$4:$H$503,_calc!$E$383))=0,"",INDEX('Our policies'!$H$4:$H$503,_calc!$E$383)),""))</f>
        <v/>
      </c>
      <c r="K381" s="46">
        <f>IF(_calc!$E$383="","",IF(_calc!$E$383&lt;=500,IF(LEN(INDEX('Our policies'!$P$4:$P$503,_calc!$E$383))=0,"",INDEX('Our policies'!$P$4:$P$503,_calc!$E$383)),IF(LEN(INDEX('Vendor COIs'!$N$4:$N$503,(_calc!$E$383-500)))=0,"",INDEX('Vendor COIs'!$N$4:$N$503,(_calc!$E$383-500)))))</f>
        <v/>
      </c>
    </row>
    <row r="382">
      <c r="A382" s="46">
        <f>IF(_calc!$E$384="","",IF(_calc!$E$384&lt;=500,IF(LEN(INDEX('Our policies'!$A$4:$A$503,_calc!$E$384))=0,"",INDEX('Our policies'!$A$4:$A$503,_calc!$E$384)),"COI – "&amp;IF(LEN(INDEX('Vendor COIs'!$A$4:$A$503,(_calc!$E$384-500)))=0,"",INDEX('Vendor COIs'!$A$4:$A$503,(_calc!$E$384-500)))&amp;" – "&amp;IF(LEN(INDEX('Vendor COIs'!$B$4:$B$503,(_calc!$E$384-500)))=0,"",INDEX('Vendor COIs'!$B$4:$B$503,(_calc!$E$384-500)))))</f>
        <v/>
      </c>
      <c r="B382" s="46">
        <f>IF(_calc!$E$384="","",IF(_calc!$E$384&lt;=500,IF(ISNUMBER(INDEX('Our policies'!$J$4:$J$503,_calc!$E$384)),TEXT(INDEX('Our policies'!$J$4:$J$503,_calc!$E$384),"yyyy-mm-dd"),""),IF(ISNUMBER(INDEX('Vendor COIs'!$H$4:$H$503,(_calc!$E$384-500))),TEXT(INDEX('Vendor COIs'!$H$4:$H$503,(_calc!$E$384-500)),"yyyy-mm-dd"),"")))</f>
        <v/>
      </c>
      <c r="C382" s="46">
        <f>IF(_calc!$E$384="","",IF(_calc!$E$384&lt;=500,"Insurance","Certificate of insurance"))</f>
        <v/>
      </c>
      <c r="D382" s="46">
        <f>IF(_calc!$E$384="","",IF(_calc!$E$384&lt;=500,IF(ISNUMBER(INDEX('Our policies'!$I$4:$I$503,_calc!$E$384)),TEXT(INDEX('Our policies'!$I$4:$I$503,_calc!$E$384),"yyyy-mm-dd"),""),""))</f>
        <v/>
      </c>
      <c r="E382" s="46">
        <f>IF(_calc!$E$384="","",IF(_calc!$E$384&lt;=500,IF(LEN(INDEX('Our policies'!$Q$4:$Q$503,_calc!$E$384))=0,"",INDEX('Our policies'!$Q$4:$Q$503,_calc!$E$384)),"Medium"))</f>
        <v/>
      </c>
      <c r="F382" s="46">
        <f>IF(_calc!$E$384="","",IF(_calc!$E$384&lt;=500,TRIM(IF(LEN(IF(LEN(INDEX('Our policies'!$B$4:$B$503,_calc!$E$384))=0,"",INDEX('Our policies'!$B$4:$B$503,_calc!$E$384)))=0,"","Cover: "&amp;IF(LEN(INDEX('Our policies'!$B$4:$B$503,_calc!$E$384))=0,"",INDEX('Our policies'!$B$4:$B$503,_calc!$E$384))&amp;". ")&amp;IF(LEN(IF(LEN(INDEX('Our policies'!$C$4:$C$503,_calc!$E$384))=0,"",INDEX('Our policies'!$C$4:$C$503,_calc!$E$384)))=0,"","Insurer: "&amp;IF(LEN(INDEX('Our policies'!$C$4:$C$503,_calc!$E$384))=0,"",INDEX('Our policies'!$C$4:$C$503,_calc!$E$384))&amp;". ")&amp;IF(LEN(IF(LEN(INDEX('Our policies'!$D$4:$D$503,_calc!$E$384))=0,"",INDEX('Our policies'!$D$4:$D$503,_calc!$E$384)))=0,"","Broker: "&amp;IF(LEN(INDEX('Our policies'!$D$4:$D$503,_calc!$E$384))=0,"",INDEX('Our policies'!$D$4:$D$503,_calc!$E$384))&amp;". ")&amp;IF(LEN(IF(LEN(INDEX('Our policies'!$E$4:$E$503,_calc!$E$384))=0,"",INDEX('Our policies'!$E$4:$E$503,_calc!$E$384)))=0,"","Policy no.: "&amp;IF(LEN(INDEX('Our policies'!$E$4:$E$503,_calc!$E$384))=0,"",INDEX('Our policies'!$E$4:$E$503,_calc!$E$384))&amp;". ")&amp;IF(LEN(IF(LEN(INDEX('Our policies'!$S$4:$S$503,_calc!$E$384))=0,"",INDEX('Our policies'!$S$4:$S$503,_calc!$E$384)))=0,"",IF(LEN(INDEX('Our policies'!$S$4:$S$503,_calc!$E$384))=0,"",INDEX('Our policies'!$S$4:$S$503,_calc!$E$384)))),TRIM(IF(LEN(IF(LEN(INDEX('Vendor COIs'!$C$4:$C$503,(_calc!$E$384-500)))=0,"",INDEX('Vendor COIs'!$C$4:$C$503,(_calc!$E$384-500))))=0,"","Insurer: "&amp;IF(LEN(INDEX('Vendor COIs'!$C$4:$C$503,(_calc!$E$384-500)))=0,"",INDEX('Vendor COIs'!$C$4:$C$503,(_calc!$E$384-500)))&amp;". ")&amp;IF(LEN(IF(LEN(INDEX('Vendor COIs'!$D$4:$D$503,(_calc!$E$384-500)))=0,"",INDEX('Vendor COIs'!$D$4:$D$503,(_calc!$E$384-500))))=0,"","Policy no.: "&amp;IF(LEN(INDEX('Vendor COIs'!$D$4:$D$503,(_calc!$E$384-500)))=0,"",INDEX('Vendor COIs'!$D$4:$D$503,(_calc!$E$384-500)))&amp;". ")&amp;IF(LEN(IF(LEN(INDEX('Vendor COIs'!$F$4:$F$503,(_calc!$E$384-500)))=0,"",INDEX('Vendor COIs'!$F$4:$F$503,(_calc!$E$384-500))))=0,"","Meets minimum: "&amp;IF(LEN(INDEX('Vendor COIs'!$F$4:$F$503,(_calc!$E$384-500)))=0,"",INDEX('Vendor COIs'!$F$4:$F$503,(_calc!$E$384-500)))&amp;". ")&amp;IF(LEN(IF(LEN(INDEX('Vendor COIs'!$G$4:$G$503,(_calc!$E$384-500)))=0,"",INDEX('Vendor COIs'!$G$4:$G$503,(_calc!$E$384-500))))=0,"","Additional insured: "&amp;IF(LEN(INDEX('Vendor COIs'!$G$4:$G$503,(_calc!$E$384-500)))=0,"",INDEX('Vendor COIs'!$G$4:$G$503,(_calc!$E$384-500)))&amp;". ")&amp;IF(LEN(IF(LEN(INDEX('Vendor COIs'!$M$4:$M$503,(_calc!$E$384-500)))=0,"",INDEX('Vendor COIs'!$M$4:$M$503,(_calc!$E$384-500))))=0,"","Vendor contact: "&amp;IF(LEN(INDEX('Vendor COIs'!$M$4:$M$503,(_calc!$E$384-500)))=0,"",INDEX('Vendor COIs'!$M$4:$M$503,(_calc!$E$384-500)))&amp;". ")&amp;IF(LEN(IF(LEN(INDEX('Vendor COIs'!$P$4:$P$503,(_calc!$E$384-500)))=0,"",INDEX('Vendor COIs'!$P$4:$P$503,(_calc!$E$384-500))))=0,"",IF(LEN(INDEX('Vendor COIs'!$P$4:$P$503,(_calc!$E$384-500)))=0,"",INDEX('Vendor COIs'!$P$4:$P$503,(_calc!$E$384-500)))))))</f>
        <v/>
      </c>
      <c r="G382" s="46">
        <f>IF(_calc!$E$384="","",IF(_calc!$E$384&lt;=500,IF(LEN(INDEX('Our policies'!$R$4:$R$503,_calc!$E$384))=0,"",INDEX('Our policies'!$R$4:$R$503,_calc!$E$384)),IF(LEN(INDEX('Vendor COIs'!$O$4:$O$503,(_calc!$E$384-500)))=0,"",INDEX('Vendor COIs'!$O$4:$O$503,(_calc!$E$384-500)))))</f>
        <v/>
      </c>
      <c r="H382" s="46">
        <f>IF(_calc!$E$384="","",IF(_calc!$E$384&lt;=500,IF(LEN(INDEX('Our policies'!$G$4:$G$503,_calc!$E$384))=0,"",INDEX('Our policies'!$G$4:$G$503,_calc!$E$384)),""))</f>
        <v/>
      </c>
      <c r="I382" s="46">
        <f>IF(_calc!$E$384="","",IF(_calc!$E$384&lt;=500,IF(LEN(INDEX('Our policies'!$H$4:$H$503,_calc!$E$384))=0,"",INDEX('Our policies'!$H$4:$H$503,_calc!$E$384)),""))</f>
        <v/>
      </c>
      <c r="K382" s="46">
        <f>IF(_calc!$E$384="","",IF(_calc!$E$384&lt;=500,IF(LEN(INDEX('Our policies'!$P$4:$P$503,_calc!$E$384))=0,"",INDEX('Our policies'!$P$4:$P$503,_calc!$E$384)),IF(LEN(INDEX('Vendor COIs'!$N$4:$N$503,(_calc!$E$384-500)))=0,"",INDEX('Vendor COIs'!$N$4:$N$503,(_calc!$E$384-500)))))</f>
        <v/>
      </c>
    </row>
    <row r="383">
      <c r="A383" s="46">
        <f>IF(_calc!$E$385="","",IF(_calc!$E$385&lt;=500,IF(LEN(INDEX('Our policies'!$A$4:$A$503,_calc!$E$385))=0,"",INDEX('Our policies'!$A$4:$A$503,_calc!$E$385)),"COI – "&amp;IF(LEN(INDEX('Vendor COIs'!$A$4:$A$503,(_calc!$E$385-500)))=0,"",INDEX('Vendor COIs'!$A$4:$A$503,(_calc!$E$385-500)))&amp;" – "&amp;IF(LEN(INDEX('Vendor COIs'!$B$4:$B$503,(_calc!$E$385-500)))=0,"",INDEX('Vendor COIs'!$B$4:$B$503,(_calc!$E$385-500)))))</f>
        <v/>
      </c>
      <c r="B383" s="46">
        <f>IF(_calc!$E$385="","",IF(_calc!$E$385&lt;=500,IF(ISNUMBER(INDEX('Our policies'!$J$4:$J$503,_calc!$E$385)),TEXT(INDEX('Our policies'!$J$4:$J$503,_calc!$E$385),"yyyy-mm-dd"),""),IF(ISNUMBER(INDEX('Vendor COIs'!$H$4:$H$503,(_calc!$E$385-500))),TEXT(INDEX('Vendor COIs'!$H$4:$H$503,(_calc!$E$385-500)),"yyyy-mm-dd"),"")))</f>
        <v/>
      </c>
      <c r="C383" s="46">
        <f>IF(_calc!$E$385="","",IF(_calc!$E$385&lt;=500,"Insurance","Certificate of insurance"))</f>
        <v/>
      </c>
      <c r="D383" s="46">
        <f>IF(_calc!$E$385="","",IF(_calc!$E$385&lt;=500,IF(ISNUMBER(INDEX('Our policies'!$I$4:$I$503,_calc!$E$385)),TEXT(INDEX('Our policies'!$I$4:$I$503,_calc!$E$385),"yyyy-mm-dd"),""),""))</f>
        <v/>
      </c>
      <c r="E383" s="46">
        <f>IF(_calc!$E$385="","",IF(_calc!$E$385&lt;=500,IF(LEN(INDEX('Our policies'!$Q$4:$Q$503,_calc!$E$385))=0,"",INDEX('Our policies'!$Q$4:$Q$503,_calc!$E$385)),"Medium"))</f>
        <v/>
      </c>
      <c r="F383" s="46">
        <f>IF(_calc!$E$385="","",IF(_calc!$E$385&lt;=500,TRIM(IF(LEN(IF(LEN(INDEX('Our policies'!$B$4:$B$503,_calc!$E$385))=0,"",INDEX('Our policies'!$B$4:$B$503,_calc!$E$385)))=0,"","Cover: "&amp;IF(LEN(INDEX('Our policies'!$B$4:$B$503,_calc!$E$385))=0,"",INDEX('Our policies'!$B$4:$B$503,_calc!$E$385))&amp;". ")&amp;IF(LEN(IF(LEN(INDEX('Our policies'!$C$4:$C$503,_calc!$E$385))=0,"",INDEX('Our policies'!$C$4:$C$503,_calc!$E$385)))=0,"","Insurer: "&amp;IF(LEN(INDEX('Our policies'!$C$4:$C$503,_calc!$E$385))=0,"",INDEX('Our policies'!$C$4:$C$503,_calc!$E$385))&amp;". ")&amp;IF(LEN(IF(LEN(INDEX('Our policies'!$D$4:$D$503,_calc!$E$385))=0,"",INDEX('Our policies'!$D$4:$D$503,_calc!$E$385)))=0,"","Broker: "&amp;IF(LEN(INDEX('Our policies'!$D$4:$D$503,_calc!$E$385))=0,"",INDEX('Our policies'!$D$4:$D$503,_calc!$E$385))&amp;". ")&amp;IF(LEN(IF(LEN(INDEX('Our policies'!$E$4:$E$503,_calc!$E$385))=0,"",INDEX('Our policies'!$E$4:$E$503,_calc!$E$385)))=0,"","Policy no.: "&amp;IF(LEN(INDEX('Our policies'!$E$4:$E$503,_calc!$E$385))=0,"",INDEX('Our policies'!$E$4:$E$503,_calc!$E$385))&amp;". ")&amp;IF(LEN(IF(LEN(INDEX('Our policies'!$S$4:$S$503,_calc!$E$385))=0,"",INDEX('Our policies'!$S$4:$S$503,_calc!$E$385)))=0,"",IF(LEN(INDEX('Our policies'!$S$4:$S$503,_calc!$E$385))=0,"",INDEX('Our policies'!$S$4:$S$503,_calc!$E$385)))),TRIM(IF(LEN(IF(LEN(INDEX('Vendor COIs'!$C$4:$C$503,(_calc!$E$385-500)))=0,"",INDEX('Vendor COIs'!$C$4:$C$503,(_calc!$E$385-500))))=0,"","Insurer: "&amp;IF(LEN(INDEX('Vendor COIs'!$C$4:$C$503,(_calc!$E$385-500)))=0,"",INDEX('Vendor COIs'!$C$4:$C$503,(_calc!$E$385-500)))&amp;". ")&amp;IF(LEN(IF(LEN(INDEX('Vendor COIs'!$D$4:$D$503,(_calc!$E$385-500)))=0,"",INDEX('Vendor COIs'!$D$4:$D$503,(_calc!$E$385-500))))=0,"","Policy no.: "&amp;IF(LEN(INDEX('Vendor COIs'!$D$4:$D$503,(_calc!$E$385-500)))=0,"",INDEX('Vendor COIs'!$D$4:$D$503,(_calc!$E$385-500)))&amp;". ")&amp;IF(LEN(IF(LEN(INDEX('Vendor COIs'!$F$4:$F$503,(_calc!$E$385-500)))=0,"",INDEX('Vendor COIs'!$F$4:$F$503,(_calc!$E$385-500))))=0,"","Meets minimum: "&amp;IF(LEN(INDEX('Vendor COIs'!$F$4:$F$503,(_calc!$E$385-500)))=0,"",INDEX('Vendor COIs'!$F$4:$F$503,(_calc!$E$385-500)))&amp;". ")&amp;IF(LEN(IF(LEN(INDEX('Vendor COIs'!$G$4:$G$503,(_calc!$E$385-500)))=0,"",INDEX('Vendor COIs'!$G$4:$G$503,(_calc!$E$385-500))))=0,"","Additional insured: "&amp;IF(LEN(INDEX('Vendor COIs'!$G$4:$G$503,(_calc!$E$385-500)))=0,"",INDEX('Vendor COIs'!$G$4:$G$503,(_calc!$E$385-500)))&amp;". ")&amp;IF(LEN(IF(LEN(INDEX('Vendor COIs'!$M$4:$M$503,(_calc!$E$385-500)))=0,"",INDEX('Vendor COIs'!$M$4:$M$503,(_calc!$E$385-500))))=0,"","Vendor contact: "&amp;IF(LEN(INDEX('Vendor COIs'!$M$4:$M$503,(_calc!$E$385-500)))=0,"",INDEX('Vendor COIs'!$M$4:$M$503,(_calc!$E$385-500)))&amp;". ")&amp;IF(LEN(IF(LEN(INDEX('Vendor COIs'!$P$4:$P$503,(_calc!$E$385-500)))=0,"",INDEX('Vendor COIs'!$P$4:$P$503,(_calc!$E$385-500))))=0,"",IF(LEN(INDEX('Vendor COIs'!$P$4:$P$503,(_calc!$E$385-500)))=0,"",INDEX('Vendor COIs'!$P$4:$P$503,(_calc!$E$385-500)))))))</f>
        <v/>
      </c>
      <c r="G383" s="46">
        <f>IF(_calc!$E$385="","",IF(_calc!$E$385&lt;=500,IF(LEN(INDEX('Our policies'!$R$4:$R$503,_calc!$E$385))=0,"",INDEX('Our policies'!$R$4:$R$503,_calc!$E$385)),IF(LEN(INDEX('Vendor COIs'!$O$4:$O$503,(_calc!$E$385-500)))=0,"",INDEX('Vendor COIs'!$O$4:$O$503,(_calc!$E$385-500)))))</f>
        <v/>
      </c>
      <c r="H383" s="46">
        <f>IF(_calc!$E$385="","",IF(_calc!$E$385&lt;=500,IF(LEN(INDEX('Our policies'!$G$4:$G$503,_calc!$E$385))=0,"",INDEX('Our policies'!$G$4:$G$503,_calc!$E$385)),""))</f>
        <v/>
      </c>
      <c r="I383" s="46">
        <f>IF(_calc!$E$385="","",IF(_calc!$E$385&lt;=500,IF(LEN(INDEX('Our policies'!$H$4:$H$503,_calc!$E$385))=0,"",INDEX('Our policies'!$H$4:$H$503,_calc!$E$385)),""))</f>
        <v/>
      </c>
      <c r="K383" s="46">
        <f>IF(_calc!$E$385="","",IF(_calc!$E$385&lt;=500,IF(LEN(INDEX('Our policies'!$P$4:$P$503,_calc!$E$385))=0,"",INDEX('Our policies'!$P$4:$P$503,_calc!$E$385)),IF(LEN(INDEX('Vendor COIs'!$N$4:$N$503,(_calc!$E$385-500)))=0,"",INDEX('Vendor COIs'!$N$4:$N$503,(_calc!$E$385-500)))))</f>
        <v/>
      </c>
    </row>
    <row r="384">
      <c r="A384" s="46">
        <f>IF(_calc!$E$386="","",IF(_calc!$E$386&lt;=500,IF(LEN(INDEX('Our policies'!$A$4:$A$503,_calc!$E$386))=0,"",INDEX('Our policies'!$A$4:$A$503,_calc!$E$386)),"COI – "&amp;IF(LEN(INDEX('Vendor COIs'!$A$4:$A$503,(_calc!$E$386-500)))=0,"",INDEX('Vendor COIs'!$A$4:$A$503,(_calc!$E$386-500)))&amp;" – "&amp;IF(LEN(INDEX('Vendor COIs'!$B$4:$B$503,(_calc!$E$386-500)))=0,"",INDEX('Vendor COIs'!$B$4:$B$503,(_calc!$E$386-500)))))</f>
        <v/>
      </c>
      <c r="B384" s="46">
        <f>IF(_calc!$E$386="","",IF(_calc!$E$386&lt;=500,IF(ISNUMBER(INDEX('Our policies'!$J$4:$J$503,_calc!$E$386)),TEXT(INDEX('Our policies'!$J$4:$J$503,_calc!$E$386),"yyyy-mm-dd"),""),IF(ISNUMBER(INDEX('Vendor COIs'!$H$4:$H$503,(_calc!$E$386-500))),TEXT(INDEX('Vendor COIs'!$H$4:$H$503,(_calc!$E$386-500)),"yyyy-mm-dd"),"")))</f>
        <v/>
      </c>
      <c r="C384" s="46">
        <f>IF(_calc!$E$386="","",IF(_calc!$E$386&lt;=500,"Insurance","Certificate of insurance"))</f>
        <v/>
      </c>
      <c r="D384" s="46">
        <f>IF(_calc!$E$386="","",IF(_calc!$E$386&lt;=500,IF(ISNUMBER(INDEX('Our policies'!$I$4:$I$503,_calc!$E$386)),TEXT(INDEX('Our policies'!$I$4:$I$503,_calc!$E$386),"yyyy-mm-dd"),""),""))</f>
        <v/>
      </c>
      <c r="E384" s="46">
        <f>IF(_calc!$E$386="","",IF(_calc!$E$386&lt;=500,IF(LEN(INDEX('Our policies'!$Q$4:$Q$503,_calc!$E$386))=0,"",INDEX('Our policies'!$Q$4:$Q$503,_calc!$E$386)),"Medium"))</f>
        <v/>
      </c>
      <c r="F384" s="46">
        <f>IF(_calc!$E$386="","",IF(_calc!$E$386&lt;=500,TRIM(IF(LEN(IF(LEN(INDEX('Our policies'!$B$4:$B$503,_calc!$E$386))=0,"",INDEX('Our policies'!$B$4:$B$503,_calc!$E$386)))=0,"","Cover: "&amp;IF(LEN(INDEX('Our policies'!$B$4:$B$503,_calc!$E$386))=0,"",INDEX('Our policies'!$B$4:$B$503,_calc!$E$386))&amp;". ")&amp;IF(LEN(IF(LEN(INDEX('Our policies'!$C$4:$C$503,_calc!$E$386))=0,"",INDEX('Our policies'!$C$4:$C$503,_calc!$E$386)))=0,"","Insurer: "&amp;IF(LEN(INDEX('Our policies'!$C$4:$C$503,_calc!$E$386))=0,"",INDEX('Our policies'!$C$4:$C$503,_calc!$E$386))&amp;". ")&amp;IF(LEN(IF(LEN(INDEX('Our policies'!$D$4:$D$503,_calc!$E$386))=0,"",INDEX('Our policies'!$D$4:$D$503,_calc!$E$386)))=0,"","Broker: "&amp;IF(LEN(INDEX('Our policies'!$D$4:$D$503,_calc!$E$386))=0,"",INDEX('Our policies'!$D$4:$D$503,_calc!$E$386))&amp;". ")&amp;IF(LEN(IF(LEN(INDEX('Our policies'!$E$4:$E$503,_calc!$E$386))=0,"",INDEX('Our policies'!$E$4:$E$503,_calc!$E$386)))=0,"","Policy no.: "&amp;IF(LEN(INDEX('Our policies'!$E$4:$E$503,_calc!$E$386))=0,"",INDEX('Our policies'!$E$4:$E$503,_calc!$E$386))&amp;". ")&amp;IF(LEN(IF(LEN(INDEX('Our policies'!$S$4:$S$503,_calc!$E$386))=0,"",INDEX('Our policies'!$S$4:$S$503,_calc!$E$386)))=0,"",IF(LEN(INDEX('Our policies'!$S$4:$S$503,_calc!$E$386))=0,"",INDEX('Our policies'!$S$4:$S$503,_calc!$E$386)))),TRIM(IF(LEN(IF(LEN(INDEX('Vendor COIs'!$C$4:$C$503,(_calc!$E$386-500)))=0,"",INDEX('Vendor COIs'!$C$4:$C$503,(_calc!$E$386-500))))=0,"","Insurer: "&amp;IF(LEN(INDEX('Vendor COIs'!$C$4:$C$503,(_calc!$E$386-500)))=0,"",INDEX('Vendor COIs'!$C$4:$C$503,(_calc!$E$386-500)))&amp;". ")&amp;IF(LEN(IF(LEN(INDEX('Vendor COIs'!$D$4:$D$503,(_calc!$E$386-500)))=0,"",INDEX('Vendor COIs'!$D$4:$D$503,(_calc!$E$386-500))))=0,"","Policy no.: "&amp;IF(LEN(INDEX('Vendor COIs'!$D$4:$D$503,(_calc!$E$386-500)))=0,"",INDEX('Vendor COIs'!$D$4:$D$503,(_calc!$E$386-500)))&amp;". ")&amp;IF(LEN(IF(LEN(INDEX('Vendor COIs'!$F$4:$F$503,(_calc!$E$386-500)))=0,"",INDEX('Vendor COIs'!$F$4:$F$503,(_calc!$E$386-500))))=0,"","Meets minimum: "&amp;IF(LEN(INDEX('Vendor COIs'!$F$4:$F$503,(_calc!$E$386-500)))=0,"",INDEX('Vendor COIs'!$F$4:$F$503,(_calc!$E$386-500)))&amp;". ")&amp;IF(LEN(IF(LEN(INDEX('Vendor COIs'!$G$4:$G$503,(_calc!$E$386-500)))=0,"",INDEX('Vendor COIs'!$G$4:$G$503,(_calc!$E$386-500))))=0,"","Additional insured: "&amp;IF(LEN(INDEX('Vendor COIs'!$G$4:$G$503,(_calc!$E$386-500)))=0,"",INDEX('Vendor COIs'!$G$4:$G$503,(_calc!$E$386-500)))&amp;". ")&amp;IF(LEN(IF(LEN(INDEX('Vendor COIs'!$M$4:$M$503,(_calc!$E$386-500)))=0,"",INDEX('Vendor COIs'!$M$4:$M$503,(_calc!$E$386-500))))=0,"","Vendor contact: "&amp;IF(LEN(INDEX('Vendor COIs'!$M$4:$M$503,(_calc!$E$386-500)))=0,"",INDEX('Vendor COIs'!$M$4:$M$503,(_calc!$E$386-500)))&amp;". ")&amp;IF(LEN(IF(LEN(INDEX('Vendor COIs'!$P$4:$P$503,(_calc!$E$386-500)))=0,"",INDEX('Vendor COIs'!$P$4:$P$503,(_calc!$E$386-500))))=0,"",IF(LEN(INDEX('Vendor COIs'!$P$4:$P$503,(_calc!$E$386-500)))=0,"",INDEX('Vendor COIs'!$P$4:$P$503,(_calc!$E$386-500)))))))</f>
        <v/>
      </c>
      <c r="G384" s="46">
        <f>IF(_calc!$E$386="","",IF(_calc!$E$386&lt;=500,IF(LEN(INDEX('Our policies'!$R$4:$R$503,_calc!$E$386))=0,"",INDEX('Our policies'!$R$4:$R$503,_calc!$E$386)),IF(LEN(INDEX('Vendor COIs'!$O$4:$O$503,(_calc!$E$386-500)))=0,"",INDEX('Vendor COIs'!$O$4:$O$503,(_calc!$E$386-500)))))</f>
        <v/>
      </c>
      <c r="H384" s="46">
        <f>IF(_calc!$E$386="","",IF(_calc!$E$386&lt;=500,IF(LEN(INDEX('Our policies'!$G$4:$G$503,_calc!$E$386))=0,"",INDEX('Our policies'!$G$4:$G$503,_calc!$E$386)),""))</f>
        <v/>
      </c>
      <c r="I384" s="46">
        <f>IF(_calc!$E$386="","",IF(_calc!$E$386&lt;=500,IF(LEN(INDEX('Our policies'!$H$4:$H$503,_calc!$E$386))=0,"",INDEX('Our policies'!$H$4:$H$503,_calc!$E$386)),""))</f>
        <v/>
      </c>
      <c r="K384" s="46">
        <f>IF(_calc!$E$386="","",IF(_calc!$E$386&lt;=500,IF(LEN(INDEX('Our policies'!$P$4:$P$503,_calc!$E$386))=0,"",INDEX('Our policies'!$P$4:$P$503,_calc!$E$386)),IF(LEN(INDEX('Vendor COIs'!$N$4:$N$503,(_calc!$E$386-500)))=0,"",INDEX('Vendor COIs'!$N$4:$N$503,(_calc!$E$386-500)))))</f>
        <v/>
      </c>
    </row>
    <row r="385">
      <c r="A385" s="46">
        <f>IF(_calc!$E$387="","",IF(_calc!$E$387&lt;=500,IF(LEN(INDEX('Our policies'!$A$4:$A$503,_calc!$E$387))=0,"",INDEX('Our policies'!$A$4:$A$503,_calc!$E$387)),"COI – "&amp;IF(LEN(INDEX('Vendor COIs'!$A$4:$A$503,(_calc!$E$387-500)))=0,"",INDEX('Vendor COIs'!$A$4:$A$503,(_calc!$E$387-500)))&amp;" – "&amp;IF(LEN(INDEX('Vendor COIs'!$B$4:$B$503,(_calc!$E$387-500)))=0,"",INDEX('Vendor COIs'!$B$4:$B$503,(_calc!$E$387-500)))))</f>
        <v/>
      </c>
      <c r="B385" s="46">
        <f>IF(_calc!$E$387="","",IF(_calc!$E$387&lt;=500,IF(ISNUMBER(INDEX('Our policies'!$J$4:$J$503,_calc!$E$387)),TEXT(INDEX('Our policies'!$J$4:$J$503,_calc!$E$387),"yyyy-mm-dd"),""),IF(ISNUMBER(INDEX('Vendor COIs'!$H$4:$H$503,(_calc!$E$387-500))),TEXT(INDEX('Vendor COIs'!$H$4:$H$503,(_calc!$E$387-500)),"yyyy-mm-dd"),"")))</f>
        <v/>
      </c>
      <c r="C385" s="46">
        <f>IF(_calc!$E$387="","",IF(_calc!$E$387&lt;=500,"Insurance","Certificate of insurance"))</f>
        <v/>
      </c>
      <c r="D385" s="46">
        <f>IF(_calc!$E$387="","",IF(_calc!$E$387&lt;=500,IF(ISNUMBER(INDEX('Our policies'!$I$4:$I$503,_calc!$E$387)),TEXT(INDEX('Our policies'!$I$4:$I$503,_calc!$E$387),"yyyy-mm-dd"),""),""))</f>
        <v/>
      </c>
      <c r="E385" s="46">
        <f>IF(_calc!$E$387="","",IF(_calc!$E$387&lt;=500,IF(LEN(INDEX('Our policies'!$Q$4:$Q$503,_calc!$E$387))=0,"",INDEX('Our policies'!$Q$4:$Q$503,_calc!$E$387)),"Medium"))</f>
        <v/>
      </c>
      <c r="F385" s="46">
        <f>IF(_calc!$E$387="","",IF(_calc!$E$387&lt;=500,TRIM(IF(LEN(IF(LEN(INDEX('Our policies'!$B$4:$B$503,_calc!$E$387))=0,"",INDEX('Our policies'!$B$4:$B$503,_calc!$E$387)))=0,"","Cover: "&amp;IF(LEN(INDEX('Our policies'!$B$4:$B$503,_calc!$E$387))=0,"",INDEX('Our policies'!$B$4:$B$503,_calc!$E$387))&amp;". ")&amp;IF(LEN(IF(LEN(INDEX('Our policies'!$C$4:$C$503,_calc!$E$387))=0,"",INDEX('Our policies'!$C$4:$C$503,_calc!$E$387)))=0,"","Insurer: "&amp;IF(LEN(INDEX('Our policies'!$C$4:$C$503,_calc!$E$387))=0,"",INDEX('Our policies'!$C$4:$C$503,_calc!$E$387))&amp;". ")&amp;IF(LEN(IF(LEN(INDEX('Our policies'!$D$4:$D$503,_calc!$E$387))=0,"",INDEX('Our policies'!$D$4:$D$503,_calc!$E$387)))=0,"","Broker: "&amp;IF(LEN(INDEX('Our policies'!$D$4:$D$503,_calc!$E$387))=0,"",INDEX('Our policies'!$D$4:$D$503,_calc!$E$387))&amp;". ")&amp;IF(LEN(IF(LEN(INDEX('Our policies'!$E$4:$E$503,_calc!$E$387))=0,"",INDEX('Our policies'!$E$4:$E$503,_calc!$E$387)))=0,"","Policy no.: "&amp;IF(LEN(INDEX('Our policies'!$E$4:$E$503,_calc!$E$387))=0,"",INDEX('Our policies'!$E$4:$E$503,_calc!$E$387))&amp;". ")&amp;IF(LEN(IF(LEN(INDEX('Our policies'!$S$4:$S$503,_calc!$E$387))=0,"",INDEX('Our policies'!$S$4:$S$503,_calc!$E$387)))=0,"",IF(LEN(INDEX('Our policies'!$S$4:$S$503,_calc!$E$387))=0,"",INDEX('Our policies'!$S$4:$S$503,_calc!$E$387)))),TRIM(IF(LEN(IF(LEN(INDEX('Vendor COIs'!$C$4:$C$503,(_calc!$E$387-500)))=0,"",INDEX('Vendor COIs'!$C$4:$C$503,(_calc!$E$387-500))))=0,"","Insurer: "&amp;IF(LEN(INDEX('Vendor COIs'!$C$4:$C$503,(_calc!$E$387-500)))=0,"",INDEX('Vendor COIs'!$C$4:$C$503,(_calc!$E$387-500)))&amp;". ")&amp;IF(LEN(IF(LEN(INDEX('Vendor COIs'!$D$4:$D$503,(_calc!$E$387-500)))=0,"",INDEX('Vendor COIs'!$D$4:$D$503,(_calc!$E$387-500))))=0,"","Policy no.: "&amp;IF(LEN(INDEX('Vendor COIs'!$D$4:$D$503,(_calc!$E$387-500)))=0,"",INDEX('Vendor COIs'!$D$4:$D$503,(_calc!$E$387-500)))&amp;". ")&amp;IF(LEN(IF(LEN(INDEX('Vendor COIs'!$F$4:$F$503,(_calc!$E$387-500)))=0,"",INDEX('Vendor COIs'!$F$4:$F$503,(_calc!$E$387-500))))=0,"","Meets minimum: "&amp;IF(LEN(INDEX('Vendor COIs'!$F$4:$F$503,(_calc!$E$387-500)))=0,"",INDEX('Vendor COIs'!$F$4:$F$503,(_calc!$E$387-500)))&amp;". ")&amp;IF(LEN(IF(LEN(INDEX('Vendor COIs'!$G$4:$G$503,(_calc!$E$387-500)))=0,"",INDEX('Vendor COIs'!$G$4:$G$503,(_calc!$E$387-500))))=0,"","Additional insured: "&amp;IF(LEN(INDEX('Vendor COIs'!$G$4:$G$503,(_calc!$E$387-500)))=0,"",INDEX('Vendor COIs'!$G$4:$G$503,(_calc!$E$387-500)))&amp;". ")&amp;IF(LEN(IF(LEN(INDEX('Vendor COIs'!$M$4:$M$503,(_calc!$E$387-500)))=0,"",INDEX('Vendor COIs'!$M$4:$M$503,(_calc!$E$387-500))))=0,"","Vendor contact: "&amp;IF(LEN(INDEX('Vendor COIs'!$M$4:$M$503,(_calc!$E$387-500)))=0,"",INDEX('Vendor COIs'!$M$4:$M$503,(_calc!$E$387-500)))&amp;". ")&amp;IF(LEN(IF(LEN(INDEX('Vendor COIs'!$P$4:$P$503,(_calc!$E$387-500)))=0,"",INDEX('Vendor COIs'!$P$4:$P$503,(_calc!$E$387-500))))=0,"",IF(LEN(INDEX('Vendor COIs'!$P$4:$P$503,(_calc!$E$387-500)))=0,"",INDEX('Vendor COIs'!$P$4:$P$503,(_calc!$E$387-500)))))))</f>
        <v/>
      </c>
      <c r="G385" s="46">
        <f>IF(_calc!$E$387="","",IF(_calc!$E$387&lt;=500,IF(LEN(INDEX('Our policies'!$R$4:$R$503,_calc!$E$387))=0,"",INDEX('Our policies'!$R$4:$R$503,_calc!$E$387)),IF(LEN(INDEX('Vendor COIs'!$O$4:$O$503,(_calc!$E$387-500)))=0,"",INDEX('Vendor COIs'!$O$4:$O$503,(_calc!$E$387-500)))))</f>
        <v/>
      </c>
      <c r="H385" s="46">
        <f>IF(_calc!$E$387="","",IF(_calc!$E$387&lt;=500,IF(LEN(INDEX('Our policies'!$G$4:$G$503,_calc!$E$387))=0,"",INDEX('Our policies'!$G$4:$G$503,_calc!$E$387)),""))</f>
        <v/>
      </c>
      <c r="I385" s="46">
        <f>IF(_calc!$E$387="","",IF(_calc!$E$387&lt;=500,IF(LEN(INDEX('Our policies'!$H$4:$H$503,_calc!$E$387))=0,"",INDEX('Our policies'!$H$4:$H$503,_calc!$E$387)),""))</f>
        <v/>
      </c>
      <c r="K385" s="46">
        <f>IF(_calc!$E$387="","",IF(_calc!$E$387&lt;=500,IF(LEN(INDEX('Our policies'!$P$4:$P$503,_calc!$E$387))=0,"",INDEX('Our policies'!$P$4:$P$503,_calc!$E$387)),IF(LEN(INDEX('Vendor COIs'!$N$4:$N$503,(_calc!$E$387-500)))=0,"",INDEX('Vendor COIs'!$N$4:$N$503,(_calc!$E$387-500)))))</f>
        <v/>
      </c>
    </row>
    <row r="386">
      <c r="A386" s="46">
        <f>IF(_calc!$E$388="","",IF(_calc!$E$388&lt;=500,IF(LEN(INDEX('Our policies'!$A$4:$A$503,_calc!$E$388))=0,"",INDEX('Our policies'!$A$4:$A$503,_calc!$E$388)),"COI – "&amp;IF(LEN(INDEX('Vendor COIs'!$A$4:$A$503,(_calc!$E$388-500)))=0,"",INDEX('Vendor COIs'!$A$4:$A$503,(_calc!$E$388-500)))&amp;" – "&amp;IF(LEN(INDEX('Vendor COIs'!$B$4:$B$503,(_calc!$E$388-500)))=0,"",INDEX('Vendor COIs'!$B$4:$B$503,(_calc!$E$388-500)))))</f>
        <v/>
      </c>
      <c r="B386" s="46">
        <f>IF(_calc!$E$388="","",IF(_calc!$E$388&lt;=500,IF(ISNUMBER(INDEX('Our policies'!$J$4:$J$503,_calc!$E$388)),TEXT(INDEX('Our policies'!$J$4:$J$503,_calc!$E$388),"yyyy-mm-dd"),""),IF(ISNUMBER(INDEX('Vendor COIs'!$H$4:$H$503,(_calc!$E$388-500))),TEXT(INDEX('Vendor COIs'!$H$4:$H$503,(_calc!$E$388-500)),"yyyy-mm-dd"),"")))</f>
        <v/>
      </c>
      <c r="C386" s="46">
        <f>IF(_calc!$E$388="","",IF(_calc!$E$388&lt;=500,"Insurance","Certificate of insurance"))</f>
        <v/>
      </c>
      <c r="D386" s="46">
        <f>IF(_calc!$E$388="","",IF(_calc!$E$388&lt;=500,IF(ISNUMBER(INDEX('Our policies'!$I$4:$I$503,_calc!$E$388)),TEXT(INDEX('Our policies'!$I$4:$I$503,_calc!$E$388),"yyyy-mm-dd"),""),""))</f>
        <v/>
      </c>
      <c r="E386" s="46">
        <f>IF(_calc!$E$388="","",IF(_calc!$E$388&lt;=500,IF(LEN(INDEX('Our policies'!$Q$4:$Q$503,_calc!$E$388))=0,"",INDEX('Our policies'!$Q$4:$Q$503,_calc!$E$388)),"Medium"))</f>
        <v/>
      </c>
      <c r="F386" s="46">
        <f>IF(_calc!$E$388="","",IF(_calc!$E$388&lt;=500,TRIM(IF(LEN(IF(LEN(INDEX('Our policies'!$B$4:$B$503,_calc!$E$388))=0,"",INDEX('Our policies'!$B$4:$B$503,_calc!$E$388)))=0,"","Cover: "&amp;IF(LEN(INDEX('Our policies'!$B$4:$B$503,_calc!$E$388))=0,"",INDEX('Our policies'!$B$4:$B$503,_calc!$E$388))&amp;". ")&amp;IF(LEN(IF(LEN(INDEX('Our policies'!$C$4:$C$503,_calc!$E$388))=0,"",INDEX('Our policies'!$C$4:$C$503,_calc!$E$388)))=0,"","Insurer: "&amp;IF(LEN(INDEX('Our policies'!$C$4:$C$503,_calc!$E$388))=0,"",INDEX('Our policies'!$C$4:$C$503,_calc!$E$388))&amp;". ")&amp;IF(LEN(IF(LEN(INDEX('Our policies'!$D$4:$D$503,_calc!$E$388))=0,"",INDEX('Our policies'!$D$4:$D$503,_calc!$E$388)))=0,"","Broker: "&amp;IF(LEN(INDEX('Our policies'!$D$4:$D$503,_calc!$E$388))=0,"",INDEX('Our policies'!$D$4:$D$503,_calc!$E$388))&amp;". ")&amp;IF(LEN(IF(LEN(INDEX('Our policies'!$E$4:$E$503,_calc!$E$388))=0,"",INDEX('Our policies'!$E$4:$E$503,_calc!$E$388)))=0,"","Policy no.: "&amp;IF(LEN(INDEX('Our policies'!$E$4:$E$503,_calc!$E$388))=0,"",INDEX('Our policies'!$E$4:$E$503,_calc!$E$388))&amp;". ")&amp;IF(LEN(IF(LEN(INDEX('Our policies'!$S$4:$S$503,_calc!$E$388))=0,"",INDEX('Our policies'!$S$4:$S$503,_calc!$E$388)))=0,"",IF(LEN(INDEX('Our policies'!$S$4:$S$503,_calc!$E$388))=0,"",INDEX('Our policies'!$S$4:$S$503,_calc!$E$388)))),TRIM(IF(LEN(IF(LEN(INDEX('Vendor COIs'!$C$4:$C$503,(_calc!$E$388-500)))=0,"",INDEX('Vendor COIs'!$C$4:$C$503,(_calc!$E$388-500))))=0,"","Insurer: "&amp;IF(LEN(INDEX('Vendor COIs'!$C$4:$C$503,(_calc!$E$388-500)))=0,"",INDEX('Vendor COIs'!$C$4:$C$503,(_calc!$E$388-500)))&amp;". ")&amp;IF(LEN(IF(LEN(INDEX('Vendor COIs'!$D$4:$D$503,(_calc!$E$388-500)))=0,"",INDEX('Vendor COIs'!$D$4:$D$503,(_calc!$E$388-500))))=0,"","Policy no.: "&amp;IF(LEN(INDEX('Vendor COIs'!$D$4:$D$503,(_calc!$E$388-500)))=0,"",INDEX('Vendor COIs'!$D$4:$D$503,(_calc!$E$388-500)))&amp;". ")&amp;IF(LEN(IF(LEN(INDEX('Vendor COIs'!$F$4:$F$503,(_calc!$E$388-500)))=0,"",INDEX('Vendor COIs'!$F$4:$F$503,(_calc!$E$388-500))))=0,"","Meets minimum: "&amp;IF(LEN(INDEX('Vendor COIs'!$F$4:$F$503,(_calc!$E$388-500)))=0,"",INDEX('Vendor COIs'!$F$4:$F$503,(_calc!$E$388-500)))&amp;". ")&amp;IF(LEN(IF(LEN(INDEX('Vendor COIs'!$G$4:$G$503,(_calc!$E$388-500)))=0,"",INDEX('Vendor COIs'!$G$4:$G$503,(_calc!$E$388-500))))=0,"","Additional insured: "&amp;IF(LEN(INDEX('Vendor COIs'!$G$4:$G$503,(_calc!$E$388-500)))=0,"",INDEX('Vendor COIs'!$G$4:$G$503,(_calc!$E$388-500)))&amp;". ")&amp;IF(LEN(IF(LEN(INDEX('Vendor COIs'!$M$4:$M$503,(_calc!$E$388-500)))=0,"",INDEX('Vendor COIs'!$M$4:$M$503,(_calc!$E$388-500))))=0,"","Vendor contact: "&amp;IF(LEN(INDEX('Vendor COIs'!$M$4:$M$503,(_calc!$E$388-500)))=0,"",INDEX('Vendor COIs'!$M$4:$M$503,(_calc!$E$388-500)))&amp;". ")&amp;IF(LEN(IF(LEN(INDEX('Vendor COIs'!$P$4:$P$503,(_calc!$E$388-500)))=0,"",INDEX('Vendor COIs'!$P$4:$P$503,(_calc!$E$388-500))))=0,"",IF(LEN(INDEX('Vendor COIs'!$P$4:$P$503,(_calc!$E$388-500)))=0,"",INDEX('Vendor COIs'!$P$4:$P$503,(_calc!$E$388-500)))))))</f>
        <v/>
      </c>
      <c r="G386" s="46">
        <f>IF(_calc!$E$388="","",IF(_calc!$E$388&lt;=500,IF(LEN(INDEX('Our policies'!$R$4:$R$503,_calc!$E$388))=0,"",INDEX('Our policies'!$R$4:$R$503,_calc!$E$388)),IF(LEN(INDEX('Vendor COIs'!$O$4:$O$503,(_calc!$E$388-500)))=0,"",INDEX('Vendor COIs'!$O$4:$O$503,(_calc!$E$388-500)))))</f>
        <v/>
      </c>
      <c r="H386" s="46">
        <f>IF(_calc!$E$388="","",IF(_calc!$E$388&lt;=500,IF(LEN(INDEX('Our policies'!$G$4:$G$503,_calc!$E$388))=0,"",INDEX('Our policies'!$G$4:$G$503,_calc!$E$388)),""))</f>
        <v/>
      </c>
      <c r="I386" s="46">
        <f>IF(_calc!$E$388="","",IF(_calc!$E$388&lt;=500,IF(LEN(INDEX('Our policies'!$H$4:$H$503,_calc!$E$388))=0,"",INDEX('Our policies'!$H$4:$H$503,_calc!$E$388)),""))</f>
        <v/>
      </c>
      <c r="K386" s="46">
        <f>IF(_calc!$E$388="","",IF(_calc!$E$388&lt;=500,IF(LEN(INDEX('Our policies'!$P$4:$P$503,_calc!$E$388))=0,"",INDEX('Our policies'!$P$4:$P$503,_calc!$E$388)),IF(LEN(INDEX('Vendor COIs'!$N$4:$N$503,(_calc!$E$388-500)))=0,"",INDEX('Vendor COIs'!$N$4:$N$503,(_calc!$E$388-500)))))</f>
        <v/>
      </c>
    </row>
    <row r="387">
      <c r="A387" s="46">
        <f>IF(_calc!$E$389="","",IF(_calc!$E$389&lt;=500,IF(LEN(INDEX('Our policies'!$A$4:$A$503,_calc!$E$389))=0,"",INDEX('Our policies'!$A$4:$A$503,_calc!$E$389)),"COI – "&amp;IF(LEN(INDEX('Vendor COIs'!$A$4:$A$503,(_calc!$E$389-500)))=0,"",INDEX('Vendor COIs'!$A$4:$A$503,(_calc!$E$389-500)))&amp;" – "&amp;IF(LEN(INDEX('Vendor COIs'!$B$4:$B$503,(_calc!$E$389-500)))=0,"",INDEX('Vendor COIs'!$B$4:$B$503,(_calc!$E$389-500)))))</f>
        <v/>
      </c>
      <c r="B387" s="46">
        <f>IF(_calc!$E$389="","",IF(_calc!$E$389&lt;=500,IF(ISNUMBER(INDEX('Our policies'!$J$4:$J$503,_calc!$E$389)),TEXT(INDEX('Our policies'!$J$4:$J$503,_calc!$E$389),"yyyy-mm-dd"),""),IF(ISNUMBER(INDEX('Vendor COIs'!$H$4:$H$503,(_calc!$E$389-500))),TEXT(INDEX('Vendor COIs'!$H$4:$H$503,(_calc!$E$389-500)),"yyyy-mm-dd"),"")))</f>
        <v/>
      </c>
      <c r="C387" s="46">
        <f>IF(_calc!$E$389="","",IF(_calc!$E$389&lt;=500,"Insurance","Certificate of insurance"))</f>
        <v/>
      </c>
      <c r="D387" s="46">
        <f>IF(_calc!$E$389="","",IF(_calc!$E$389&lt;=500,IF(ISNUMBER(INDEX('Our policies'!$I$4:$I$503,_calc!$E$389)),TEXT(INDEX('Our policies'!$I$4:$I$503,_calc!$E$389),"yyyy-mm-dd"),""),""))</f>
        <v/>
      </c>
      <c r="E387" s="46">
        <f>IF(_calc!$E$389="","",IF(_calc!$E$389&lt;=500,IF(LEN(INDEX('Our policies'!$Q$4:$Q$503,_calc!$E$389))=0,"",INDEX('Our policies'!$Q$4:$Q$503,_calc!$E$389)),"Medium"))</f>
        <v/>
      </c>
      <c r="F387" s="46">
        <f>IF(_calc!$E$389="","",IF(_calc!$E$389&lt;=500,TRIM(IF(LEN(IF(LEN(INDEX('Our policies'!$B$4:$B$503,_calc!$E$389))=0,"",INDEX('Our policies'!$B$4:$B$503,_calc!$E$389)))=0,"","Cover: "&amp;IF(LEN(INDEX('Our policies'!$B$4:$B$503,_calc!$E$389))=0,"",INDEX('Our policies'!$B$4:$B$503,_calc!$E$389))&amp;". ")&amp;IF(LEN(IF(LEN(INDEX('Our policies'!$C$4:$C$503,_calc!$E$389))=0,"",INDEX('Our policies'!$C$4:$C$503,_calc!$E$389)))=0,"","Insurer: "&amp;IF(LEN(INDEX('Our policies'!$C$4:$C$503,_calc!$E$389))=0,"",INDEX('Our policies'!$C$4:$C$503,_calc!$E$389))&amp;". ")&amp;IF(LEN(IF(LEN(INDEX('Our policies'!$D$4:$D$503,_calc!$E$389))=0,"",INDEX('Our policies'!$D$4:$D$503,_calc!$E$389)))=0,"","Broker: "&amp;IF(LEN(INDEX('Our policies'!$D$4:$D$503,_calc!$E$389))=0,"",INDEX('Our policies'!$D$4:$D$503,_calc!$E$389))&amp;". ")&amp;IF(LEN(IF(LEN(INDEX('Our policies'!$E$4:$E$503,_calc!$E$389))=0,"",INDEX('Our policies'!$E$4:$E$503,_calc!$E$389)))=0,"","Policy no.: "&amp;IF(LEN(INDEX('Our policies'!$E$4:$E$503,_calc!$E$389))=0,"",INDEX('Our policies'!$E$4:$E$503,_calc!$E$389))&amp;". ")&amp;IF(LEN(IF(LEN(INDEX('Our policies'!$S$4:$S$503,_calc!$E$389))=0,"",INDEX('Our policies'!$S$4:$S$503,_calc!$E$389)))=0,"",IF(LEN(INDEX('Our policies'!$S$4:$S$503,_calc!$E$389))=0,"",INDEX('Our policies'!$S$4:$S$503,_calc!$E$389)))),TRIM(IF(LEN(IF(LEN(INDEX('Vendor COIs'!$C$4:$C$503,(_calc!$E$389-500)))=0,"",INDEX('Vendor COIs'!$C$4:$C$503,(_calc!$E$389-500))))=0,"","Insurer: "&amp;IF(LEN(INDEX('Vendor COIs'!$C$4:$C$503,(_calc!$E$389-500)))=0,"",INDEX('Vendor COIs'!$C$4:$C$503,(_calc!$E$389-500)))&amp;". ")&amp;IF(LEN(IF(LEN(INDEX('Vendor COIs'!$D$4:$D$503,(_calc!$E$389-500)))=0,"",INDEX('Vendor COIs'!$D$4:$D$503,(_calc!$E$389-500))))=0,"","Policy no.: "&amp;IF(LEN(INDEX('Vendor COIs'!$D$4:$D$503,(_calc!$E$389-500)))=0,"",INDEX('Vendor COIs'!$D$4:$D$503,(_calc!$E$389-500)))&amp;". ")&amp;IF(LEN(IF(LEN(INDEX('Vendor COIs'!$F$4:$F$503,(_calc!$E$389-500)))=0,"",INDEX('Vendor COIs'!$F$4:$F$503,(_calc!$E$389-500))))=0,"","Meets minimum: "&amp;IF(LEN(INDEX('Vendor COIs'!$F$4:$F$503,(_calc!$E$389-500)))=0,"",INDEX('Vendor COIs'!$F$4:$F$503,(_calc!$E$389-500)))&amp;". ")&amp;IF(LEN(IF(LEN(INDEX('Vendor COIs'!$G$4:$G$503,(_calc!$E$389-500)))=0,"",INDEX('Vendor COIs'!$G$4:$G$503,(_calc!$E$389-500))))=0,"","Additional insured: "&amp;IF(LEN(INDEX('Vendor COIs'!$G$4:$G$503,(_calc!$E$389-500)))=0,"",INDEX('Vendor COIs'!$G$4:$G$503,(_calc!$E$389-500)))&amp;". ")&amp;IF(LEN(IF(LEN(INDEX('Vendor COIs'!$M$4:$M$503,(_calc!$E$389-500)))=0,"",INDEX('Vendor COIs'!$M$4:$M$503,(_calc!$E$389-500))))=0,"","Vendor contact: "&amp;IF(LEN(INDEX('Vendor COIs'!$M$4:$M$503,(_calc!$E$389-500)))=0,"",INDEX('Vendor COIs'!$M$4:$M$503,(_calc!$E$389-500)))&amp;". ")&amp;IF(LEN(IF(LEN(INDEX('Vendor COIs'!$P$4:$P$503,(_calc!$E$389-500)))=0,"",INDEX('Vendor COIs'!$P$4:$P$503,(_calc!$E$389-500))))=0,"",IF(LEN(INDEX('Vendor COIs'!$P$4:$P$503,(_calc!$E$389-500)))=0,"",INDEX('Vendor COIs'!$P$4:$P$503,(_calc!$E$389-500)))))))</f>
        <v/>
      </c>
      <c r="G387" s="46">
        <f>IF(_calc!$E$389="","",IF(_calc!$E$389&lt;=500,IF(LEN(INDEX('Our policies'!$R$4:$R$503,_calc!$E$389))=0,"",INDEX('Our policies'!$R$4:$R$503,_calc!$E$389)),IF(LEN(INDEX('Vendor COIs'!$O$4:$O$503,(_calc!$E$389-500)))=0,"",INDEX('Vendor COIs'!$O$4:$O$503,(_calc!$E$389-500)))))</f>
        <v/>
      </c>
      <c r="H387" s="46">
        <f>IF(_calc!$E$389="","",IF(_calc!$E$389&lt;=500,IF(LEN(INDEX('Our policies'!$G$4:$G$503,_calc!$E$389))=0,"",INDEX('Our policies'!$G$4:$G$503,_calc!$E$389)),""))</f>
        <v/>
      </c>
      <c r="I387" s="46">
        <f>IF(_calc!$E$389="","",IF(_calc!$E$389&lt;=500,IF(LEN(INDEX('Our policies'!$H$4:$H$503,_calc!$E$389))=0,"",INDEX('Our policies'!$H$4:$H$503,_calc!$E$389)),""))</f>
        <v/>
      </c>
      <c r="K387" s="46">
        <f>IF(_calc!$E$389="","",IF(_calc!$E$389&lt;=500,IF(LEN(INDEX('Our policies'!$P$4:$P$503,_calc!$E$389))=0,"",INDEX('Our policies'!$P$4:$P$503,_calc!$E$389)),IF(LEN(INDEX('Vendor COIs'!$N$4:$N$503,(_calc!$E$389-500)))=0,"",INDEX('Vendor COIs'!$N$4:$N$503,(_calc!$E$389-500)))))</f>
        <v/>
      </c>
    </row>
    <row r="388">
      <c r="A388" s="46">
        <f>IF(_calc!$E$390="","",IF(_calc!$E$390&lt;=500,IF(LEN(INDEX('Our policies'!$A$4:$A$503,_calc!$E$390))=0,"",INDEX('Our policies'!$A$4:$A$503,_calc!$E$390)),"COI – "&amp;IF(LEN(INDEX('Vendor COIs'!$A$4:$A$503,(_calc!$E$390-500)))=0,"",INDEX('Vendor COIs'!$A$4:$A$503,(_calc!$E$390-500)))&amp;" – "&amp;IF(LEN(INDEX('Vendor COIs'!$B$4:$B$503,(_calc!$E$390-500)))=0,"",INDEX('Vendor COIs'!$B$4:$B$503,(_calc!$E$390-500)))))</f>
        <v/>
      </c>
      <c r="B388" s="46">
        <f>IF(_calc!$E$390="","",IF(_calc!$E$390&lt;=500,IF(ISNUMBER(INDEX('Our policies'!$J$4:$J$503,_calc!$E$390)),TEXT(INDEX('Our policies'!$J$4:$J$503,_calc!$E$390),"yyyy-mm-dd"),""),IF(ISNUMBER(INDEX('Vendor COIs'!$H$4:$H$503,(_calc!$E$390-500))),TEXT(INDEX('Vendor COIs'!$H$4:$H$503,(_calc!$E$390-500)),"yyyy-mm-dd"),"")))</f>
        <v/>
      </c>
      <c r="C388" s="46">
        <f>IF(_calc!$E$390="","",IF(_calc!$E$390&lt;=500,"Insurance","Certificate of insurance"))</f>
        <v/>
      </c>
      <c r="D388" s="46">
        <f>IF(_calc!$E$390="","",IF(_calc!$E$390&lt;=500,IF(ISNUMBER(INDEX('Our policies'!$I$4:$I$503,_calc!$E$390)),TEXT(INDEX('Our policies'!$I$4:$I$503,_calc!$E$390),"yyyy-mm-dd"),""),""))</f>
        <v/>
      </c>
      <c r="E388" s="46">
        <f>IF(_calc!$E$390="","",IF(_calc!$E$390&lt;=500,IF(LEN(INDEX('Our policies'!$Q$4:$Q$503,_calc!$E$390))=0,"",INDEX('Our policies'!$Q$4:$Q$503,_calc!$E$390)),"Medium"))</f>
        <v/>
      </c>
      <c r="F388" s="46">
        <f>IF(_calc!$E$390="","",IF(_calc!$E$390&lt;=500,TRIM(IF(LEN(IF(LEN(INDEX('Our policies'!$B$4:$B$503,_calc!$E$390))=0,"",INDEX('Our policies'!$B$4:$B$503,_calc!$E$390)))=0,"","Cover: "&amp;IF(LEN(INDEX('Our policies'!$B$4:$B$503,_calc!$E$390))=0,"",INDEX('Our policies'!$B$4:$B$503,_calc!$E$390))&amp;". ")&amp;IF(LEN(IF(LEN(INDEX('Our policies'!$C$4:$C$503,_calc!$E$390))=0,"",INDEX('Our policies'!$C$4:$C$503,_calc!$E$390)))=0,"","Insurer: "&amp;IF(LEN(INDEX('Our policies'!$C$4:$C$503,_calc!$E$390))=0,"",INDEX('Our policies'!$C$4:$C$503,_calc!$E$390))&amp;". ")&amp;IF(LEN(IF(LEN(INDEX('Our policies'!$D$4:$D$503,_calc!$E$390))=0,"",INDEX('Our policies'!$D$4:$D$503,_calc!$E$390)))=0,"","Broker: "&amp;IF(LEN(INDEX('Our policies'!$D$4:$D$503,_calc!$E$390))=0,"",INDEX('Our policies'!$D$4:$D$503,_calc!$E$390))&amp;". ")&amp;IF(LEN(IF(LEN(INDEX('Our policies'!$E$4:$E$503,_calc!$E$390))=0,"",INDEX('Our policies'!$E$4:$E$503,_calc!$E$390)))=0,"","Policy no.: "&amp;IF(LEN(INDEX('Our policies'!$E$4:$E$503,_calc!$E$390))=0,"",INDEX('Our policies'!$E$4:$E$503,_calc!$E$390))&amp;". ")&amp;IF(LEN(IF(LEN(INDEX('Our policies'!$S$4:$S$503,_calc!$E$390))=0,"",INDEX('Our policies'!$S$4:$S$503,_calc!$E$390)))=0,"",IF(LEN(INDEX('Our policies'!$S$4:$S$503,_calc!$E$390))=0,"",INDEX('Our policies'!$S$4:$S$503,_calc!$E$390)))),TRIM(IF(LEN(IF(LEN(INDEX('Vendor COIs'!$C$4:$C$503,(_calc!$E$390-500)))=0,"",INDEX('Vendor COIs'!$C$4:$C$503,(_calc!$E$390-500))))=0,"","Insurer: "&amp;IF(LEN(INDEX('Vendor COIs'!$C$4:$C$503,(_calc!$E$390-500)))=0,"",INDEX('Vendor COIs'!$C$4:$C$503,(_calc!$E$390-500)))&amp;". ")&amp;IF(LEN(IF(LEN(INDEX('Vendor COIs'!$D$4:$D$503,(_calc!$E$390-500)))=0,"",INDEX('Vendor COIs'!$D$4:$D$503,(_calc!$E$390-500))))=0,"","Policy no.: "&amp;IF(LEN(INDEX('Vendor COIs'!$D$4:$D$503,(_calc!$E$390-500)))=0,"",INDEX('Vendor COIs'!$D$4:$D$503,(_calc!$E$390-500)))&amp;". ")&amp;IF(LEN(IF(LEN(INDEX('Vendor COIs'!$F$4:$F$503,(_calc!$E$390-500)))=0,"",INDEX('Vendor COIs'!$F$4:$F$503,(_calc!$E$390-500))))=0,"","Meets minimum: "&amp;IF(LEN(INDEX('Vendor COIs'!$F$4:$F$503,(_calc!$E$390-500)))=0,"",INDEX('Vendor COIs'!$F$4:$F$503,(_calc!$E$390-500)))&amp;". ")&amp;IF(LEN(IF(LEN(INDEX('Vendor COIs'!$G$4:$G$503,(_calc!$E$390-500)))=0,"",INDEX('Vendor COIs'!$G$4:$G$503,(_calc!$E$390-500))))=0,"","Additional insured: "&amp;IF(LEN(INDEX('Vendor COIs'!$G$4:$G$503,(_calc!$E$390-500)))=0,"",INDEX('Vendor COIs'!$G$4:$G$503,(_calc!$E$390-500)))&amp;". ")&amp;IF(LEN(IF(LEN(INDEX('Vendor COIs'!$M$4:$M$503,(_calc!$E$390-500)))=0,"",INDEX('Vendor COIs'!$M$4:$M$503,(_calc!$E$390-500))))=0,"","Vendor contact: "&amp;IF(LEN(INDEX('Vendor COIs'!$M$4:$M$503,(_calc!$E$390-500)))=0,"",INDEX('Vendor COIs'!$M$4:$M$503,(_calc!$E$390-500)))&amp;". ")&amp;IF(LEN(IF(LEN(INDEX('Vendor COIs'!$P$4:$P$503,(_calc!$E$390-500)))=0,"",INDEX('Vendor COIs'!$P$4:$P$503,(_calc!$E$390-500))))=0,"",IF(LEN(INDEX('Vendor COIs'!$P$4:$P$503,(_calc!$E$390-500)))=0,"",INDEX('Vendor COIs'!$P$4:$P$503,(_calc!$E$390-500)))))))</f>
        <v/>
      </c>
      <c r="G388" s="46">
        <f>IF(_calc!$E$390="","",IF(_calc!$E$390&lt;=500,IF(LEN(INDEX('Our policies'!$R$4:$R$503,_calc!$E$390))=0,"",INDEX('Our policies'!$R$4:$R$503,_calc!$E$390)),IF(LEN(INDEX('Vendor COIs'!$O$4:$O$503,(_calc!$E$390-500)))=0,"",INDEX('Vendor COIs'!$O$4:$O$503,(_calc!$E$390-500)))))</f>
        <v/>
      </c>
      <c r="H388" s="46">
        <f>IF(_calc!$E$390="","",IF(_calc!$E$390&lt;=500,IF(LEN(INDEX('Our policies'!$G$4:$G$503,_calc!$E$390))=0,"",INDEX('Our policies'!$G$4:$G$503,_calc!$E$390)),""))</f>
        <v/>
      </c>
      <c r="I388" s="46">
        <f>IF(_calc!$E$390="","",IF(_calc!$E$390&lt;=500,IF(LEN(INDEX('Our policies'!$H$4:$H$503,_calc!$E$390))=0,"",INDEX('Our policies'!$H$4:$H$503,_calc!$E$390)),""))</f>
        <v/>
      </c>
      <c r="K388" s="46">
        <f>IF(_calc!$E$390="","",IF(_calc!$E$390&lt;=500,IF(LEN(INDEX('Our policies'!$P$4:$P$503,_calc!$E$390))=0,"",INDEX('Our policies'!$P$4:$P$503,_calc!$E$390)),IF(LEN(INDEX('Vendor COIs'!$N$4:$N$503,(_calc!$E$390-500)))=0,"",INDEX('Vendor COIs'!$N$4:$N$503,(_calc!$E$390-500)))))</f>
        <v/>
      </c>
    </row>
    <row r="389">
      <c r="A389" s="46">
        <f>IF(_calc!$E$391="","",IF(_calc!$E$391&lt;=500,IF(LEN(INDEX('Our policies'!$A$4:$A$503,_calc!$E$391))=0,"",INDEX('Our policies'!$A$4:$A$503,_calc!$E$391)),"COI – "&amp;IF(LEN(INDEX('Vendor COIs'!$A$4:$A$503,(_calc!$E$391-500)))=0,"",INDEX('Vendor COIs'!$A$4:$A$503,(_calc!$E$391-500)))&amp;" – "&amp;IF(LEN(INDEX('Vendor COIs'!$B$4:$B$503,(_calc!$E$391-500)))=0,"",INDEX('Vendor COIs'!$B$4:$B$503,(_calc!$E$391-500)))))</f>
        <v/>
      </c>
      <c r="B389" s="46">
        <f>IF(_calc!$E$391="","",IF(_calc!$E$391&lt;=500,IF(ISNUMBER(INDEX('Our policies'!$J$4:$J$503,_calc!$E$391)),TEXT(INDEX('Our policies'!$J$4:$J$503,_calc!$E$391),"yyyy-mm-dd"),""),IF(ISNUMBER(INDEX('Vendor COIs'!$H$4:$H$503,(_calc!$E$391-500))),TEXT(INDEX('Vendor COIs'!$H$4:$H$503,(_calc!$E$391-500)),"yyyy-mm-dd"),"")))</f>
        <v/>
      </c>
      <c r="C389" s="46">
        <f>IF(_calc!$E$391="","",IF(_calc!$E$391&lt;=500,"Insurance","Certificate of insurance"))</f>
        <v/>
      </c>
      <c r="D389" s="46">
        <f>IF(_calc!$E$391="","",IF(_calc!$E$391&lt;=500,IF(ISNUMBER(INDEX('Our policies'!$I$4:$I$503,_calc!$E$391)),TEXT(INDEX('Our policies'!$I$4:$I$503,_calc!$E$391),"yyyy-mm-dd"),""),""))</f>
        <v/>
      </c>
      <c r="E389" s="46">
        <f>IF(_calc!$E$391="","",IF(_calc!$E$391&lt;=500,IF(LEN(INDEX('Our policies'!$Q$4:$Q$503,_calc!$E$391))=0,"",INDEX('Our policies'!$Q$4:$Q$503,_calc!$E$391)),"Medium"))</f>
        <v/>
      </c>
      <c r="F389" s="46">
        <f>IF(_calc!$E$391="","",IF(_calc!$E$391&lt;=500,TRIM(IF(LEN(IF(LEN(INDEX('Our policies'!$B$4:$B$503,_calc!$E$391))=0,"",INDEX('Our policies'!$B$4:$B$503,_calc!$E$391)))=0,"","Cover: "&amp;IF(LEN(INDEX('Our policies'!$B$4:$B$503,_calc!$E$391))=0,"",INDEX('Our policies'!$B$4:$B$503,_calc!$E$391))&amp;". ")&amp;IF(LEN(IF(LEN(INDEX('Our policies'!$C$4:$C$503,_calc!$E$391))=0,"",INDEX('Our policies'!$C$4:$C$503,_calc!$E$391)))=0,"","Insurer: "&amp;IF(LEN(INDEX('Our policies'!$C$4:$C$503,_calc!$E$391))=0,"",INDEX('Our policies'!$C$4:$C$503,_calc!$E$391))&amp;". ")&amp;IF(LEN(IF(LEN(INDEX('Our policies'!$D$4:$D$503,_calc!$E$391))=0,"",INDEX('Our policies'!$D$4:$D$503,_calc!$E$391)))=0,"","Broker: "&amp;IF(LEN(INDEX('Our policies'!$D$4:$D$503,_calc!$E$391))=0,"",INDEX('Our policies'!$D$4:$D$503,_calc!$E$391))&amp;". ")&amp;IF(LEN(IF(LEN(INDEX('Our policies'!$E$4:$E$503,_calc!$E$391))=0,"",INDEX('Our policies'!$E$4:$E$503,_calc!$E$391)))=0,"","Policy no.: "&amp;IF(LEN(INDEX('Our policies'!$E$4:$E$503,_calc!$E$391))=0,"",INDEX('Our policies'!$E$4:$E$503,_calc!$E$391))&amp;". ")&amp;IF(LEN(IF(LEN(INDEX('Our policies'!$S$4:$S$503,_calc!$E$391))=0,"",INDEX('Our policies'!$S$4:$S$503,_calc!$E$391)))=0,"",IF(LEN(INDEX('Our policies'!$S$4:$S$503,_calc!$E$391))=0,"",INDEX('Our policies'!$S$4:$S$503,_calc!$E$391)))),TRIM(IF(LEN(IF(LEN(INDEX('Vendor COIs'!$C$4:$C$503,(_calc!$E$391-500)))=0,"",INDEX('Vendor COIs'!$C$4:$C$503,(_calc!$E$391-500))))=0,"","Insurer: "&amp;IF(LEN(INDEX('Vendor COIs'!$C$4:$C$503,(_calc!$E$391-500)))=0,"",INDEX('Vendor COIs'!$C$4:$C$503,(_calc!$E$391-500)))&amp;". ")&amp;IF(LEN(IF(LEN(INDEX('Vendor COIs'!$D$4:$D$503,(_calc!$E$391-500)))=0,"",INDEX('Vendor COIs'!$D$4:$D$503,(_calc!$E$391-500))))=0,"","Policy no.: "&amp;IF(LEN(INDEX('Vendor COIs'!$D$4:$D$503,(_calc!$E$391-500)))=0,"",INDEX('Vendor COIs'!$D$4:$D$503,(_calc!$E$391-500)))&amp;". ")&amp;IF(LEN(IF(LEN(INDEX('Vendor COIs'!$F$4:$F$503,(_calc!$E$391-500)))=0,"",INDEX('Vendor COIs'!$F$4:$F$503,(_calc!$E$391-500))))=0,"","Meets minimum: "&amp;IF(LEN(INDEX('Vendor COIs'!$F$4:$F$503,(_calc!$E$391-500)))=0,"",INDEX('Vendor COIs'!$F$4:$F$503,(_calc!$E$391-500)))&amp;". ")&amp;IF(LEN(IF(LEN(INDEX('Vendor COIs'!$G$4:$G$503,(_calc!$E$391-500)))=0,"",INDEX('Vendor COIs'!$G$4:$G$503,(_calc!$E$391-500))))=0,"","Additional insured: "&amp;IF(LEN(INDEX('Vendor COIs'!$G$4:$G$503,(_calc!$E$391-500)))=0,"",INDEX('Vendor COIs'!$G$4:$G$503,(_calc!$E$391-500)))&amp;". ")&amp;IF(LEN(IF(LEN(INDEX('Vendor COIs'!$M$4:$M$503,(_calc!$E$391-500)))=0,"",INDEX('Vendor COIs'!$M$4:$M$503,(_calc!$E$391-500))))=0,"","Vendor contact: "&amp;IF(LEN(INDEX('Vendor COIs'!$M$4:$M$503,(_calc!$E$391-500)))=0,"",INDEX('Vendor COIs'!$M$4:$M$503,(_calc!$E$391-500)))&amp;". ")&amp;IF(LEN(IF(LEN(INDEX('Vendor COIs'!$P$4:$P$503,(_calc!$E$391-500)))=0,"",INDEX('Vendor COIs'!$P$4:$P$503,(_calc!$E$391-500))))=0,"",IF(LEN(INDEX('Vendor COIs'!$P$4:$P$503,(_calc!$E$391-500)))=0,"",INDEX('Vendor COIs'!$P$4:$P$503,(_calc!$E$391-500)))))))</f>
        <v/>
      </c>
      <c r="G389" s="46">
        <f>IF(_calc!$E$391="","",IF(_calc!$E$391&lt;=500,IF(LEN(INDEX('Our policies'!$R$4:$R$503,_calc!$E$391))=0,"",INDEX('Our policies'!$R$4:$R$503,_calc!$E$391)),IF(LEN(INDEX('Vendor COIs'!$O$4:$O$503,(_calc!$E$391-500)))=0,"",INDEX('Vendor COIs'!$O$4:$O$503,(_calc!$E$391-500)))))</f>
        <v/>
      </c>
      <c r="H389" s="46">
        <f>IF(_calc!$E$391="","",IF(_calc!$E$391&lt;=500,IF(LEN(INDEX('Our policies'!$G$4:$G$503,_calc!$E$391))=0,"",INDEX('Our policies'!$G$4:$G$503,_calc!$E$391)),""))</f>
        <v/>
      </c>
      <c r="I389" s="46">
        <f>IF(_calc!$E$391="","",IF(_calc!$E$391&lt;=500,IF(LEN(INDEX('Our policies'!$H$4:$H$503,_calc!$E$391))=0,"",INDEX('Our policies'!$H$4:$H$503,_calc!$E$391)),""))</f>
        <v/>
      </c>
      <c r="K389" s="46">
        <f>IF(_calc!$E$391="","",IF(_calc!$E$391&lt;=500,IF(LEN(INDEX('Our policies'!$P$4:$P$503,_calc!$E$391))=0,"",INDEX('Our policies'!$P$4:$P$503,_calc!$E$391)),IF(LEN(INDEX('Vendor COIs'!$N$4:$N$503,(_calc!$E$391-500)))=0,"",INDEX('Vendor COIs'!$N$4:$N$503,(_calc!$E$391-500)))))</f>
        <v/>
      </c>
    </row>
    <row r="390">
      <c r="A390" s="46">
        <f>IF(_calc!$E$392="","",IF(_calc!$E$392&lt;=500,IF(LEN(INDEX('Our policies'!$A$4:$A$503,_calc!$E$392))=0,"",INDEX('Our policies'!$A$4:$A$503,_calc!$E$392)),"COI – "&amp;IF(LEN(INDEX('Vendor COIs'!$A$4:$A$503,(_calc!$E$392-500)))=0,"",INDEX('Vendor COIs'!$A$4:$A$503,(_calc!$E$392-500)))&amp;" – "&amp;IF(LEN(INDEX('Vendor COIs'!$B$4:$B$503,(_calc!$E$392-500)))=0,"",INDEX('Vendor COIs'!$B$4:$B$503,(_calc!$E$392-500)))))</f>
        <v/>
      </c>
      <c r="B390" s="46">
        <f>IF(_calc!$E$392="","",IF(_calc!$E$392&lt;=500,IF(ISNUMBER(INDEX('Our policies'!$J$4:$J$503,_calc!$E$392)),TEXT(INDEX('Our policies'!$J$4:$J$503,_calc!$E$392),"yyyy-mm-dd"),""),IF(ISNUMBER(INDEX('Vendor COIs'!$H$4:$H$503,(_calc!$E$392-500))),TEXT(INDEX('Vendor COIs'!$H$4:$H$503,(_calc!$E$392-500)),"yyyy-mm-dd"),"")))</f>
        <v/>
      </c>
      <c r="C390" s="46">
        <f>IF(_calc!$E$392="","",IF(_calc!$E$392&lt;=500,"Insurance","Certificate of insurance"))</f>
        <v/>
      </c>
      <c r="D390" s="46">
        <f>IF(_calc!$E$392="","",IF(_calc!$E$392&lt;=500,IF(ISNUMBER(INDEX('Our policies'!$I$4:$I$503,_calc!$E$392)),TEXT(INDEX('Our policies'!$I$4:$I$503,_calc!$E$392),"yyyy-mm-dd"),""),""))</f>
        <v/>
      </c>
      <c r="E390" s="46">
        <f>IF(_calc!$E$392="","",IF(_calc!$E$392&lt;=500,IF(LEN(INDEX('Our policies'!$Q$4:$Q$503,_calc!$E$392))=0,"",INDEX('Our policies'!$Q$4:$Q$503,_calc!$E$392)),"Medium"))</f>
        <v/>
      </c>
      <c r="F390" s="46">
        <f>IF(_calc!$E$392="","",IF(_calc!$E$392&lt;=500,TRIM(IF(LEN(IF(LEN(INDEX('Our policies'!$B$4:$B$503,_calc!$E$392))=0,"",INDEX('Our policies'!$B$4:$B$503,_calc!$E$392)))=0,"","Cover: "&amp;IF(LEN(INDEX('Our policies'!$B$4:$B$503,_calc!$E$392))=0,"",INDEX('Our policies'!$B$4:$B$503,_calc!$E$392))&amp;". ")&amp;IF(LEN(IF(LEN(INDEX('Our policies'!$C$4:$C$503,_calc!$E$392))=0,"",INDEX('Our policies'!$C$4:$C$503,_calc!$E$392)))=0,"","Insurer: "&amp;IF(LEN(INDEX('Our policies'!$C$4:$C$503,_calc!$E$392))=0,"",INDEX('Our policies'!$C$4:$C$503,_calc!$E$392))&amp;". ")&amp;IF(LEN(IF(LEN(INDEX('Our policies'!$D$4:$D$503,_calc!$E$392))=0,"",INDEX('Our policies'!$D$4:$D$503,_calc!$E$392)))=0,"","Broker: "&amp;IF(LEN(INDEX('Our policies'!$D$4:$D$503,_calc!$E$392))=0,"",INDEX('Our policies'!$D$4:$D$503,_calc!$E$392))&amp;". ")&amp;IF(LEN(IF(LEN(INDEX('Our policies'!$E$4:$E$503,_calc!$E$392))=0,"",INDEX('Our policies'!$E$4:$E$503,_calc!$E$392)))=0,"","Policy no.: "&amp;IF(LEN(INDEX('Our policies'!$E$4:$E$503,_calc!$E$392))=0,"",INDEX('Our policies'!$E$4:$E$503,_calc!$E$392))&amp;". ")&amp;IF(LEN(IF(LEN(INDEX('Our policies'!$S$4:$S$503,_calc!$E$392))=0,"",INDEX('Our policies'!$S$4:$S$503,_calc!$E$392)))=0,"",IF(LEN(INDEX('Our policies'!$S$4:$S$503,_calc!$E$392))=0,"",INDEX('Our policies'!$S$4:$S$503,_calc!$E$392)))),TRIM(IF(LEN(IF(LEN(INDEX('Vendor COIs'!$C$4:$C$503,(_calc!$E$392-500)))=0,"",INDEX('Vendor COIs'!$C$4:$C$503,(_calc!$E$392-500))))=0,"","Insurer: "&amp;IF(LEN(INDEX('Vendor COIs'!$C$4:$C$503,(_calc!$E$392-500)))=0,"",INDEX('Vendor COIs'!$C$4:$C$503,(_calc!$E$392-500)))&amp;". ")&amp;IF(LEN(IF(LEN(INDEX('Vendor COIs'!$D$4:$D$503,(_calc!$E$392-500)))=0,"",INDEX('Vendor COIs'!$D$4:$D$503,(_calc!$E$392-500))))=0,"","Policy no.: "&amp;IF(LEN(INDEX('Vendor COIs'!$D$4:$D$503,(_calc!$E$392-500)))=0,"",INDEX('Vendor COIs'!$D$4:$D$503,(_calc!$E$392-500)))&amp;". ")&amp;IF(LEN(IF(LEN(INDEX('Vendor COIs'!$F$4:$F$503,(_calc!$E$392-500)))=0,"",INDEX('Vendor COIs'!$F$4:$F$503,(_calc!$E$392-500))))=0,"","Meets minimum: "&amp;IF(LEN(INDEX('Vendor COIs'!$F$4:$F$503,(_calc!$E$392-500)))=0,"",INDEX('Vendor COIs'!$F$4:$F$503,(_calc!$E$392-500)))&amp;". ")&amp;IF(LEN(IF(LEN(INDEX('Vendor COIs'!$G$4:$G$503,(_calc!$E$392-500)))=0,"",INDEX('Vendor COIs'!$G$4:$G$503,(_calc!$E$392-500))))=0,"","Additional insured: "&amp;IF(LEN(INDEX('Vendor COIs'!$G$4:$G$503,(_calc!$E$392-500)))=0,"",INDEX('Vendor COIs'!$G$4:$G$503,(_calc!$E$392-500)))&amp;". ")&amp;IF(LEN(IF(LEN(INDEX('Vendor COIs'!$M$4:$M$503,(_calc!$E$392-500)))=0,"",INDEX('Vendor COIs'!$M$4:$M$503,(_calc!$E$392-500))))=0,"","Vendor contact: "&amp;IF(LEN(INDEX('Vendor COIs'!$M$4:$M$503,(_calc!$E$392-500)))=0,"",INDEX('Vendor COIs'!$M$4:$M$503,(_calc!$E$392-500)))&amp;". ")&amp;IF(LEN(IF(LEN(INDEX('Vendor COIs'!$P$4:$P$503,(_calc!$E$392-500)))=0,"",INDEX('Vendor COIs'!$P$4:$P$503,(_calc!$E$392-500))))=0,"",IF(LEN(INDEX('Vendor COIs'!$P$4:$P$503,(_calc!$E$392-500)))=0,"",INDEX('Vendor COIs'!$P$4:$P$503,(_calc!$E$392-500)))))))</f>
        <v/>
      </c>
      <c r="G390" s="46">
        <f>IF(_calc!$E$392="","",IF(_calc!$E$392&lt;=500,IF(LEN(INDEX('Our policies'!$R$4:$R$503,_calc!$E$392))=0,"",INDEX('Our policies'!$R$4:$R$503,_calc!$E$392)),IF(LEN(INDEX('Vendor COIs'!$O$4:$O$503,(_calc!$E$392-500)))=0,"",INDEX('Vendor COIs'!$O$4:$O$503,(_calc!$E$392-500)))))</f>
        <v/>
      </c>
      <c r="H390" s="46">
        <f>IF(_calc!$E$392="","",IF(_calc!$E$392&lt;=500,IF(LEN(INDEX('Our policies'!$G$4:$G$503,_calc!$E$392))=0,"",INDEX('Our policies'!$G$4:$G$503,_calc!$E$392)),""))</f>
        <v/>
      </c>
      <c r="I390" s="46">
        <f>IF(_calc!$E$392="","",IF(_calc!$E$392&lt;=500,IF(LEN(INDEX('Our policies'!$H$4:$H$503,_calc!$E$392))=0,"",INDEX('Our policies'!$H$4:$H$503,_calc!$E$392)),""))</f>
        <v/>
      </c>
      <c r="K390" s="46">
        <f>IF(_calc!$E$392="","",IF(_calc!$E$392&lt;=500,IF(LEN(INDEX('Our policies'!$P$4:$P$503,_calc!$E$392))=0,"",INDEX('Our policies'!$P$4:$P$503,_calc!$E$392)),IF(LEN(INDEX('Vendor COIs'!$N$4:$N$503,(_calc!$E$392-500)))=0,"",INDEX('Vendor COIs'!$N$4:$N$503,(_calc!$E$392-500)))))</f>
        <v/>
      </c>
    </row>
    <row r="391">
      <c r="A391" s="46">
        <f>IF(_calc!$E$393="","",IF(_calc!$E$393&lt;=500,IF(LEN(INDEX('Our policies'!$A$4:$A$503,_calc!$E$393))=0,"",INDEX('Our policies'!$A$4:$A$503,_calc!$E$393)),"COI – "&amp;IF(LEN(INDEX('Vendor COIs'!$A$4:$A$503,(_calc!$E$393-500)))=0,"",INDEX('Vendor COIs'!$A$4:$A$503,(_calc!$E$393-500)))&amp;" – "&amp;IF(LEN(INDEX('Vendor COIs'!$B$4:$B$503,(_calc!$E$393-500)))=0,"",INDEX('Vendor COIs'!$B$4:$B$503,(_calc!$E$393-500)))))</f>
        <v/>
      </c>
      <c r="B391" s="46">
        <f>IF(_calc!$E$393="","",IF(_calc!$E$393&lt;=500,IF(ISNUMBER(INDEX('Our policies'!$J$4:$J$503,_calc!$E$393)),TEXT(INDEX('Our policies'!$J$4:$J$503,_calc!$E$393),"yyyy-mm-dd"),""),IF(ISNUMBER(INDEX('Vendor COIs'!$H$4:$H$503,(_calc!$E$393-500))),TEXT(INDEX('Vendor COIs'!$H$4:$H$503,(_calc!$E$393-500)),"yyyy-mm-dd"),"")))</f>
        <v/>
      </c>
      <c r="C391" s="46">
        <f>IF(_calc!$E$393="","",IF(_calc!$E$393&lt;=500,"Insurance","Certificate of insurance"))</f>
        <v/>
      </c>
      <c r="D391" s="46">
        <f>IF(_calc!$E$393="","",IF(_calc!$E$393&lt;=500,IF(ISNUMBER(INDEX('Our policies'!$I$4:$I$503,_calc!$E$393)),TEXT(INDEX('Our policies'!$I$4:$I$503,_calc!$E$393),"yyyy-mm-dd"),""),""))</f>
        <v/>
      </c>
      <c r="E391" s="46">
        <f>IF(_calc!$E$393="","",IF(_calc!$E$393&lt;=500,IF(LEN(INDEX('Our policies'!$Q$4:$Q$503,_calc!$E$393))=0,"",INDEX('Our policies'!$Q$4:$Q$503,_calc!$E$393)),"Medium"))</f>
        <v/>
      </c>
      <c r="F391" s="46">
        <f>IF(_calc!$E$393="","",IF(_calc!$E$393&lt;=500,TRIM(IF(LEN(IF(LEN(INDEX('Our policies'!$B$4:$B$503,_calc!$E$393))=0,"",INDEX('Our policies'!$B$4:$B$503,_calc!$E$393)))=0,"","Cover: "&amp;IF(LEN(INDEX('Our policies'!$B$4:$B$503,_calc!$E$393))=0,"",INDEX('Our policies'!$B$4:$B$503,_calc!$E$393))&amp;". ")&amp;IF(LEN(IF(LEN(INDEX('Our policies'!$C$4:$C$503,_calc!$E$393))=0,"",INDEX('Our policies'!$C$4:$C$503,_calc!$E$393)))=0,"","Insurer: "&amp;IF(LEN(INDEX('Our policies'!$C$4:$C$503,_calc!$E$393))=0,"",INDEX('Our policies'!$C$4:$C$503,_calc!$E$393))&amp;". ")&amp;IF(LEN(IF(LEN(INDEX('Our policies'!$D$4:$D$503,_calc!$E$393))=0,"",INDEX('Our policies'!$D$4:$D$503,_calc!$E$393)))=0,"","Broker: "&amp;IF(LEN(INDEX('Our policies'!$D$4:$D$503,_calc!$E$393))=0,"",INDEX('Our policies'!$D$4:$D$503,_calc!$E$393))&amp;". ")&amp;IF(LEN(IF(LEN(INDEX('Our policies'!$E$4:$E$503,_calc!$E$393))=0,"",INDEX('Our policies'!$E$4:$E$503,_calc!$E$393)))=0,"","Policy no.: "&amp;IF(LEN(INDEX('Our policies'!$E$4:$E$503,_calc!$E$393))=0,"",INDEX('Our policies'!$E$4:$E$503,_calc!$E$393))&amp;". ")&amp;IF(LEN(IF(LEN(INDEX('Our policies'!$S$4:$S$503,_calc!$E$393))=0,"",INDEX('Our policies'!$S$4:$S$503,_calc!$E$393)))=0,"",IF(LEN(INDEX('Our policies'!$S$4:$S$503,_calc!$E$393))=0,"",INDEX('Our policies'!$S$4:$S$503,_calc!$E$393)))),TRIM(IF(LEN(IF(LEN(INDEX('Vendor COIs'!$C$4:$C$503,(_calc!$E$393-500)))=0,"",INDEX('Vendor COIs'!$C$4:$C$503,(_calc!$E$393-500))))=0,"","Insurer: "&amp;IF(LEN(INDEX('Vendor COIs'!$C$4:$C$503,(_calc!$E$393-500)))=0,"",INDEX('Vendor COIs'!$C$4:$C$503,(_calc!$E$393-500)))&amp;". ")&amp;IF(LEN(IF(LEN(INDEX('Vendor COIs'!$D$4:$D$503,(_calc!$E$393-500)))=0,"",INDEX('Vendor COIs'!$D$4:$D$503,(_calc!$E$393-500))))=0,"","Policy no.: "&amp;IF(LEN(INDEX('Vendor COIs'!$D$4:$D$503,(_calc!$E$393-500)))=0,"",INDEX('Vendor COIs'!$D$4:$D$503,(_calc!$E$393-500)))&amp;". ")&amp;IF(LEN(IF(LEN(INDEX('Vendor COIs'!$F$4:$F$503,(_calc!$E$393-500)))=0,"",INDEX('Vendor COIs'!$F$4:$F$503,(_calc!$E$393-500))))=0,"","Meets minimum: "&amp;IF(LEN(INDEX('Vendor COIs'!$F$4:$F$503,(_calc!$E$393-500)))=0,"",INDEX('Vendor COIs'!$F$4:$F$503,(_calc!$E$393-500)))&amp;". ")&amp;IF(LEN(IF(LEN(INDEX('Vendor COIs'!$G$4:$G$503,(_calc!$E$393-500)))=0,"",INDEX('Vendor COIs'!$G$4:$G$503,(_calc!$E$393-500))))=0,"","Additional insured: "&amp;IF(LEN(INDEX('Vendor COIs'!$G$4:$G$503,(_calc!$E$393-500)))=0,"",INDEX('Vendor COIs'!$G$4:$G$503,(_calc!$E$393-500)))&amp;". ")&amp;IF(LEN(IF(LEN(INDEX('Vendor COIs'!$M$4:$M$503,(_calc!$E$393-500)))=0,"",INDEX('Vendor COIs'!$M$4:$M$503,(_calc!$E$393-500))))=0,"","Vendor contact: "&amp;IF(LEN(INDEX('Vendor COIs'!$M$4:$M$503,(_calc!$E$393-500)))=0,"",INDEX('Vendor COIs'!$M$4:$M$503,(_calc!$E$393-500)))&amp;". ")&amp;IF(LEN(IF(LEN(INDEX('Vendor COIs'!$P$4:$P$503,(_calc!$E$393-500)))=0,"",INDEX('Vendor COIs'!$P$4:$P$503,(_calc!$E$393-500))))=0,"",IF(LEN(INDEX('Vendor COIs'!$P$4:$P$503,(_calc!$E$393-500)))=0,"",INDEX('Vendor COIs'!$P$4:$P$503,(_calc!$E$393-500)))))))</f>
        <v/>
      </c>
      <c r="G391" s="46">
        <f>IF(_calc!$E$393="","",IF(_calc!$E$393&lt;=500,IF(LEN(INDEX('Our policies'!$R$4:$R$503,_calc!$E$393))=0,"",INDEX('Our policies'!$R$4:$R$503,_calc!$E$393)),IF(LEN(INDEX('Vendor COIs'!$O$4:$O$503,(_calc!$E$393-500)))=0,"",INDEX('Vendor COIs'!$O$4:$O$503,(_calc!$E$393-500)))))</f>
        <v/>
      </c>
      <c r="H391" s="46">
        <f>IF(_calc!$E$393="","",IF(_calc!$E$393&lt;=500,IF(LEN(INDEX('Our policies'!$G$4:$G$503,_calc!$E$393))=0,"",INDEX('Our policies'!$G$4:$G$503,_calc!$E$393)),""))</f>
        <v/>
      </c>
      <c r="I391" s="46">
        <f>IF(_calc!$E$393="","",IF(_calc!$E$393&lt;=500,IF(LEN(INDEX('Our policies'!$H$4:$H$503,_calc!$E$393))=0,"",INDEX('Our policies'!$H$4:$H$503,_calc!$E$393)),""))</f>
        <v/>
      </c>
      <c r="K391" s="46">
        <f>IF(_calc!$E$393="","",IF(_calc!$E$393&lt;=500,IF(LEN(INDEX('Our policies'!$P$4:$P$503,_calc!$E$393))=0,"",INDEX('Our policies'!$P$4:$P$503,_calc!$E$393)),IF(LEN(INDEX('Vendor COIs'!$N$4:$N$503,(_calc!$E$393-500)))=0,"",INDEX('Vendor COIs'!$N$4:$N$503,(_calc!$E$393-500)))))</f>
        <v/>
      </c>
    </row>
    <row r="392">
      <c r="A392" s="46">
        <f>IF(_calc!$E$394="","",IF(_calc!$E$394&lt;=500,IF(LEN(INDEX('Our policies'!$A$4:$A$503,_calc!$E$394))=0,"",INDEX('Our policies'!$A$4:$A$503,_calc!$E$394)),"COI – "&amp;IF(LEN(INDEX('Vendor COIs'!$A$4:$A$503,(_calc!$E$394-500)))=0,"",INDEX('Vendor COIs'!$A$4:$A$503,(_calc!$E$394-500)))&amp;" – "&amp;IF(LEN(INDEX('Vendor COIs'!$B$4:$B$503,(_calc!$E$394-500)))=0,"",INDEX('Vendor COIs'!$B$4:$B$503,(_calc!$E$394-500)))))</f>
        <v/>
      </c>
      <c r="B392" s="46">
        <f>IF(_calc!$E$394="","",IF(_calc!$E$394&lt;=500,IF(ISNUMBER(INDEX('Our policies'!$J$4:$J$503,_calc!$E$394)),TEXT(INDEX('Our policies'!$J$4:$J$503,_calc!$E$394),"yyyy-mm-dd"),""),IF(ISNUMBER(INDEX('Vendor COIs'!$H$4:$H$503,(_calc!$E$394-500))),TEXT(INDEX('Vendor COIs'!$H$4:$H$503,(_calc!$E$394-500)),"yyyy-mm-dd"),"")))</f>
        <v/>
      </c>
      <c r="C392" s="46">
        <f>IF(_calc!$E$394="","",IF(_calc!$E$394&lt;=500,"Insurance","Certificate of insurance"))</f>
        <v/>
      </c>
      <c r="D392" s="46">
        <f>IF(_calc!$E$394="","",IF(_calc!$E$394&lt;=500,IF(ISNUMBER(INDEX('Our policies'!$I$4:$I$503,_calc!$E$394)),TEXT(INDEX('Our policies'!$I$4:$I$503,_calc!$E$394),"yyyy-mm-dd"),""),""))</f>
        <v/>
      </c>
      <c r="E392" s="46">
        <f>IF(_calc!$E$394="","",IF(_calc!$E$394&lt;=500,IF(LEN(INDEX('Our policies'!$Q$4:$Q$503,_calc!$E$394))=0,"",INDEX('Our policies'!$Q$4:$Q$503,_calc!$E$394)),"Medium"))</f>
        <v/>
      </c>
      <c r="F392" s="46">
        <f>IF(_calc!$E$394="","",IF(_calc!$E$394&lt;=500,TRIM(IF(LEN(IF(LEN(INDEX('Our policies'!$B$4:$B$503,_calc!$E$394))=0,"",INDEX('Our policies'!$B$4:$B$503,_calc!$E$394)))=0,"","Cover: "&amp;IF(LEN(INDEX('Our policies'!$B$4:$B$503,_calc!$E$394))=0,"",INDEX('Our policies'!$B$4:$B$503,_calc!$E$394))&amp;". ")&amp;IF(LEN(IF(LEN(INDEX('Our policies'!$C$4:$C$503,_calc!$E$394))=0,"",INDEX('Our policies'!$C$4:$C$503,_calc!$E$394)))=0,"","Insurer: "&amp;IF(LEN(INDEX('Our policies'!$C$4:$C$503,_calc!$E$394))=0,"",INDEX('Our policies'!$C$4:$C$503,_calc!$E$394))&amp;". ")&amp;IF(LEN(IF(LEN(INDEX('Our policies'!$D$4:$D$503,_calc!$E$394))=0,"",INDEX('Our policies'!$D$4:$D$503,_calc!$E$394)))=0,"","Broker: "&amp;IF(LEN(INDEX('Our policies'!$D$4:$D$503,_calc!$E$394))=0,"",INDEX('Our policies'!$D$4:$D$503,_calc!$E$394))&amp;". ")&amp;IF(LEN(IF(LEN(INDEX('Our policies'!$E$4:$E$503,_calc!$E$394))=0,"",INDEX('Our policies'!$E$4:$E$503,_calc!$E$394)))=0,"","Policy no.: "&amp;IF(LEN(INDEX('Our policies'!$E$4:$E$503,_calc!$E$394))=0,"",INDEX('Our policies'!$E$4:$E$503,_calc!$E$394))&amp;". ")&amp;IF(LEN(IF(LEN(INDEX('Our policies'!$S$4:$S$503,_calc!$E$394))=0,"",INDEX('Our policies'!$S$4:$S$503,_calc!$E$394)))=0,"",IF(LEN(INDEX('Our policies'!$S$4:$S$503,_calc!$E$394))=0,"",INDEX('Our policies'!$S$4:$S$503,_calc!$E$394)))),TRIM(IF(LEN(IF(LEN(INDEX('Vendor COIs'!$C$4:$C$503,(_calc!$E$394-500)))=0,"",INDEX('Vendor COIs'!$C$4:$C$503,(_calc!$E$394-500))))=0,"","Insurer: "&amp;IF(LEN(INDEX('Vendor COIs'!$C$4:$C$503,(_calc!$E$394-500)))=0,"",INDEX('Vendor COIs'!$C$4:$C$503,(_calc!$E$394-500)))&amp;". ")&amp;IF(LEN(IF(LEN(INDEX('Vendor COIs'!$D$4:$D$503,(_calc!$E$394-500)))=0,"",INDEX('Vendor COIs'!$D$4:$D$503,(_calc!$E$394-500))))=0,"","Policy no.: "&amp;IF(LEN(INDEX('Vendor COIs'!$D$4:$D$503,(_calc!$E$394-500)))=0,"",INDEX('Vendor COIs'!$D$4:$D$503,(_calc!$E$394-500)))&amp;". ")&amp;IF(LEN(IF(LEN(INDEX('Vendor COIs'!$F$4:$F$503,(_calc!$E$394-500)))=0,"",INDEX('Vendor COIs'!$F$4:$F$503,(_calc!$E$394-500))))=0,"","Meets minimum: "&amp;IF(LEN(INDEX('Vendor COIs'!$F$4:$F$503,(_calc!$E$394-500)))=0,"",INDEX('Vendor COIs'!$F$4:$F$503,(_calc!$E$394-500)))&amp;". ")&amp;IF(LEN(IF(LEN(INDEX('Vendor COIs'!$G$4:$G$503,(_calc!$E$394-500)))=0,"",INDEX('Vendor COIs'!$G$4:$G$503,(_calc!$E$394-500))))=0,"","Additional insured: "&amp;IF(LEN(INDEX('Vendor COIs'!$G$4:$G$503,(_calc!$E$394-500)))=0,"",INDEX('Vendor COIs'!$G$4:$G$503,(_calc!$E$394-500)))&amp;". ")&amp;IF(LEN(IF(LEN(INDEX('Vendor COIs'!$M$4:$M$503,(_calc!$E$394-500)))=0,"",INDEX('Vendor COIs'!$M$4:$M$503,(_calc!$E$394-500))))=0,"","Vendor contact: "&amp;IF(LEN(INDEX('Vendor COIs'!$M$4:$M$503,(_calc!$E$394-500)))=0,"",INDEX('Vendor COIs'!$M$4:$M$503,(_calc!$E$394-500)))&amp;". ")&amp;IF(LEN(IF(LEN(INDEX('Vendor COIs'!$P$4:$P$503,(_calc!$E$394-500)))=0,"",INDEX('Vendor COIs'!$P$4:$P$503,(_calc!$E$394-500))))=0,"",IF(LEN(INDEX('Vendor COIs'!$P$4:$P$503,(_calc!$E$394-500)))=0,"",INDEX('Vendor COIs'!$P$4:$P$503,(_calc!$E$394-500)))))))</f>
        <v/>
      </c>
      <c r="G392" s="46">
        <f>IF(_calc!$E$394="","",IF(_calc!$E$394&lt;=500,IF(LEN(INDEX('Our policies'!$R$4:$R$503,_calc!$E$394))=0,"",INDEX('Our policies'!$R$4:$R$503,_calc!$E$394)),IF(LEN(INDEX('Vendor COIs'!$O$4:$O$503,(_calc!$E$394-500)))=0,"",INDEX('Vendor COIs'!$O$4:$O$503,(_calc!$E$394-500)))))</f>
        <v/>
      </c>
      <c r="H392" s="46">
        <f>IF(_calc!$E$394="","",IF(_calc!$E$394&lt;=500,IF(LEN(INDEX('Our policies'!$G$4:$G$503,_calc!$E$394))=0,"",INDEX('Our policies'!$G$4:$G$503,_calc!$E$394)),""))</f>
        <v/>
      </c>
      <c r="I392" s="46">
        <f>IF(_calc!$E$394="","",IF(_calc!$E$394&lt;=500,IF(LEN(INDEX('Our policies'!$H$4:$H$503,_calc!$E$394))=0,"",INDEX('Our policies'!$H$4:$H$503,_calc!$E$394)),""))</f>
        <v/>
      </c>
      <c r="K392" s="46">
        <f>IF(_calc!$E$394="","",IF(_calc!$E$394&lt;=500,IF(LEN(INDEX('Our policies'!$P$4:$P$503,_calc!$E$394))=0,"",INDEX('Our policies'!$P$4:$P$503,_calc!$E$394)),IF(LEN(INDEX('Vendor COIs'!$N$4:$N$503,(_calc!$E$394-500)))=0,"",INDEX('Vendor COIs'!$N$4:$N$503,(_calc!$E$394-500)))))</f>
        <v/>
      </c>
    </row>
    <row r="393">
      <c r="A393" s="46">
        <f>IF(_calc!$E$395="","",IF(_calc!$E$395&lt;=500,IF(LEN(INDEX('Our policies'!$A$4:$A$503,_calc!$E$395))=0,"",INDEX('Our policies'!$A$4:$A$503,_calc!$E$395)),"COI – "&amp;IF(LEN(INDEX('Vendor COIs'!$A$4:$A$503,(_calc!$E$395-500)))=0,"",INDEX('Vendor COIs'!$A$4:$A$503,(_calc!$E$395-500)))&amp;" – "&amp;IF(LEN(INDEX('Vendor COIs'!$B$4:$B$503,(_calc!$E$395-500)))=0,"",INDEX('Vendor COIs'!$B$4:$B$503,(_calc!$E$395-500)))))</f>
        <v/>
      </c>
      <c r="B393" s="46">
        <f>IF(_calc!$E$395="","",IF(_calc!$E$395&lt;=500,IF(ISNUMBER(INDEX('Our policies'!$J$4:$J$503,_calc!$E$395)),TEXT(INDEX('Our policies'!$J$4:$J$503,_calc!$E$395),"yyyy-mm-dd"),""),IF(ISNUMBER(INDEX('Vendor COIs'!$H$4:$H$503,(_calc!$E$395-500))),TEXT(INDEX('Vendor COIs'!$H$4:$H$503,(_calc!$E$395-500)),"yyyy-mm-dd"),"")))</f>
        <v/>
      </c>
      <c r="C393" s="46">
        <f>IF(_calc!$E$395="","",IF(_calc!$E$395&lt;=500,"Insurance","Certificate of insurance"))</f>
        <v/>
      </c>
      <c r="D393" s="46">
        <f>IF(_calc!$E$395="","",IF(_calc!$E$395&lt;=500,IF(ISNUMBER(INDEX('Our policies'!$I$4:$I$503,_calc!$E$395)),TEXT(INDEX('Our policies'!$I$4:$I$503,_calc!$E$395),"yyyy-mm-dd"),""),""))</f>
        <v/>
      </c>
      <c r="E393" s="46">
        <f>IF(_calc!$E$395="","",IF(_calc!$E$395&lt;=500,IF(LEN(INDEX('Our policies'!$Q$4:$Q$503,_calc!$E$395))=0,"",INDEX('Our policies'!$Q$4:$Q$503,_calc!$E$395)),"Medium"))</f>
        <v/>
      </c>
      <c r="F393" s="46">
        <f>IF(_calc!$E$395="","",IF(_calc!$E$395&lt;=500,TRIM(IF(LEN(IF(LEN(INDEX('Our policies'!$B$4:$B$503,_calc!$E$395))=0,"",INDEX('Our policies'!$B$4:$B$503,_calc!$E$395)))=0,"","Cover: "&amp;IF(LEN(INDEX('Our policies'!$B$4:$B$503,_calc!$E$395))=0,"",INDEX('Our policies'!$B$4:$B$503,_calc!$E$395))&amp;". ")&amp;IF(LEN(IF(LEN(INDEX('Our policies'!$C$4:$C$503,_calc!$E$395))=0,"",INDEX('Our policies'!$C$4:$C$503,_calc!$E$395)))=0,"","Insurer: "&amp;IF(LEN(INDEX('Our policies'!$C$4:$C$503,_calc!$E$395))=0,"",INDEX('Our policies'!$C$4:$C$503,_calc!$E$395))&amp;". ")&amp;IF(LEN(IF(LEN(INDEX('Our policies'!$D$4:$D$503,_calc!$E$395))=0,"",INDEX('Our policies'!$D$4:$D$503,_calc!$E$395)))=0,"","Broker: "&amp;IF(LEN(INDEX('Our policies'!$D$4:$D$503,_calc!$E$395))=0,"",INDEX('Our policies'!$D$4:$D$503,_calc!$E$395))&amp;". ")&amp;IF(LEN(IF(LEN(INDEX('Our policies'!$E$4:$E$503,_calc!$E$395))=0,"",INDEX('Our policies'!$E$4:$E$503,_calc!$E$395)))=0,"","Policy no.: "&amp;IF(LEN(INDEX('Our policies'!$E$4:$E$503,_calc!$E$395))=0,"",INDEX('Our policies'!$E$4:$E$503,_calc!$E$395))&amp;". ")&amp;IF(LEN(IF(LEN(INDEX('Our policies'!$S$4:$S$503,_calc!$E$395))=0,"",INDEX('Our policies'!$S$4:$S$503,_calc!$E$395)))=0,"",IF(LEN(INDEX('Our policies'!$S$4:$S$503,_calc!$E$395))=0,"",INDEX('Our policies'!$S$4:$S$503,_calc!$E$395)))),TRIM(IF(LEN(IF(LEN(INDEX('Vendor COIs'!$C$4:$C$503,(_calc!$E$395-500)))=0,"",INDEX('Vendor COIs'!$C$4:$C$503,(_calc!$E$395-500))))=0,"","Insurer: "&amp;IF(LEN(INDEX('Vendor COIs'!$C$4:$C$503,(_calc!$E$395-500)))=0,"",INDEX('Vendor COIs'!$C$4:$C$503,(_calc!$E$395-500)))&amp;". ")&amp;IF(LEN(IF(LEN(INDEX('Vendor COIs'!$D$4:$D$503,(_calc!$E$395-500)))=0,"",INDEX('Vendor COIs'!$D$4:$D$503,(_calc!$E$395-500))))=0,"","Policy no.: "&amp;IF(LEN(INDEX('Vendor COIs'!$D$4:$D$503,(_calc!$E$395-500)))=0,"",INDEX('Vendor COIs'!$D$4:$D$503,(_calc!$E$395-500)))&amp;". ")&amp;IF(LEN(IF(LEN(INDEX('Vendor COIs'!$F$4:$F$503,(_calc!$E$395-500)))=0,"",INDEX('Vendor COIs'!$F$4:$F$503,(_calc!$E$395-500))))=0,"","Meets minimum: "&amp;IF(LEN(INDEX('Vendor COIs'!$F$4:$F$503,(_calc!$E$395-500)))=0,"",INDEX('Vendor COIs'!$F$4:$F$503,(_calc!$E$395-500)))&amp;". ")&amp;IF(LEN(IF(LEN(INDEX('Vendor COIs'!$G$4:$G$503,(_calc!$E$395-500)))=0,"",INDEX('Vendor COIs'!$G$4:$G$503,(_calc!$E$395-500))))=0,"","Additional insured: "&amp;IF(LEN(INDEX('Vendor COIs'!$G$4:$G$503,(_calc!$E$395-500)))=0,"",INDEX('Vendor COIs'!$G$4:$G$503,(_calc!$E$395-500)))&amp;". ")&amp;IF(LEN(IF(LEN(INDEX('Vendor COIs'!$M$4:$M$503,(_calc!$E$395-500)))=0,"",INDEX('Vendor COIs'!$M$4:$M$503,(_calc!$E$395-500))))=0,"","Vendor contact: "&amp;IF(LEN(INDEX('Vendor COIs'!$M$4:$M$503,(_calc!$E$395-500)))=0,"",INDEX('Vendor COIs'!$M$4:$M$503,(_calc!$E$395-500)))&amp;". ")&amp;IF(LEN(IF(LEN(INDEX('Vendor COIs'!$P$4:$P$503,(_calc!$E$395-500)))=0,"",INDEX('Vendor COIs'!$P$4:$P$503,(_calc!$E$395-500))))=0,"",IF(LEN(INDEX('Vendor COIs'!$P$4:$P$503,(_calc!$E$395-500)))=0,"",INDEX('Vendor COIs'!$P$4:$P$503,(_calc!$E$395-500)))))))</f>
        <v/>
      </c>
      <c r="G393" s="46">
        <f>IF(_calc!$E$395="","",IF(_calc!$E$395&lt;=500,IF(LEN(INDEX('Our policies'!$R$4:$R$503,_calc!$E$395))=0,"",INDEX('Our policies'!$R$4:$R$503,_calc!$E$395)),IF(LEN(INDEX('Vendor COIs'!$O$4:$O$503,(_calc!$E$395-500)))=0,"",INDEX('Vendor COIs'!$O$4:$O$503,(_calc!$E$395-500)))))</f>
        <v/>
      </c>
      <c r="H393" s="46">
        <f>IF(_calc!$E$395="","",IF(_calc!$E$395&lt;=500,IF(LEN(INDEX('Our policies'!$G$4:$G$503,_calc!$E$395))=0,"",INDEX('Our policies'!$G$4:$G$503,_calc!$E$395)),""))</f>
        <v/>
      </c>
      <c r="I393" s="46">
        <f>IF(_calc!$E$395="","",IF(_calc!$E$395&lt;=500,IF(LEN(INDEX('Our policies'!$H$4:$H$503,_calc!$E$395))=0,"",INDEX('Our policies'!$H$4:$H$503,_calc!$E$395)),""))</f>
        <v/>
      </c>
      <c r="K393" s="46">
        <f>IF(_calc!$E$395="","",IF(_calc!$E$395&lt;=500,IF(LEN(INDEX('Our policies'!$P$4:$P$503,_calc!$E$395))=0,"",INDEX('Our policies'!$P$4:$P$503,_calc!$E$395)),IF(LEN(INDEX('Vendor COIs'!$N$4:$N$503,(_calc!$E$395-500)))=0,"",INDEX('Vendor COIs'!$N$4:$N$503,(_calc!$E$395-500)))))</f>
        <v/>
      </c>
    </row>
    <row r="394">
      <c r="A394" s="46">
        <f>IF(_calc!$E$396="","",IF(_calc!$E$396&lt;=500,IF(LEN(INDEX('Our policies'!$A$4:$A$503,_calc!$E$396))=0,"",INDEX('Our policies'!$A$4:$A$503,_calc!$E$396)),"COI – "&amp;IF(LEN(INDEX('Vendor COIs'!$A$4:$A$503,(_calc!$E$396-500)))=0,"",INDEX('Vendor COIs'!$A$4:$A$503,(_calc!$E$396-500)))&amp;" – "&amp;IF(LEN(INDEX('Vendor COIs'!$B$4:$B$503,(_calc!$E$396-500)))=0,"",INDEX('Vendor COIs'!$B$4:$B$503,(_calc!$E$396-500)))))</f>
        <v/>
      </c>
      <c r="B394" s="46">
        <f>IF(_calc!$E$396="","",IF(_calc!$E$396&lt;=500,IF(ISNUMBER(INDEX('Our policies'!$J$4:$J$503,_calc!$E$396)),TEXT(INDEX('Our policies'!$J$4:$J$503,_calc!$E$396),"yyyy-mm-dd"),""),IF(ISNUMBER(INDEX('Vendor COIs'!$H$4:$H$503,(_calc!$E$396-500))),TEXT(INDEX('Vendor COIs'!$H$4:$H$503,(_calc!$E$396-500)),"yyyy-mm-dd"),"")))</f>
        <v/>
      </c>
      <c r="C394" s="46">
        <f>IF(_calc!$E$396="","",IF(_calc!$E$396&lt;=500,"Insurance","Certificate of insurance"))</f>
        <v/>
      </c>
      <c r="D394" s="46">
        <f>IF(_calc!$E$396="","",IF(_calc!$E$396&lt;=500,IF(ISNUMBER(INDEX('Our policies'!$I$4:$I$503,_calc!$E$396)),TEXT(INDEX('Our policies'!$I$4:$I$503,_calc!$E$396),"yyyy-mm-dd"),""),""))</f>
        <v/>
      </c>
      <c r="E394" s="46">
        <f>IF(_calc!$E$396="","",IF(_calc!$E$396&lt;=500,IF(LEN(INDEX('Our policies'!$Q$4:$Q$503,_calc!$E$396))=0,"",INDEX('Our policies'!$Q$4:$Q$503,_calc!$E$396)),"Medium"))</f>
        <v/>
      </c>
      <c r="F394" s="46">
        <f>IF(_calc!$E$396="","",IF(_calc!$E$396&lt;=500,TRIM(IF(LEN(IF(LEN(INDEX('Our policies'!$B$4:$B$503,_calc!$E$396))=0,"",INDEX('Our policies'!$B$4:$B$503,_calc!$E$396)))=0,"","Cover: "&amp;IF(LEN(INDEX('Our policies'!$B$4:$B$503,_calc!$E$396))=0,"",INDEX('Our policies'!$B$4:$B$503,_calc!$E$396))&amp;". ")&amp;IF(LEN(IF(LEN(INDEX('Our policies'!$C$4:$C$503,_calc!$E$396))=0,"",INDEX('Our policies'!$C$4:$C$503,_calc!$E$396)))=0,"","Insurer: "&amp;IF(LEN(INDEX('Our policies'!$C$4:$C$503,_calc!$E$396))=0,"",INDEX('Our policies'!$C$4:$C$503,_calc!$E$396))&amp;". ")&amp;IF(LEN(IF(LEN(INDEX('Our policies'!$D$4:$D$503,_calc!$E$396))=0,"",INDEX('Our policies'!$D$4:$D$503,_calc!$E$396)))=0,"","Broker: "&amp;IF(LEN(INDEX('Our policies'!$D$4:$D$503,_calc!$E$396))=0,"",INDEX('Our policies'!$D$4:$D$503,_calc!$E$396))&amp;". ")&amp;IF(LEN(IF(LEN(INDEX('Our policies'!$E$4:$E$503,_calc!$E$396))=0,"",INDEX('Our policies'!$E$4:$E$503,_calc!$E$396)))=0,"","Policy no.: "&amp;IF(LEN(INDEX('Our policies'!$E$4:$E$503,_calc!$E$396))=0,"",INDEX('Our policies'!$E$4:$E$503,_calc!$E$396))&amp;". ")&amp;IF(LEN(IF(LEN(INDEX('Our policies'!$S$4:$S$503,_calc!$E$396))=0,"",INDEX('Our policies'!$S$4:$S$503,_calc!$E$396)))=0,"",IF(LEN(INDEX('Our policies'!$S$4:$S$503,_calc!$E$396))=0,"",INDEX('Our policies'!$S$4:$S$503,_calc!$E$396)))),TRIM(IF(LEN(IF(LEN(INDEX('Vendor COIs'!$C$4:$C$503,(_calc!$E$396-500)))=0,"",INDEX('Vendor COIs'!$C$4:$C$503,(_calc!$E$396-500))))=0,"","Insurer: "&amp;IF(LEN(INDEX('Vendor COIs'!$C$4:$C$503,(_calc!$E$396-500)))=0,"",INDEX('Vendor COIs'!$C$4:$C$503,(_calc!$E$396-500)))&amp;". ")&amp;IF(LEN(IF(LEN(INDEX('Vendor COIs'!$D$4:$D$503,(_calc!$E$396-500)))=0,"",INDEX('Vendor COIs'!$D$4:$D$503,(_calc!$E$396-500))))=0,"","Policy no.: "&amp;IF(LEN(INDEX('Vendor COIs'!$D$4:$D$503,(_calc!$E$396-500)))=0,"",INDEX('Vendor COIs'!$D$4:$D$503,(_calc!$E$396-500)))&amp;". ")&amp;IF(LEN(IF(LEN(INDEX('Vendor COIs'!$F$4:$F$503,(_calc!$E$396-500)))=0,"",INDEX('Vendor COIs'!$F$4:$F$503,(_calc!$E$396-500))))=0,"","Meets minimum: "&amp;IF(LEN(INDEX('Vendor COIs'!$F$4:$F$503,(_calc!$E$396-500)))=0,"",INDEX('Vendor COIs'!$F$4:$F$503,(_calc!$E$396-500)))&amp;". ")&amp;IF(LEN(IF(LEN(INDEX('Vendor COIs'!$G$4:$G$503,(_calc!$E$396-500)))=0,"",INDEX('Vendor COIs'!$G$4:$G$503,(_calc!$E$396-500))))=0,"","Additional insured: "&amp;IF(LEN(INDEX('Vendor COIs'!$G$4:$G$503,(_calc!$E$396-500)))=0,"",INDEX('Vendor COIs'!$G$4:$G$503,(_calc!$E$396-500)))&amp;". ")&amp;IF(LEN(IF(LEN(INDEX('Vendor COIs'!$M$4:$M$503,(_calc!$E$396-500)))=0,"",INDEX('Vendor COIs'!$M$4:$M$503,(_calc!$E$396-500))))=0,"","Vendor contact: "&amp;IF(LEN(INDEX('Vendor COIs'!$M$4:$M$503,(_calc!$E$396-500)))=0,"",INDEX('Vendor COIs'!$M$4:$M$503,(_calc!$E$396-500)))&amp;". ")&amp;IF(LEN(IF(LEN(INDEX('Vendor COIs'!$P$4:$P$503,(_calc!$E$396-500)))=0,"",INDEX('Vendor COIs'!$P$4:$P$503,(_calc!$E$396-500))))=0,"",IF(LEN(INDEX('Vendor COIs'!$P$4:$P$503,(_calc!$E$396-500)))=0,"",INDEX('Vendor COIs'!$P$4:$P$503,(_calc!$E$396-500)))))))</f>
        <v/>
      </c>
      <c r="G394" s="46">
        <f>IF(_calc!$E$396="","",IF(_calc!$E$396&lt;=500,IF(LEN(INDEX('Our policies'!$R$4:$R$503,_calc!$E$396))=0,"",INDEX('Our policies'!$R$4:$R$503,_calc!$E$396)),IF(LEN(INDEX('Vendor COIs'!$O$4:$O$503,(_calc!$E$396-500)))=0,"",INDEX('Vendor COIs'!$O$4:$O$503,(_calc!$E$396-500)))))</f>
        <v/>
      </c>
      <c r="H394" s="46">
        <f>IF(_calc!$E$396="","",IF(_calc!$E$396&lt;=500,IF(LEN(INDEX('Our policies'!$G$4:$G$503,_calc!$E$396))=0,"",INDEX('Our policies'!$G$4:$G$503,_calc!$E$396)),""))</f>
        <v/>
      </c>
      <c r="I394" s="46">
        <f>IF(_calc!$E$396="","",IF(_calc!$E$396&lt;=500,IF(LEN(INDEX('Our policies'!$H$4:$H$503,_calc!$E$396))=0,"",INDEX('Our policies'!$H$4:$H$503,_calc!$E$396)),""))</f>
        <v/>
      </c>
      <c r="K394" s="46">
        <f>IF(_calc!$E$396="","",IF(_calc!$E$396&lt;=500,IF(LEN(INDEX('Our policies'!$P$4:$P$503,_calc!$E$396))=0,"",INDEX('Our policies'!$P$4:$P$503,_calc!$E$396)),IF(LEN(INDEX('Vendor COIs'!$N$4:$N$503,(_calc!$E$396-500)))=0,"",INDEX('Vendor COIs'!$N$4:$N$503,(_calc!$E$396-500)))))</f>
        <v/>
      </c>
    </row>
    <row r="395">
      <c r="A395" s="46">
        <f>IF(_calc!$E$397="","",IF(_calc!$E$397&lt;=500,IF(LEN(INDEX('Our policies'!$A$4:$A$503,_calc!$E$397))=0,"",INDEX('Our policies'!$A$4:$A$503,_calc!$E$397)),"COI – "&amp;IF(LEN(INDEX('Vendor COIs'!$A$4:$A$503,(_calc!$E$397-500)))=0,"",INDEX('Vendor COIs'!$A$4:$A$503,(_calc!$E$397-500)))&amp;" – "&amp;IF(LEN(INDEX('Vendor COIs'!$B$4:$B$503,(_calc!$E$397-500)))=0,"",INDEX('Vendor COIs'!$B$4:$B$503,(_calc!$E$397-500)))))</f>
        <v/>
      </c>
      <c r="B395" s="46">
        <f>IF(_calc!$E$397="","",IF(_calc!$E$397&lt;=500,IF(ISNUMBER(INDEX('Our policies'!$J$4:$J$503,_calc!$E$397)),TEXT(INDEX('Our policies'!$J$4:$J$503,_calc!$E$397),"yyyy-mm-dd"),""),IF(ISNUMBER(INDEX('Vendor COIs'!$H$4:$H$503,(_calc!$E$397-500))),TEXT(INDEX('Vendor COIs'!$H$4:$H$503,(_calc!$E$397-500)),"yyyy-mm-dd"),"")))</f>
        <v/>
      </c>
      <c r="C395" s="46">
        <f>IF(_calc!$E$397="","",IF(_calc!$E$397&lt;=500,"Insurance","Certificate of insurance"))</f>
        <v/>
      </c>
      <c r="D395" s="46">
        <f>IF(_calc!$E$397="","",IF(_calc!$E$397&lt;=500,IF(ISNUMBER(INDEX('Our policies'!$I$4:$I$503,_calc!$E$397)),TEXT(INDEX('Our policies'!$I$4:$I$503,_calc!$E$397),"yyyy-mm-dd"),""),""))</f>
        <v/>
      </c>
      <c r="E395" s="46">
        <f>IF(_calc!$E$397="","",IF(_calc!$E$397&lt;=500,IF(LEN(INDEX('Our policies'!$Q$4:$Q$503,_calc!$E$397))=0,"",INDEX('Our policies'!$Q$4:$Q$503,_calc!$E$397)),"Medium"))</f>
        <v/>
      </c>
      <c r="F395" s="46">
        <f>IF(_calc!$E$397="","",IF(_calc!$E$397&lt;=500,TRIM(IF(LEN(IF(LEN(INDEX('Our policies'!$B$4:$B$503,_calc!$E$397))=0,"",INDEX('Our policies'!$B$4:$B$503,_calc!$E$397)))=0,"","Cover: "&amp;IF(LEN(INDEX('Our policies'!$B$4:$B$503,_calc!$E$397))=0,"",INDEX('Our policies'!$B$4:$B$503,_calc!$E$397))&amp;". ")&amp;IF(LEN(IF(LEN(INDEX('Our policies'!$C$4:$C$503,_calc!$E$397))=0,"",INDEX('Our policies'!$C$4:$C$503,_calc!$E$397)))=0,"","Insurer: "&amp;IF(LEN(INDEX('Our policies'!$C$4:$C$503,_calc!$E$397))=0,"",INDEX('Our policies'!$C$4:$C$503,_calc!$E$397))&amp;". ")&amp;IF(LEN(IF(LEN(INDEX('Our policies'!$D$4:$D$503,_calc!$E$397))=0,"",INDEX('Our policies'!$D$4:$D$503,_calc!$E$397)))=0,"","Broker: "&amp;IF(LEN(INDEX('Our policies'!$D$4:$D$503,_calc!$E$397))=0,"",INDEX('Our policies'!$D$4:$D$503,_calc!$E$397))&amp;". ")&amp;IF(LEN(IF(LEN(INDEX('Our policies'!$E$4:$E$503,_calc!$E$397))=0,"",INDEX('Our policies'!$E$4:$E$503,_calc!$E$397)))=0,"","Policy no.: "&amp;IF(LEN(INDEX('Our policies'!$E$4:$E$503,_calc!$E$397))=0,"",INDEX('Our policies'!$E$4:$E$503,_calc!$E$397))&amp;". ")&amp;IF(LEN(IF(LEN(INDEX('Our policies'!$S$4:$S$503,_calc!$E$397))=0,"",INDEX('Our policies'!$S$4:$S$503,_calc!$E$397)))=0,"",IF(LEN(INDEX('Our policies'!$S$4:$S$503,_calc!$E$397))=0,"",INDEX('Our policies'!$S$4:$S$503,_calc!$E$397)))),TRIM(IF(LEN(IF(LEN(INDEX('Vendor COIs'!$C$4:$C$503,(_calc!$E$397-500)))=0,"",INDEX('Vendor COIs'!$C$4:$C$503,(_calc!$E$397-500))))=0,"","Insurer: "&amp;IF(LEN(INDEX('Vendor COIs'!$C$4:$C$503,(_calc!$E$397-500)))=0,"",INDEX('Vendor COIs'!$C$4:$C$503,(_calc!$E$397-500)))&amp;". ")&amp;IF(LEN(IF(LEN(INDEX('Vendor COIs'!$D$4:$D$503,(_calc!$E$397-500)))=0,"",INDEX('Vendor COIs'!$D$4:$D$503,(_calc!$E$397-500))))=0,"","Policy no.: "&amp;IF(LEN(INDEX('Vendor COIs'!$D$4:$D$503,(_calc!$E$397-500)))=0,"",INDEX('Vendor COIs'!$D$4:$D$503,(_calc!$E$397-500)))&amp;". ")&amp;IF(LEN(IF(LEN(INDEX('Vendor COIs'!$F$4:$F$503,(_calc!$E$397-500)))=0,"",INDEX('Vendor COIs'!$F$4:$F$503,(_calc!$E$397-500))))=0,"","Meets minimum: "&amp;IF(LEN(INDEX('Vendor COIs'!$F$4:$F$503,(_calc!$E$397-500)))=0,"",INDEX('Vendor COIs'!$F$4:$F$503,(_calc!$E$397-500)))&amp;". ")&amp;IF(LEN(IF(LEN(INDEX('Vendor COIs'!$G$4:$G$503,(_calc!$E$397-500)))=0,"",INDEX('Vendor COIs'!$G$4:$G$503,(_calc!$E$397-500))))=0,"","Additional insured: "&amp;IF(LEN(INDEX('Vendor COIs'!$G$4:$G$503,(_calc!$E$397-500)))=0,"",INDEX('Vendor COIs'!$G$4:$G$503,(_calc!$E$397-500)))&amp;". ")&amp;IF(LEN(IF(LEN(INDEX('Vendor COIs'!$M$4:$M$503,(_calc!$E$397-500)))=0,"",INDEX('Vendor COIs'!$M$4:$M$503,(_calc!$E$397-500))))=0,"","Vendor contact: "&amp;IF(LEN(INDEX('Vendor COIs'!$M$4:$M$503,(_calc!$E$397-500)))=0,"",INDEX('Vendor COIs'!$M$4:$M$503,(_calc!$E$397-500)))&amp;". ")&amp;IF(LEN(IF(LEN(INDEX('Vendor COIs'!$P$4:$P$503,(_calc!$E$397-500)))=0,"",INDEX('Vendor COIs'!$P$4:$P$503,(_calc!$E$397-500))))=0,"",IF(LEN(INDEX('Vendor COIs'!$P$4:$P$503,(_calc!$E$397-500)))=0,"",INDEX('Vendor COIs'!$P$4:$P$503,(_calc!$E$397-500)))))))</f>
        <v/>
      </c>
      <c r="G395" s="46">
        <f>IF(_calc!$E$397="","",IF(_calc!$E$397&lt;=500,IF(LEN(INDEX('Our policies'!$R$4:$R$503,_calc!$E$397))=0,"",INDEX('Our policies'!$R$4:$R$503,_calc!$E$397)),IF(LEN(INDEX('Vendor COIs'!$O$4:$O$503,(_calc!$E$397-500)))=0,"",INDEX('Vendor COIs'!$O$4:$O$503,(_calc!$E$397-500)))))</f>
        <v/>
      </c>
      <c r="H395" s="46">
        <f>IF(_calc!$E$397="","",IF(_calc!$E$397&lt;=500,IF(LEN(INDEX('Our policies'!$G$4:$G$503,_calc!$E$397))=0,"",INDEX('Our policies'!$G$4:$G$503,_calc!$E$397)),""))</f>
        <v/>
      </c>
      <c r="I395" s="46">
        <f>IF(_calc!$E$397="","",IF(_calc!$E$397&lt;=500,IF(LEN(INDEX('Our policies'!$H$4:$H$503,_calc!$E$397))=0,"",INDEX('Our policies'!$H$4:$H$503,_calc!$E$397)),""))</f>
        <v/>
      </c>
      <c r="K395" s="46">
        <f>IF(_calc!$E$397="","",IF(_calc!$E$397&lt;=500,IF(LEN(INDEX('Our policies'!$P$4:$P$503,_calc!$E$397))=0,"",INDEX('Our policies'!$P$4:$P$503,_calc!$E$397)),IF(LEN(INDEX('Vendor COIs'!$N$4:$N$503,(_calc!$E$397-500)))=0,"",INDEX('Vendor COIs'!$N$4:$N$503,(_calc!$E$397-500)))))</f>
        <v/>
      </c>
    </row>
    <row r="396">
      <c r="A396" s="46">
        <f>IF(_calc!$E$398="","",IF(_calc!$E$398&lt;=500,IF(LEN(INDEX('Our policies'!$A$4:$A$503,_calc!$E$398))=0,"",INDEX('Our policies'!$A$4:$A$503,_calc!$E$398)),"COI – "&amp;IF(LEN(INDEX('Vendor COIs'!$A$4:$A$503,(_calc!$E$398-500)))=0,"",INDEX('Vendor COIs'!$A$4:$A$503,(_calc!$E$398-500)))&amp;" – "&amp;IF(LEN(INDEX('Vendor COIs'!$B$4:$B$503,(_calc!$E$398-500)))=0,"",INDEX('Vendor COIs'!$B$4:$B$503,(_calc!$E$398-500)))))</f>
        <v/>
      </c>
      <c r="B396" s="46">
        <f>IF(_calc!$E$398="","",IF(_calc!$E$398&lt;=500,IF(ISNUMBER(INDEX('Our policies'!$J$4:$J$503,_calc!$E$398)),TEXT(INDEX('Our policies'!$J$4:$J$503,_calc!$E$398),"yyyy-mm-dd"),""),IF(ISNUMBER(INDEX('Vendor COIs'!$H$4:$H$503,(_calc!$E$398-500))),TEXT(INDEX('Vendor COIs'!$H$4:$H$503,(_calc!$E$398-500)),"yyyy-mm-dd"),"")))</f>
        <v/>
      </c>
      <c r="C396" s="46">
        <f>IF(_calc!$E$398="","",IF(_calc!$E$398&lt;=500,"Insurance","Certificate of insurance"))</f>
        <v/>
      </c>
      <c r="D396" s="46">
        <f>IF(_calc!$E$398="","",IF(_calc!$E$398&lt;=500,IF(ISNUMBER(INDEX('Our policies'!$I$4:$I$503,_calc!$E$398)),TEXT(INDEX('Our policies'!$I$4:$I$503,_calc!$E$398),"yyyy-mm-dd"),""),""))</f>
        <v/>
      </c>
      <c r="E396" s="46">
        <f>IF(_calc!$E$398="","",IF(_calc!$E$398&lt;=500,IF(LEN(INDEX('Our policies'!$Q$4:$Q$503,_calc!$E$398))=0,"",INDEX('Our policies'!$Q$4:$Q$503,_calc!$E$398)),"Medium"))</f>
        <v/>
      </c>
      <c r="F396" s="46">
        <f>IF(_calc!$E$398="","",IF(_calc!$E$398&lt;=500,TRIM(IF(LEN(IF(LEN(INDEX('Our policies'!$B$4:$B$503,_calc!$E$398))=0,"",INDEX('Our policies'!$B$4:$B$503,_calc!$E$398)))=0,"","Cover: "&amp;IF(LEN(INDEX('Our policies'!$B$4:$B$503,_calc!$E$398))=0,"",INDEX('Our policies'!$B$4:$B$503,_calc!$E$398))&amp;". ")&amp;IF(LEN(IF(LEN(INDEX('Our policies'!$C$4:$C$503,_calc!$E$398))=0,"",INDEX('Our policies'!$C$4:$C$503,_calc!$E$398)))=0,"","Insurer: "&amp;IF(LEN(INDEX('Our policies'!$C$4:$C$503,_calc!$E$398))=0,"",INDEX('Our policies'!$C$4:$C$503,_calc!$E$398))&amp;". ")&amp;IF(LEN(IF(LEN(INDEX('Our policies'!$D$4:$D$503,_calc!$E$398))=0,"",INDEX('Our policies'!$D$4:$D$503,_calc!$E$398)))=0,"","Broker: "&amp;IF(LEN(INDEX('Our policies'!$D$4:$D$503,_calc!$E$398))=0,"",INDEX('Our policies'!$D$4:$D$503,_calc!$E$398))&amp;". ")&amp;IF(LEN(IF(LEN(INDEX('Our policies'!$E$4:$E$503,_calc!$E$398))=0,"",INDEX('Our policies'!$E$4:$E$503,_calc!$E$398)))=0,"","Policy no.: "&amp;IF(LEN(INDEX('Our policies'!$E$4:$E$503,_calc!$E$398))=0,"",INDEX('Our policies'!$E$4:$E$503,_calc!$E$398))&amp;". ")&amp;IF(LEN(IF(LEN(INDEX('Our policies'!$S$4:$S$503,_calc!$E$398))=0,"",INDEX('Our policies'!$S$4:$S$503,_calc!$E$398)))=0,"",IF(LEN(INDEX('Our policies'!$S$4:$S$503,_calc!$E$398))=0,"",INDEX('Our policies'!$S$4:$S$503,_calc!$E$398)))),TRIM(IF(LEN(IF(LEN(INDEX('Vendor COIs'!$C$4:$C$503,(_calc!$E$398-500)))=0,"",INDEX('Vendor COIs'!$C$4:$C$503,(_calc!$E$398-500))))=0,"","Insurer: "&amp;IF(LEN(INDEX('Vendor COIs'!$C$4:$C$503,(_calc!$E$398-500)))=0,"",INDEX('Vendor COIs'!$C$4:$C$503,(_calc!$E$398-500)))&amp;". ")&amp;IF(LEN(IF(LEN(INDEX('Vendor COIs'!$D$4:$D$503,(_calc!$E$398-500)))=0,"",INDEX('Vendor COIs'!$D$4:$D$503,(_calc!$E$398-500))))=0,"","Policy no.: "&amp;IF(LEN(INDEX('Vendor COIs'!$D$4:$D$503,(_calc!$E$398-500)))=0,"",INDEX('Vendor COIs'!$D$4:$D$503,(_calc!$E$398-500)))&amp;". ")&amp;IF(LEN(IF(LEN(INDEX('Vendor COIs'!$F$4:$F$503,(_calc!$E$398-500)))=0,"",INDEX('Vendor COIs'!$F$4:$F$503,(_calc!$E$398-500))))=0,"","Meets minimum: "&amp;IF(LEN(INDEX('Vendor COIs'!$F$4:$F$503,(_calc!$E$398-500)))=0,"",INDEX('Vendor COIs'!$F$4:$F$503,(_calc!$E$398-500)))&amp;". ")&amp;IF(LEN(IF(LEN(INDEX('Vendor COIs'!$G$4:$G$503,(_calc!$E$398-500)))=0,"",INDEX('Vendor COIs'!$G$4:$G$503,(_calc!$E$398-500))))=0,"","Additional insured: "&amp;IF(LEN(INDEX('Vendor COIs'!$G$4:$G$503,(_calc!$E$398-500)))=0,"",INDEX('Vendor COIs'!$G$4:$G$503,(_calc!$E$398-500)))&amp;". ")&amp;IF(LEN(IF(LEN(INDEX('Vendor COIs'!$M$4:$M$503,(_calc!$E$398-500)))=0,"",INDEX('Vendor COIs'!$M$4:$M$503,(_calc!$E$398-500))))=0,"","Vendor contact: "&amp;IF(LEN(INDEX('Vendor COIs'!$M$4:$M$503,(_calc!$E$398-500)))=0,"",INDEX('Vendor COIs'!$M$4:$M$503,(_calc!$E$398-500)))&amp;". ")&amp;IF(LEN(IF(LEN(INDEX('Vendor COIs'!$P$4:$P$503,(_calc!$E$398-500)))=0,"",INDEX('Vendor COIs'!$P$4:$P$503,(_calc!$E$398-500))))=0,"",IF(LEN(INDEX('Vendor COIs'!$P$4:$P$503,(_calc!$E$398-500)))=0,"",INDEX('Vendor COIs'!$P$4:$P$503,(_calc!$E$398-500)))))))</f>
        <v/>
      </c>
      <c r="G396" s="46">
        <f>IF(_calc!$E$398="","",IF(_calc!$E$398&lt;=500,IF(LEN(INDEX('Our policies'!$R$4:$R$503,_calc!$E$398))=0,"",INDEX('Our policies'!$R$4:$R$503,_calc!$E$398)),IF(LEN(INDEX('Vendor COIs'!$O$4:$O$503,(_calc!$E$398-500)))=0,"",INDEX('Vendor COIs'!$O$4:$O$503,(_calc!$E$398-500)))))</f>
        <v/>
      </c>
      <c r="H396" s="46">
        <f>IF(_calc!$E$398="","",IF(_calc!$E$398&lt;=500,IF(LEN(INDEX('Our policies'!$G$4:$G$503,_calc!$E$398))=0,"",INDEX('Our policies'!$G$4:$G$503,_calc!$E$398)),""))</f>
        <v/>
      </c>
      <c r="I396" s="46">
        <f>IF(_calc!$E$398="","",IF(_calc!$E$398&lt;=500,IF(LEN(INDEX('Our policies'!$H$4:$H$503,_calc!$E$398))=0,"",INDEX('Our policies'!$H$4:$H$503,_calc!$E$398)),""))</f>
        <v/>
      </c>
      <c r="K396" s="46">
        <f>IF(_calc!$E$398="","",IF(_calc!$E$398&lt;=500,IF(LEN(INDEX('Our policies'!$P$4:$P$503,_calc!$E$398))=0,"",INDEX('Our policies'!$P$4:$P$503,_calc!$E$398)),IF(LEN(INDEX('Vendor COIs'!$N$4:$N$503,(_calc!$E$398-500)))=0,"",INDEX('Vendor COIs'!$N$4:$N$503,(_calc!$E$398-500)))))</f>
        <v/>
      </c>
    </row>
    <row r="397">
      <c r="A397" s="46">
        <f>IF(_calc!$E$399="","",IF(_calc!$E$399&lt;=500,IF(LEN(INDEX('Our policies'!$A$4:$A$503,_calc!$E$399))=0,"",INDEX('Our policies'!$A$4:$A$503,_calc!$E$399)),"COI – "&amp;IF(LEN(INDEX('Vendor COIs'!$A$4:$A$503,(_calc!$E$399-500)))=0,"",INDEX('Vendor COIs'!$A$4:$A$503,(_calc!$E$399-500)))&amp;" – "&amp;IF(LEN(INDEX('Vendor COIs'!$B$4:$B$503,(_calc!$E$399-500)))=0,"",INDEX('Vendor COIs'!$B$4:$B$503,(_calc!$E$399-500)))))</f>
        <v/>
      </c>
      <c r="B397" s="46">
        <f>IF(_calc!$E$399="","",IF(_calc!$E$399&lt;=500,IF(ISNUMBER(INDEX('Our policies'!$J$4:$J$503,_calc!$E$399)),TEXT(INDEX('Our policies'!$J$4:$J$503,_calc!$E$399),"yyyy-mm-dd"),""),IF(ISNUMBER(INDEX('Vendor COIs'!$H$4:$H$503,(_calc!$E$399-500))),TEXT(INDEX('Vendor COIs'!$H$4:$H$503,(_calc!$E$399-500)),"yyyy-mm-dd"),"")))</f>
        <v/>
      </c>
      <c r="C397" s="46">
        <f>IF(_calc!$E$399="","",IF(_calc!$E$399&lt;=500,"Insurance","Certificate of insurance"))</f>
        <v/>
      </c>
      <c r="D397" s="46">
        <f>IF(_calc!$E$399="","",IF(_calc!$E$399&lt;=500,IF(ISNUMBER(INDEX('Our policies'!$I$4:$I$503,_calc!$E$399)),TEXT(INDEX('Our policies'!$I$4:$I$503,_calc!$E$399),"yyyy-mm-dd"),""),""))</f>
        <v/>
      </c>
      <c r="E397" s="46">
        <f>IF(_calc!$E$399="","",IF(_calc!$E$399&lt;=500,IF(LEN(INDEX('Our policies'!$Q$4:$Q$503,_calc!$E$399))=0,"",INDEX('Our policies'!$Q$4:$Q$503,_calc!$E$399)),"Medium"))</f>
        <v/>
      </c>
      <c r="F397" s="46">
        <f>IF(_calc!$E$399="","",IF(_calc!$E$399&lt;=500,TRIM(IF(LEN(IF(LEN(INDEX('Our policies'!$B$4:$B$503,_calc!$E$399))=0,"",INDEX('Our policies'!$B$4:$B$503,_calc!$E$399)))=0,"","Cover: "&amp;IF(LEN(INDEX('Our policies'!$B$4:$B$503,_calc!$E$399))=0,"",INDEX('Our policies'!$B$4:$B$503,_calc!$E$399))&amp;". ")&amp;IF(LEN(IF(LEN(INDEX('Our policies'!$C$4:$C$503,_calc!$E$399))=0,"",INDEX('Our policies'!$C$4:$C$503,_calc!$E$399)))=0,"","Insurer: "&amp;IF(LEN(INDEX('Our policies'!$C$4:$C$503,_calc!$E$399))=0,"",INDEX('Our policies'!$C$4:$C$503,_calc!$E$399))&amp;". ")&amp;IF(LEN(IF(LEN(INDEX('Our policies'!$D$4:$D$503,_calc!$E$399))=0,"",INDEX('Our policies'!$D$4:$D$503,_calc!$E$399)))=0,"","Broker: "&amp;IF(LEN(INDEX('Our policies'!$D$4:$D$503,_calc!$E$399))=0,"",INDEX('Our policies'!$D$4:$D$503,_calc!$E$399))&amp;". ")&amp;IF(LEN(IF(LEN(INDEX('Our policies'!$E$4:$E$503,_calc!$E$399))=0,"",INDEX('Our policies'!$E$4:$E$503,_calc!$E$399)))=0,"","Policy no.: "&amp;IF(LEN(INDEX('Our policies'!$E$4:$E$503,_calc!$E$399))=0,"",INDEX('Our policies'!$E$4:$E$503,_calc!$E$399))&amp;". ")&amp;IF(LEN(IF(LEN(INDEX('Our policies'!$S$4:$S$503,_calc!$E$399))=0,"",INDEX('Our policies'!$S$4:$S$503,_calc!$E$399)))=0,"",IF(LEN(INDEX('Our policies'!$S$4:$S$503,_calc!$E$399))=0,"",INDEX('Our policies'!$S$4:$S$503,_calc!$E$399)))),TRIM(IF(LEN(IF(LEN(INDEX('Vendor COIs'!$C$4:$C$503,(_calc!$E$399-500)))=0,"",INDEX('Vendor COIs'!$C$4:$C$503,(_calc!$E$399-500))))=0,"","Insurer: "&amp;IF(LEN(INDEX('Vendor COIs'!$C$4:$C$503,(_calc!$E$399-500)))=0,"",INDEX('Vendor COIs'!$C$4:$C$503,(_calc!$E$399-500)))&amp;". ")&amp;IF(LEN(IF(LEN(INDEX('Vendor COIs'!$D$4:$D$503,(_calc!$E$399-500)))=0,"",INDEX('Vendor COIs'!$D$4:$D$503,(_calc!$E$399-500))))=0,"","Policy no.: "&amp;IF(LEN(INDEX('Vendor COIs'!$D$4:$D$503,(_calc!$E$399-500)))=0,"",INDEX('Vendor COIs'!$D$4:$D$503,(_calc!$E$399-500)))&amp;". ")&amp;IF(LEN(IF(LEN(INDEX('Vendor COIs'!$F$4:$F$503,(_calc!$E$399-500)))=0,"",INDEX('Vendor COIs'!$F$4:$F$503,(_calc!$E$399-500))))=0,"","Meets minimum: "&amp;IF(LEN(INDEX('Vendor COIs'!$F$4:$F$503,(_calc!$E$399-500)))=0,"",INDEX('Vendor COIs'!$F$4:$F$503,(_calc!$E$399-500)))&amp;". ")&amp;IF(LEN(IF(LEN(INDEX('Vendor COIs'!$G$4:$G$503,(_calc!$E$399-500)))=0,"",INDEX('Vendor COIs'!$G$4:$G$503,(_calc!$E$399-500))))=0,"","Additional insured: "&amp;IF(LEN(INDEX('Vendor COIs'!$G$4:$G$503,(_calc!$E$399-500)))=0,"",INDEX('Vendor COIs'!$G$4:$G$503,(_calc!$E$399-500)))&amp;". ")&amp;IF(LEN(IF(LEN(INDEX('Vendor COIs'!$M$4:$M$503,(_calc!$E$399-500)))=0,"",INDEX('Vendor COIs'!$M$4:$M$503,(_calc!$E$399-500))))=0,"","Vendor contact: "&amp;IF(LEN(INDEX('Vendor COIs'!$M$4:$M$503,(_calc!$E$399-500)))=0,"",INDEX('Vendor COIs'!$M$4:$M$503,(_calc!$E$399-500)))&amp;". ")&amp;IF(LEN(IF(LEN(INDEX('Vendor COIs'!$P$4:$P$503,(_calc!$E$399-500)))=0,"",INDEX('Vendor COIs'!$P$4:$P$503,(_calc!$E$399-500))))=0,"",IF(LEN(INDEX('Vendor COIs'!$P$4:$P$503,(_calc!$E$399-500)))=0,"",INDEX('Vendor COIs'!$P$4:$P$503,(_calc!$E$399-500)))))))</f>
        <v/>
      </c>
      <c r="G397" s="46">
        <f>IF(_calc!$E$399="","",IF(_calc!$E$399&lt;=500,IF(LEN(INDEX('Our policies'!$R$4:$R$503,_calc!$E$399))=0,"",INDEX('Our policies'!$R$4:$R$503,_calc!$E$399)),IF(LEN(INDEX('Vendor COIs'!$O$4:$O$503,(_calc!$E$399-500)))=0,"",INDEX('Vendor COIs'!$O$4:$O$503,(_calc!$E$399-500)))))</f>
        <v/>
      </c>
      <c r="H397" s="46">
        <f>IF(_calc!$E$399="","",IF(_calc!$E$399&lt;=500,IF(LEN(INDEX('Our policies'!$G$4:$G$503,_calc!$E$399))=0,"",INDEX('Our policies'!$G$4:$G$503,_calc!$E$399)),""))</f>
        <v/>
      </c>
      <c r="I397" s="46">
        <f>IF(_calc!$E$399="","",IF(_calc!$E$399&lt;=500,IF(LEN(INDEX('Our policies'!$H$4:$H$503,_calc!$E$399))=0,"",INDEX('Our policies'!$H$4:$H$503,_calc!$E$399)),""))</f>
        <v/>
      </c>
      <c r="K397" s="46">
        <f>IF(_calc!$E$399="","",IF(_calc!$E$399&lt;=500,IF(LEN(INDEX('Our policies'!$P$4:$P$503,_calc!$E$399))=0,"",INDEX('Our policies'!$P$4:$P$503,_calc!$E$399)),IF(LEN(INDEX('Vendor COIs'!$N$4:$N$503,(_calc!$E$399-500)))=0,"",INDEX('Vendor COIs'!$N$4:$N$503,(_calc!$E$399-500)))))</f>
        <v/>
      </c>
    </row>
    <row r="398">
      <c r="A398" s="46">
        <f>IF(_calc!$E$400="","",IF(_calc!$E$400&lt;=500,IF(LEN(INDEX('Our policies'!$A$4:$A$503,_calc!$E$400))=0,"",INDEX('Our policies'!$A$4:$A$503,_calc!$E$400)),"COI – "&amp;IF(LEN(INDEX('Vendor COIs'!$A$4:$A$503,(_calc!$E$400-500)))=0,"",INDEX('Vendor COIs'!$A$4:$A$503,(_calc!$E$400-500)))&amp;" – "&amp;IF(LEN(INDEX('Vendor COIs'!$B$4:$B$503,(_calc!$E$400-500)))=0,"",INDEX('Vendor COIs'!$B$4:$B$503,(_calc!$E$400-500)))))</f>
        <v/>
      </c>
      <c r="B398" s="46">
        <f>IF(_calc!$E$400="","",IF(_calc!$E$400&lt;=500,IF(ISNUMBER(INDEX('Our policies'!$J$4:$J$503,_calc!$E$400)),TEXT(INDEX('Our policies'!$J$4:$J$503,_calc!$E$400),"yyyy-mm-dd"),""),IF(ISNUMBER(INDEX('Vendor COIs'!$H$4:$H$503,(_calc!$E$400-500))),TEXT(INDEX('Vendor COIs'!$H$4:$H$503,(_calc!$E$400-500)),"yyyy-mm-dd"),"")))</f>
        <v/>
      </c>
      <c r="C398" s="46">
        <f>IF(_calc!$E$400="","",IF(_calc!$E$400&lt;=500,"Insurance","Certificate of insurance"))</f>
        <v/>
      </c>
      <c r="D398" s="46">
        <f>IF(_calc!$E$400="","",IF(_calc!$E$400&lt;=500,IF(ISNUMBER(INDEX('Our policies'!$I$4:$I$503,_calc!$E$400)),TEXT(INDEX('Our policies'!$I$4:$I$503,_calc!$E$400),"yyyy-mm-dd"),""),""))</f>
        <v/>
      </c>
      <c r="E398" s="46">
        <f>IF(_calc!$E$400="","",IF(_calc!$E$400&lt;=500,IF(LEN(INDEX('Our policies'!$Q$4:$Q$503,_calc!$E$400))=0,"",INDEX('Our policies'!$Q$4:$Q$503,_calc!$E$400)),"Medium"))</f>
        <v/>
      </c>
      <c r="F398" s="46">
        <f>IF(_calc!$E$400="","",IF(_calc!$E$400&lt;=500,TRIM(IF(LEN(IF(LEN(INDEX('Our policies'!$B$4:$B$503,_calc!$E$400))=0,"",INDEX('Our policies'!$B$4:$B$503,_calc!$E$400)))=0,"","Cover: "&amp;IF(LEN(INDEX('Our policies'!$B$4:$B$503,_calc!$E$400))=0,"",INDEX('Our policies'!$B$4:$B$503,_calc!$E$400))&amp;". ")&amp;IF(LEN(IF(LEN(INDEX('Our policies'!$C$4:$C$503,_calc!$E$400))=0,"",INDEX('Our policies'!$C$4:$C$503,_calc!$E$400)))=0,"","Insurer: "&amp;IF(LEN(INDEX('Our policies'!$C$4:$C$503,_calc!$E$400))=0,"",INDEX('Our policies'!$C$4:$C$503,_calc!$E$400))&amp;". ")&amp;IF(LEN(IF(LEN(INDEX('Our policies'!$D$4:$D$503,_calc!$E$400))=0,"",INDEX('Our policies'!$D$4:$D$503,_calc!$E$400)))=0,"","Broker: "&amp;IF(LEN(INDEX('Our policies'!$D$4:$D$503,_calc!$E$400))=0,"",INDEX('Our policies'!$D$4:$D$503,_calc!$E$400))&amp;". ")&amp;IF(LEN(IF(LEN(INDEX('Our policies'!$E$4:$E$503,_calc!$E$400))=0,"",INDEX('Our policies'!$E$4:$E$503,_calc!$E$400)))=0,"","Policy no.: "&amp;IF(LEN(INDEX('Our policies'!$E$4:$E$503,_calc!$E$400))=0,"",INDEX('Our policies'!$E$4:$E$503,_calc!$E$400))&amp;". ")&amp;IF(LEN(IF(LEN(INDEX('Our policies'!$S$4:$S$503,_calc!$E$400))=0,"",INDEX('Our policies'!$S$4:$S$503,_calc!$E$400)))=0,"",IF(LEN(INDEX('Our policies'!$S$4:$S$503,_calc!$E$400))=0,"",INDEX('Our policies'!$S$4:$S$503,_calc!$E$400)))),TRIM(IF(LEN(IF(LEN(INDEX('Vendor COIs'!$C$4:$C$503,(_calc!$E$400-500)))=0,"",INDEX('Vendor COIs'!$C$4:$C$503,(_calc!$E$400-500))))=0,"","Insurer: "&amp;IF(LEN(INDEX('Vendor COIs'!$C$4:$C$503,(_calc!$E$400-500)))=0,"",INDEX('Vendor COIs'!$C$4:$C$503,(_calc!$E$400-500)))&amp;". ")&amp;IF(LEN(IF(LEN(INDEX('Vendor COIs'!$D$4:$D$503,(_calc!$E$400-500)))=0,"",INDEX('Vendor COIs'!$D$4:$D$503,(_calc!$E$400-500))))=0,"","Policy no.: "&amp;IF(LEN(INDEX('Vendor COIs'!$D$4:$D$503,(_calc!$E$400-500)))=0,"",INDEX('Vendor COIs'!$D$4:$D$503,(_calc!$E$400-500)))&amp;". ")&amp;IF(LEN(IF(LEN(INDEX('Vendor COIs'!$F$4:$F$503,(_calc!$E$400-500)))=0,"",INDEX('Vendor COIs'!$F$4:$F$503,(_calc!$E$400-500))))=0,"","Meets minimum: "&amp;IF(LEN(INDEX('Vendor COIs'!$F$4:$F$503,(_calc!$E$400-500)))=0,"",INDEX('Vendor COIs'!$F$4:$F$503,(_calc!$E$400-500)))&amp;". ")&amp;IF(LEN(IF(LEN(INDEX('Vendor COIs'!$G$4:$G$503,(_calc!$E$400-500)))=0,"",INDEX('Vendor COIs'!$G$4:$G$503,(_calc!$E$400-500))))=0,"","Additional insured: "&amp;IF(LEN(INDEX('Vendor COIs'!$G$4:$G$503,(_calc!$E$400-500)))=0,"",INDEX('Vendor COIs'!$G$4:$G$503,(_calc!$E$400-500)))&amp;". ")&amp;IF(LEN(IF(LEN(INDEX('Vendor COIs'!$M$4:$M$503,(_calc!$E$400-500)))=0,"",INDEX('Vendor COIs'!$M$4:$M$503,(_calc!$E$400-500))))=0,"","Vendor contact: "&amp;IF(LEN(INDEX('Vendor COIs'!$M$4:$M$503,(_calc!$E$400-500)))=0,"",INDEX('Vendor COIs'!$M$4:$M$503,(_calc!$E$400-500)))&amp;". ")&amp;IF(LEN(IF(LEN(INDEX('Vendor COIs'!$P$4:$P$503,(_calc!$E$400-500)))=0,"",INDEX('Vendor COIs'!$P$4:$P$503,(_calc!$E$400-500))))=0,"",IF(LEN(INDEX('Vendor COIs'!$P$4:$P$503,(_calc!$E$400-500)))=0,"",INDEX('Vendor COIs'!$P$4:$P$503,(_calc!$E$400-500)))))))</f>
        <v/>
      </c>
      <c r="G398" s="46">
        <f>IF(_calc!$E$400="","",IF(_calc!$E$400&lt;=500,IF(LEN(INDEX('Our policies'!$R$4:$R$503,_calc!$E$400))=0,"",INDEX('Our policies'!$R$4:$R$503,_calc!$E$400)),IF(LEN(INDEX('Vendor COIs'!$O$4:$O$503,(_calc!$E$400-500)))=0,"",INDEX('Vendor COIs'!$O$4:$O$503,(_calc!$E$400-500)))))</f>
        <v/>
      </c>
      <c r="H398" s="46">
        <f>IF(_calc!$E$400="","",IF(_calc!$E$400&lt;=500,IF(LEN(INDEX('Our policies'!$G$4:$G$503,_calc!$E$400))=0,"",INDEX('Our policies'!$G$4:$G$503,_calc!$E$400)),""))</f>
        <v/>
      </c>
      <c r="I398" s="46">
        <f>IF(_calc!$E$400="","",IF(_calc!$E$400&lt;=500,IF(LEN(INDEX('Our policies'!$H$4:$H$503,_calc!$E$400))=0,"",INDEX('Our policies'!$H$4:$H$503,_calc!$E$400)),""))</f>
        <v/>
      </c>
      <c r="K398" s="46">
        <f>IF(_calc!$E$400="","",IF(_calc!$E$400&lt;=500,IF(LEN(INDEX('Our policies'!$P$4:$P$503,_calc!$E$400))=0,"",INDEX('Our policies'!$P$4:$P$503,_calc!$E$400)),IF(LEN(INDEX('Vendor COIs'!$N$4:$N$503,(_calc!$E$400-500)))=0,"",INDEX('Vendor COIs'!$N$4:$N$503,(_calc!$E$400-500)))))</f>
        <v/>
      </c>
    </row>
    <row r="399">
      <c r="A399" s="46">
        <f>IF(_calc!$E$401="","",IF(_calc!$E$401&lt;=500,IF(LEN(INDEX('Our policies'!$A$4:$A$503,_calc!$E$401))=0,"",INDEX('Our policies'!$A$4:$A$503,_calc!$E$401)),"COI – "&amp;IF(LEN(INDEX('Vendor COIs'!$A$4:$A$503,(_calc!$E$401-500)))=0,"",INDEX('Vendor COIs'!$A$4:$A$503,(_calc!$E$401-500)))&amp;" – "&amp;IF(LEN(INDEX('Vendor COIs'!$B$4:$B$503,(_calc!$E$401-500)))=0,"",INDEX('Vendor COIs'!$B$4:$B$503,(_calc!$E$401-500)))))</f>
        <v/>
      </c>
      <c r="B399" s="46">
        <f>IF(_calc!$E$401="","",IF(_calc!$E$401&lt;=500,IF(ISNUMBER(INDEX('Our policies'!$J$4:$J$503,_calc!$E$401)),TEXT(INDEX('Our policies'!$J$4:$J$503,_calc!$E$401),"yyyy-mm-dd"),""),IF(ISNUMBER(INDEX('Vendor COIs'!$H$4:$H$503,(_calc!$E$401-500))),TEXT(INDEX('Vendor COIs'!$H$4:$H$503,(_calc!$E$401-500)),"yyyy-mm-dd"),"")))</f>
        <v/>
      </c>
      <c r="C399" s="46">
        <f>IF(_calc!$E$401="","",IF(_calc!$E$401&lt;=500,"Insurance","Certificate of insurance"))</f>
        <v/>
      </c>
      <c r="D399" s="46">
        <f>IF(_calc!$E$401="","",IF(_calc!$E$401&lt;=500,IF(ISNUMBER(INDEX('Our policies'!$I$4:$I$503,_calc!$E$401)),TEXT(INDEX('Our policies'!$I$4:$I$503,_calc!$E$401),"yyyy-mm-dd"),""),""))</f>
        <v/>
      </c>
      <c r="E399" s="46">
        <f>IF(_calc!$E$401="","",IF(_calc!$E$401&lt;=500,IF(LEN(INDEX('Our policies'!$Q$4:$Q$503,_calc!$E$401))=0,"",INDEX('Our policies'!$Q$4:$Q$503,_calc!$E$401)),"Medium"))</f>
        <v/>
      </c>
      <c r="F399" s="46">
        <f>IF(_calc!$E$401="","",IF(_calc!$E$401&lt;=500,TRIM(IF(LEN(IF(LEN(INDEX('Our policies'!$B$4:$B$503,_calc!$E$401))=0,"",INDEX('Our policies'!$B$4:$B$503,_calc!$E$401)))=0,"","Cover: "&amp;IF(LEN(INDEX('Our policies'!$B$4:$B$503,_calc!$E$401))=0,"",INDEX('Our policies'!$B$4:$B$503,_calc!$E$401))&amp;". ")&amp;IF(LEN(IF(LEN(INDEX('Our policies'!$C$4:$C$503,_calc!$E$401))=0,"",INDEX('Our policies'!$C$4:$C$503,_calc!$E$401)))=0,"","Insurer: "&amp;IF(LEN(INDEX('Our policies'!$C$4:$C$503,_calc!$E$401))=0,"",INDEX('Our policies'!$C$4:$C$503,_calc!$E$401))&amp;". ")&amp;IF(LEN(IF(LEN(INDEX('Our policies'!$D$4:$D$503,_calc!$E$401))=0,"",INDEX('Our policies'!$D$4:$D$503,_calc!$E$401)))=0,"","Broker: "&amp;IF(LEN(INDEX('Our policies'!$D$4:$D$503,_calc!$E$401))=0,"",INDEX('Our policies'!$D$4:$D$503,_calc!$E$401))&amp;". ")&amp;IF(LEN(IF(LEN(INDEX('Our policies'!$E$4:$E$503,_calc!$E$401))=0,"",INDEX('Our policies'!$E$4:$E$503,_calc!$E$401)))=0,"","Policy no.: "&amp;IF(LEN(INDEX('Our policies'!$E$4:$E$503,_calc!$E$401))=0,"",INDEX('Our policies'!$E$4:$E$503,_calc!$E$401))&amp;". ")&amp;IF(LEN(IF(LEN(INDEX('Our policies'!$S$4:$S$503,_calc!$E$401))=0,"",INDEX('Our policies'!$S$4:$S$503,_calc!$E$401)))=0,"",IF(LEN(INDEX('Our policies'!$S$4:$S$503,_calc!$E$401))=0,"",INDEX('Our policies'!$S$4:$S$503,_calc!$E$401)))),TRIM(IF(LEN(IF(LEN(INDEX('Vendor COIs'!$C$4:$C$503,(_calc!$E$401-500)))=0,"",INDEX('Vendor COIs'!$C$4:$C$503,(_calc!$E$401-500))))=0,"","Insurer: "&amp;IF(LEN(INDEX('Vendor COIs'!$C$4:$C$503,(_calc!$E$401-500)))=0,"",INDEX('Vendor COIs'!$C$4:$C$503,(_calc!$E$401-500)))&amp;". ")&amp;IF(LEN(IF(LEN(INDEX('Vendor COIs'!$D$4:$D$503,(_calc!$E$401-500)))=0,"",INDEX('Vendor COIs'!$D$4:$D$503,(_calc!$E$401-500))))=0,"","Policy no.: "&amp;IF(LEN(INDEX('Vendor COIs'!$D$4:$D$503,(_calc!$E$401-500)))=0,"",INDEX('Vendor COIs'!$D$4:$D$503,(_calc!$E$401-500)))&amp;". ")&amp;IF(LEN(IF(LEN(INDEX('Vendor COIs'!$F$4:$F$503,(_calc!$E$401-500)))=0,"",INDEX('Vendor COIs'!$F$4:$F$503,(_calc!$E$401-500))))=0,"","Meets minimum: "&amp;IF(LEN(INDEX('Vendor COIs'!$F$4:$F$503,(_calc!$E$401-500)))=0,"",INDEX('Vendor COIs'!$F$4:$F$503,(_calc!$E$401-500)))&amp;". ")&amp;IF(LEN(IF(LEN(INDEX('Vendor COIs'!$G$4:$G$503,(_calc!$E$401-500)))=0,"",INDEX('Vendor COIs'!$G$4:$G$503,(_calc!$E$401-500))))=0,"","Additional insured: "&amp;IF(LEN(INDEX('Vendor COIs'!$G$4:$G$503,(_calc!$E$401-500)))=0,"",INDEX('Vendor COIs'!$G$4:$G$503,(_calc!$E$401-500)))&amp;". ")&amp;IF(LEN(IF(LEN(INDEX('Vendor COIs'!$M$4:$M$503,(_calc!$E$401-500)))=0,"",INDEX('Vendor COIs'!$M$4:$M$503,(_calc!$E$401-500))))=0,"","Vendor contact: "&amp;IF(LEN(INDEX('Vendor COIs'!$M$4:$M$503,(_calc!$E$401-500)))=0,"",INDEX('Vendor COIs'!$M$4:$M$503,(_calc!$E$401-500)))&amp;". ")&amp;IF(LEN(IF(LEN(INDEX('Vendor COIs'!$P$4:$P$503,(_calc!$E$401-500)))=0,"",INDEX('Vendor COIs'!$P$4:$P$503,(_calc!$E$401-500))))=0,"",IF(LEN(INDEX('Vendor COIs'!$P$4:$P$503,(_calc!$E$401-500)))=0,"",INDEX('Vendor COIs'!$P$4:$P$503,(_calc!$E$401-500)))))))</f>
        <v/>
      </c>
      <c r="G399" s="46">
        <f>IF(_calc!$E$401="","",IF(_calc!$E$401&lt;=500,IF(LEN(INDEX('Our policies'!$R$4:$R$503,_calc!$E$401))=0,"",INDEX('Our policies'!$R$4:$R$503,_calc!$E$401)),IF(LEN(INDEX('Vendor COIs'!$O$4:$O$503,(_calc!$E$401-500)))=0,"",INDEX('Vendor COIs'!$O$4:$O$503,(_calc!$E$401-500)))))</f>
        <v/>
      </c>
      <c r="H399" s="46">
        <f>IF(_calc!$E$401="","",IF(_calc!$E$401&lt;=500,IF(LEN(INDEX('Our policies'!$G$4:$G$503,_calc!$E$401))=0,"",INDEX('Our policies'!$G$4:$G$503,_calc!$E$401)),""))</f>
        <v/>
      </c>
      <c r="I399" s="46">
        <f>IF(_calc!$E$401="","",IF(_calc!$E$401&lt;=500,IF(LEN(INDEX('Our policies'!$H$4:$H$503,_calc!$E$401))=0,"",INDEX('Our policies'!$H$4:$H$503,_calc!$E$401)),""))</f>
        <v/>
      </c>
      <c r="K399" s="46">
        <f>IF(_calc!$E$401="","",IF(_calc!$E$401&lt;=500,IF(LEN(INDEX('Our policies'!$P$4:$P$503,_calc!$E$401))=0,"",INDEX('Our policies'!$P$4:$P$503,_calc!$E$401)),IF(LEN(INDEX('Vendor COIs'!$N$4:$N$503,(_calc!$E$401-500)))=0,"",INDEX('Vendor COIs'!$N$4:$N$503,(_calc!$E$401-500)))))</f>
        <v/>
      </c>
    </row>
    <row r="400">
      <c r="A400" s="46">
        <f>IF(_calc!$E$402="","",IF(_calc!$E$402&lt;=500,IF(LEN(INDEX('Our policies'!$A$4:$A$503,_calc!$E$402))=0,"",INDEX('Our policies'!$A$4:$A$503,_calc!$E$402)),"COI – "&amp;IF(LEN(INDEX('Vendor COIs'!$A$4:$A$503,(_calc!$E$402-500)))=0,"",INDEX('Vendor COIs'!$A$4:$A$503,(_calc!$E$402-500)))&amp;" – "&amp;IF(LEN(INDEX('Vendor COIs'!$B$4:$B$503,(_calc!$E$402-500)))=0,"",INDEX('Vendor COIs'!$B$4:$B$503,(_calc!$E$402-500)))))</f>
        <v/>
      </c>
      <c r="B400" s="46">
        <f>IF(_calc!$E$402="","",IF(_calc!$E$402&lt;=500,IF(ISNUMBER(INDEX('Our policies'!$J$4:$J$503,_calc!$E$402)),TEXT(INDEX('Our policies'!$J$4:$J$503,_calc!$E$402),"yyyy-mm-dd"),""),IF(ISNUMBER(INDEX('Vendor COIs'!$H$4:$H$503,(_calc!$E$402-500))),TEXT(INDEX('Vendor COIs'!$H$4:$H$503,(_calc!$E$402-500)),"yyyy-mm-dd"),"")))</f>
        <v/>
      </c>
      <c r="C400" s="46">
        <f>IF(_calc!$E$402="","",IF(_calc!$E$402&lt;=500,"Insurance","Certificate of insurance"))</f>
        <v/>
      </c>
      <c r="D400" s="46">
        <f>IF(_calc!$E$402="","",IF(_calc!$E$402&lt;=500,IF(ISNUMBER(INDEX('Our policies'!$I$4:$I$503,_calc!$E$402)),TEXT(INDEX('Our policies'!$I$4:$I$503,_calc!$E$402),"yyyy-mm-dd"),""),""))</f>
        <v/>
      </c>
      <c r="E400" s="46">
        <f>IF(_calc!$E$402="","",IF(_calc!$E$402&lt;=500,IF(LEN(INDEX('Our policies'!$Q$4:$Q$503,_calc!$E$402))=0,"",INDEX('Our policies'!$Q$4:$Q$503,_calc!$E$402)),"Medium"))</f>
        <v/>
      </c>
      <c r="F400" s="46">
        <f>IF(_calc!$E$402="","",IF(_calc!$E$402&lt;=500,TRIM(IF(LEN(IF(LEN(INDEX('Our policies'!$B$4:$B$503,_calc!$E$402))=0,"",INDEX('Our policies'!$B$4:$B$503,_calc!$E$402)))=0,"","Cover: "&amp;IF(LEN(INDEX('Our policies'!$B$4:$B$503,_calc!$E$402))=0,"",INDEX('Our policies'!$B$4:$B$503,_calc!$E$402))&amp;". ")&amp;IF(LEN(IF(LEN(INDEX('Our policies'!$C$4:$C$503,_calc!$E$402))=0,"",INDEX('Our policies'!$C$4:$C$503,_calc!$E$402)))=0,"","Insurer: "&amp;IF(LEN(INDEX('Our policies'!$C$4:$C$503,_calc!$E$402))=0,"",INDEX('Our policies'!$C$4:$C$503,_calc!$E$402))&amp;". ")&amp;IF(LEN(IF(LEN(INDEX('Our policies'!$D$4:$D$503,_calc!$E$402))=0,"",INDEX('Our policies'!$D$4:$D$503,_calc!$E$402)))=0,"","Broker: "&amp;IF(LEN(INDEX('Our policies'!$D$4:$D$503,_calc!$E$402))=0,"",INDEX('Our policies'!$D$4:$D$503,_calc!$E$402))&amp;". ")&amp;IF(LEN(IF(LEN(INDEX('Our policies'!$E$4:$E$503,_calc!$E$402))=0,"",INDEX('Our policies'!$E$4:$E$503,_calc!$E$402)))=0,"","Policy no.: "&amp;IF(LEN(INDEX('Our policies'!$E$4:$E$503,_calc!$E$402))=0,"",INDEX('Our policies'!$E$4:$E$503,_calc!$E$402))&amp;". ")&amp;IF(LEN(IF(LEN(INDEX('Our policies'!$S$4:$S$503,_calc!$E$402))=0,"",INDEX('Our policies'!$S$4:$S$503,_calc!$E$402)))=0,"",IF(LEN(INDEX('Our policies'!$S$4:$S$503,_calc!$E$402))=0,"",INDEX('Our policies'!$S$4:$S$503,_calc!$E$402)))),TRIM(IF(LEN(IF(LEN(INDEX('Vendor COIs'!$C$4:$C$503,(_calc!$E$402-500)))=0,"",INDEX('Vendor COIs'!$C$4:$C$503,(_calc!$E$402-500))))=0,"","Insurer: "&amp;IF(LEN(INDEX('Vendor COIs'!$C$4:$C$503,(_calc!$E$402-500)))=0,"",INDEX('Vendor COIs'!$C$4:$C$503,(_calc!$E$402-500)))&amp;". ")&amp;IF(LEN(IF(LEN(INDEX('Vendor COIs'!$D$4:$D$503,(_calc!$E$402-500)))=0,"",INDEX('Vendor COIs'!$D$4:$D$503,(_calc!$E$402-500))))=0,"","Policy no.: "&amp;IF(LEN(INDEX('Vendor COIs'!$D$4:$D$503,(_calc!$E$402-500)))=0,"",INDEX('Vendor COIs'!$D$4:$D$503,(_calc!$E$402-500)))&amp;". ")&amp;IF(LEN(IF(LEN(INDEX('Vendor COIs'!$F$4:$F$503,(_calc!$E$402-500)))=0,"",INDEX('Vendor COIs'!$F$4:$F$503,(_calc!$E$402-500))))=0,"","Meets minimum: "&amp;IF(LEN(INDEX('Vendor COIs'!$F$4:$F$503,(_calc!$E$402-500)))=0,"",INDEX('Vendor COIs'!$F$4:$F$503,(_calc!$E$402-500)))&amp;". ")&amp;IF(LEN(IF(LEN(INDEX('Vendor COIs'!$G$4:$G$503,(_calc!$E$402-500)))=0,"",INDEX('Vendor COIs'!$G$4:$G$503,(_calc!$E$402-500))))=0,"","Additional insured: "&amp;IF(LEN(INDEX('Vendor COIs'!$G$4:$G$503,(_calc!$E$402-500)))=0,"",INDEX('Vendor COIs'!$G$4:$G$503,(_calc!$E$402-500)))&amp;". ")&amp;IF(LEN(IF(LEN(INDEX('Vendor COIs'!$M$4:$M$503,(_calc!$E$402-500)))=0,"",INDEX('Vendor COIs'!$M$4:$M$503,(_calc!$E$402-500))))=0,"","Vendor contact: "&amp;IF(LEN(INDEX('Vendor COIs'!$M$4:$M$503,(_calc!$E$402-500)))=0,"",INDEX('Vendor COIs'!$M$4:$M$503,(_calc!$E$402-500)))&amp;". ")&amp;IF(LEN(IF(LEN(INDEX('Vendor COIs'!$P$4:$P$503,(_calc!$E$402-500)))=0,"",INDEX('Vendor COIs'!$P$4:$P$503,(_calc!$E$402-500))))=0,"",IF(LEN(INDEX('Vendor COIs'!$P$4:$P$503,(_calc!$E$402-500)))=0,"",INDEX('Vendor COIs'!$P$4:$P$503,(_calc!$E$402-500)))))))</f>
        <v/>
      </c>
      <c r="G400" s="46">
        <f>IF(_calc!$E$402="","",IF(_calc!$E$402&lt;=500,IF(LEN(INDEX('Our policies'!$R$4:$R$503,_calc!$E$402))=0,"",INDEX('Our policies'!$R$4:$R$503,_calc!$E$402)),IF(LEN(INDEX('Vendor COIs'!$O$4:$O$503,(_calc!$E$402-500)))=0,"",INDEX('Vendor COIs'!$O$4:$O$503,(_calc!$E$402-500)))))</f>
        <v/>
      </c>
      <c r="H400" s="46">
        <f>IF(_calc!$E$402="","",IF(_calc!$E$402&lt;=500,IF(LEN(INDEX('Our policies'!$G$4:$G$503,_calc!$E$402))=0,"",INDEX('Our policies'!$G$4:$G$503,_calc!$E$402)),""))</f>
        <v/>
      </c>
      <c r="I400" s="46">
        <f>IF(_calc!$E$402="","",IF(_calc!$E$402&lt;=500,IF(LEN(INDEX('Our policies'!$H$4:$H$503,_calc!$E$402))=0,"",INDEX('Our policies'!$H$4:$H$503,_calc!$E$402)),""))</f>
        <v/>
      </c>
      <c r="K400" s="46">
        <f>IF(_calc!$E$402="","",IF(_calc!$E$402&lt;=500,IF(LEN(INDEX('Our policies'!$P$4:$P$503,_calc!$E$402))=0,"",INDEX('Our policies'!$P$4:$P$503,_calc!$E$402)),IF(LEN(INDEX('Vendor COIs'!$N$4:$N$503,(_calc!$E$402-500)))=0,"",INDEX('Vendor COIs'!$N$4:$N$503,(_calc!$E$402-500)))))</f>
        <v/>
      </c>
    </row>
    <row r="401">
      <c r="A401" s="46">
        <f>IF(_calc!$E$403="","",IF(_calc!$E$403&lt;=500,IF(LEN(INDEX('Our policies'!$A$4:$A$503,_calc!$E$403))=0,"",INDEX('Our policies'!$A$4:$A$503,_calc!$E$403)),"COI – "&amp;IF(LEN(INDEX('Vendor COIs'!$A$4:$A$503,(_calc!$E$403-500)))=0,"",INDEX('Vendor COIs'!$A$4:$A$503,(_calc!$E$403-500)))&amp;" – "&amp;IF(LEN(INDEX('Vendor COIs'!$B$4:$B$503,(_calc!$E$403-500)))=0,"",INDEX('Vendor COIs'!$B$4:$B$503,(_calc!$E$403-500)))))</f>
        <v/>
      </c>
      <c r="B401" s="46">
        <f>IF(_calc!$E$403="","",IF(_calc!$E$403&lt;=500,IF(ISNUMBER(INDEX('Our policies'!$J$4:$J$503,_calc!$E$403)),TEXT(INDEX('Our policies'!$J$4:$J$503,_calc!$E$403),"yyyy-mm-dd"),""),IF(ISNUMBER(INDEX('Vendor COIs'!$H$4:$H$503,(_calc!$E$403-500))),TEXT(INDEX('Vendor COIs'!$H$4:$H$503,(_calc!$E$403-500)),"yyyy-mm-dd"),"")))</f>
        <v/>
      </c>
      <c r="C401" s="46">
        <f>IF(_calc!$E$403="","",IF(_calc!$E$403&lt;=500,"Insurance","Certificate of insurance"))</f>
        <v/>
      </c>
      <c r="D401" s="46">
        <f>IF(_calc!$E$403="","",IF(_calc!$E$403&lt;=500,IF(ISNUMBER(INDEX('Our policies'!$I$4:$I$503,_calc!$E$403)),TEXT(INDEX('Our policies'!$I$4:$I$503,_calc!$E$403),"yyyy-mm-dd"),""),""))</f>
        <v/>
      </c>
      <c r="E401" s="46">
        <f>IF(_calc!$E$403="","",IF(_calc!$E$403&lt;=500,IF(LEN(INDEX('Our policies'!$Q$4:$Q$503,_calc!$E$403))=0,"",INDEX('Our policies'!$Q$4:$Q$503,_calc!$E$403)),"Medium"))</f>
        <v/>
      </c>
      <c r="F401" s="46">
        <f>IF(_calc!$E$403="","",IF(_calc!$E$403&lt;=500,TRIM(IF(LEN(IF(LEN(INDEX('Our policies'!$B$4:$B$503,_calc!$E$403))=0,"",INDEX('Our policies'!$B$4:$B$503,_calc!$E$403)))=0,"","Cover: "&amp;IF(LEN(INDEX('Our policies'!$B$4:$B$503,_calc!$E$403))=0,"",INDEX('Our policies'!$B$4:$B$503,_calc!$E$403))&amp;". ")&amp;IF(LEN(IF(LEN(INDEX('Our policies'!$C$4:$C$503,_calc!$E$403))=0,"",INDEX('Our policies'!$C$4:$C$503,_calc!$E$403)))=0,"","Insurer: "&amp;IF(LEN(INDEX('Our policies'!$C$4:$C$503,_calc!$E$403))=0,"",INDEX('Our policies'!$C$4:$C$503,_calc!$E$403))&amp;". ")&amp;IF(LEN(IF(LEN(INDEX('Our policies'!$D$4:$D$503,_calc!$E$403))=0,"",INDEX('Our policies'!$D$4:$D$503,_calc!$E$403)))=0,"","Broker: "&amp;IF(LEN(INDEX('Our policies'!$D$4:$D$503,_calc!$E$403))=0,"",INDEX('Our policies'!$D$4:$D$503,_calc!$E$403))&amp;". ")&amp;IF(LEN(IF(LEN(INDEX('Our policies'!$E$4:$E$503,_calc!$E$403))=0,"",INDEX('Our policies'!$E$4:$E$503,_calc!$E$403)))=0,"","Policy no.: "&amp;IF(LEN(INDEX('Our policies'!$E$4:$E$503,_calc!$E$403))=0,"",INDEX('Our policies'!$E$4:$E$503,_calc!$E$403))&amp;". ")&amp;IF(LEN(IF(LEN(INDEX('Our policies'!$S$4:$S$503,_calc!$E$403))=0,"",INDEX('Our policies'!$S$4:$S$503,_calc!$E$403)))=0,"",IF(LEN(INDEX('Our policies'!$S$4:$S$503,_calc!$E$403))=0,"",INDEX('Our policies'!$S$4:$S$503,_calc!$E$403)))),TRIM(IF(LEN(IF(LEN(INDEX('Vendor COIs'!$C$4:$C$503,(_calc!$E$403-500)))=0,"",INDEX('Vendor COIs'!$C$4:$C$503,(_calc!$E$403-500))))=0,"","Insurer: "&amp;IF(LEN(INDEX('Vendor COIs'!$C$4:$C$503,(_calc!$E$403-500)))=0,"",INDEX('Vendor COIs'!$C$4:$C$503,(_calc!$E$403-500)))&amp;". ")&amp;IF(LEN(IF(LEN(INDEX('Vendor COIs'!$D$4:$D$503,(_calc!$E$403-500)))=0,"",INDEX('Vendor COIs'!$D$4:$D$503,(_calc!$E$403-500))))=0,"","Policy no.: "&amp;IF(LEN(INDEX('Vendor COIs'!$D$4:$D$503,(_calc!$E$403-500)))=0,"",INDEX('Vendor COIs'!$D$4:$D$503,(_calc!$E$403-500)))&amp;". ")&amp;IF(LEN(IF(LEN(INDEX('Vendor COIs'!$F$4:$F$503,(_calc!$E$403-500)))=0,"",INDEX('Vendor COIs'!$F$4:$F$503,(_calc!$E$403-500))))=0,"","Meets minimum: "&amp;IF(LEN(INDEX('Vendor COIs'!$F$4:$F$503,(_calc!$E$403-500)))=0,"",INDEX('Vendor COIs'!$F$4:$F$503,(_calc!$E$403-500)))&amp;". ")&amp;IF(LEN(IF(LEN(INDEX('Vendor COIs'!$G$4:$G$503,(_calc!$E$403-500)))=0,"",INDEX('Vendor COIs'!$G$4:$G$503,(_calc!$E$403-500))))=0,"","Additional insured: "&amp;IF(LEN(INDEX('Vendor COIs'!$G$4:$G$503,(_calc!$E$403-500)))=0,"",INDEX('Vendor COIs'!$G$4:$G$503,(_calc!$E$403-500)))&amp;". ")&amp;IF(LEN(IF(LEN(INDEX('Vendor COIs'!$M$4:$M$503,(_calc!$E$403-500)))=0,"",INDEX('Vendor COIs'!$M$4:$M$503,(_calc!$E$403-500))))=0,"","Vendor contact: "&amp;IF(LEN(INDEX('Vendor COIs'!$M$4:$M$503,(_calc!$E$403-500)))=0,"",INDEX('Vendor COIs'!$M$4:$M$503,(_calc!$E$403-500)))&amp;". ")&amp;IF(LEN(IF(LEN(INDEX('Vendor COIs'!$P$4:$P$503,(_calc!$E$403-500)))=0,"",INDEX('Vendor COIs'!$P$4:$P$503,(_calc!$E$403-500))))=0,"",IF(LEN(INDEX('Vendor COIs'!$P$4:$P$503,(_calc!$E$403-500)))=0,"",INDEX('Vendor COIs'!$P$4:$P$503,(_calc!$E$403-500)))))))</f>
        <v/>
      </c>
      <c r="G401" s="46">
        <f>IF(_calc!$E$403="","",IF(_calc!$E$403&lt;=500,IF(LEN(INDEX('Our policies'!$R$4:$R$503,_calc!$E$403))=0,"",INDEX('Our policies'!$R$4:$R$503,_calc!$E$403)),IF(LEN(INDEX('Vendor COIs'!$O$4:$O$503,(_calc!$E$403-500)))=0,"",INDEX('Vendor COIs'!$O$4:$O$503,(_calc!$E$403-500)))))</f>
        <v/>
      </c>
      <c r="H401" s="46">
        <f>IF(_calc!$E$403="","",IF(_calc!$E$403&lt;=500,IF(LEN(INDEX('Our policies'!$G$4:$G$503,_calc!$E$403))=0,"",INDEX('Our policies'!$G$4:$G$503,_calc!$E$403)),""))</f>
        <v/>
      </c>
      <c r="I401" s="46">
        <f>IF(_calc!$E$403="","",IF(_calc!$E$403&lt;=500,IF(LEN(INDEX('Our policies'!$H$4:$H$503,_calc!$E$403))=0,"",INDEX('Our policies'!$H$4:$H$503,_calc!$E$403)),""))</f>
        <v/>
      </c>
      <c r="K401" s="46">
        <f>IF(_calc!$E$403="","",IF(_calc!$E$403&lt;=500,IF(LEN(INDEX('Our policies'!$P$4:$P$503,_calc!$E$403))=0,"",INDEX('Our policies'!$P$4:$P$503,_calc!$E$403)),IF(LEN(INDEX('Vendor COIs'!$N$4:$N$503,(_calc!$E$403-500)))=0,"",INDEX('Vendor COIs'!$N$4:$N$503,(_calc!$E$403-500)))))</f>
        <v/>
      </c>
    </row>
    <row r="402">
      <c r="A402" s="46">
        <f>IF(_calc!$E$404="","",IF(_calc!$E$404&lt;=500,IF(LEN(INDEX('Our policies'!$A$4:$A$503,_calc!$E$404))=0,"",INDEX('Our policies'!$A$4:$A$503,_calc!$E$404)),"COI – "&amp;IF(LEN(INDEX('Vendor COIs'!$A$4:$A$503,(_calc!$E$404-500)))=0,"",INDEX('Vendor COIs'!$A$4:$A$503,(_calc!$E$404-500)))&amp;" – "&amp;IF(LEN(INDEX('Vendor COIs'!$B$4:$B$503,(_calc!$E$404-500)))=0,"",INDEX('Vendor COIs'!$B$4:$B$503,(_calc!$E$404-500)))))</f>
        <v/>
      </c>
      <c r="B402" s="46">
        <f>IF(_calc!$E$404="","",IF(_calc!$E$404&lt;=500,IF(ISNUMBER(INDEX('Our policies'!$J$4:$J$503,_calc!$E$404)),TEXT(INDEX('Our policies'!$J$4:$J$503,_calc!$E$404),"yyyy-mm-dd"),""),IF(ISNUMBER(INDEX('Vendor COIs'!$H$4:$H$503,(_calc!$E$404-500))),TEXT(INDEX('Vendor COIs'!$H$4:$H$503,(_calc!$E$404-500)),"yyyy-mm-dd"),"")))</f>
        <v/>
      </c>
      <c r="C402" s="46">
        <f>IF(_calc!$E$404="","",IF(_calc!$E$404&lt;=500,"Insurance","Certificate of insurance"))</f>
        <v/>
      </c>
      <c r="D402" s="46">
        <f>IF(_calc!$E$404="","",IF(_calc!$E$404&lt;=500,IF(ISNUMBER(INDEX('Our policies'!$I$4:$I$503,_calc!$E$404)),TEXT(INDEX('Our policies'!$I$4:$I$503,_calc!$E$404),"yyyy-mm-dd"),""),""))</f>
        <v/>
      </c>
      <c r="E402" s="46">
        <f>IF(_calc!$E$404="","",IF(_calc!$E$404&lt;=500,IF(LEN(INDEX('Our policies'!$Q$4:$Q$503,_calc!$E$404))=0,"",INDEX('Our policies'!$Q$4:$Q$503,_calc!$E$404)),"Medium"))</f>
        <v/>
      </c>
      <c r="F402" s="46">
        <f>IF(_calc!$E$404="","",IF(_calc!$E$404&lt;=500,TRIM(IF(LEN(IF(LEN(INDEX('Our policies'!$B$4:$B$503,_calc!$E$404))=0,"",INDEX('Our policies'!$B$4:$B$503,_calc!$E$404)))=0,"","Cover: "&amp;IF(LEN(INDEX('Our policies'!$B$4:$B$503,_calc!$E$404))=0,"",INDEX('Our policies'!$B$4:$B$503,_calc!$E$404))&amp;". ")&amp;IF(LEN(IF(LEN(INDEX('Our policies'!$C$4:$C$503,_calc!$E$404))=0,"",INDEX('Our policies'!$C$4:$C$503,_calc!$E$404)))=0,"","Insurer: "&amp;IF(LEN(INDEX('Our policies'!$C$4:$C$503,_calc!$E$404))=0,"",INDEX('Our policies'!$C$4:$C$503,_calc!$E$404))&amp;". ")&amp;IF(LEN(IF(LEN(INDEX('Our policies'!$D$4:$D$503,_calc!$E$404))=0,"",INDEX('Our policies'!$D$4:$D$503,_calc!$E$404)))=0,"","Broker: "&amp;IF(LEN(INDEX('Our policies'!$D$4:$D$503,_calc!$E$404))=0,"",INDEX('Our policies'!$D$4:$D$503,_calc!$E$404))&amp;". ")&amp;IF(LEN(IF(LEN(INDEX('Our policies'!$E$4:$E$503,_calc!$E$404))=0,"",INDEX('Our policies'!$E$4:$E$503,_calc!$E$404)))=0,"","Policy no.: "&amp;IF(LEN(INDEX('Our policies'!$E$4:$E$503,_calc!$E$404))=0,"",INDEX('Our policies'!$E$4:$E$503,_calc!$E$404))&amp;". ")&amp;IF(LEN(IF(LEN(INDEX('Our policies'!$S$4:$S$503,_calc!$E$404))=0,"",INDEX('Our policies'!$S$4:$S$503,_calc!$E$404)))=0,"",IF(LEN(INDEX('Our policies'!$S$4:$S$503,_calc!$E$404))=0,"",INDEX('Our policies'!$S$4:$S$503,_calc!$E$404)))),TRIM(IF(LEN(IF(LEN(INDEX('Vendor COIs'!$C$4:$C$503,(_calc!$E$404-500)))=0,"",INDEX('Vendor COIs'!$C$4:$C$503,(_calc!$E$404-500))))=0,"","Insurer: "&amp;IF(LEN(INDEX('Vendor COIs'!$C$4:$C$503,(_calc!$E$404-500)))=0,"",INDEX('Vendor COIs'!$C$4:$C$503,(_calc!$E$404-500)))&amp;". ")&amp;IF(LEN(IF(LEN(INDEX('Vendor COIs'!$D$4:$D$503,(_calc!$E$404-500)))=0,"",INDEX('Vendor COIs'!$D$4:$D$503,(_calc!$E$404-500))))=0,"","Policy no.: "&amp;IF(LEN(INDEX('Vendor COIs'!$D$4:$D$503,(_calc!$E$404-500)))=0,"",INDEX('Vendor COIs'!$D$4:$D$503,(_calc!$E$404-500)))&amp;". ")&amp;IF(LEN(IF(LEN(INDEX('Vendor COIs'!$F$4:$F$503,(_calc!$E$404-500)))=0,"",INDEX('Vendor COIs'!$F$4:$F$503,(_calc!$E$404-500))))=0,"","Meets minimum: "&amp;IF(LEN(INDEX('Vendor COIs'!$F$4:$F$503,(_calc!$E$404-500)))=0,"",INDEX('Vendor COIs'!$F$4:$F$503,(_calc!$E$404-500)))&amp;". ")&amp;IF(LEN(IF(LEN(INDEX('Vendor COIs'!$G$4:$G$503,(_calc!$E$404-500)))=0,"",INDEX('Vendor COIs'!$G$4:$G$503,(_calc!$E$404-500))))=0,"","Additional insured: "&amp;IF(LEN(INDEX('Vendor COIs'!$G$4:$G$503,(_calc!$E$404-500)))=0,"",INDEX('Vendor COIs'!$G$4:$G$503,(_calc!$E$404-500)))&amp;". ")&amp;IF(LEN(IF(LEN(INDEX('Vendor COIs'!$M$4:$M$503,(_calc!$E$404-500)))=0,"",INDEX('Vendor COIs'!$M$4:$M$503,(_calc!$E$404-500))))=0,"","Vendor contact: "&amp;IF(LEN(INDEX('Vendor COIs'!$M$4:$M$503,(_calc!$E$404-500)))=0,"",INDEX('Vendor COIs'!$M$4:$M$503,(_calc!$E$404-500)))&amp;". ")&amp;IF(LEN(IF(LEN(INDEX('Vendor COIs'!$P$4:$P$503,(_calc!$E$404-500)))=0,"",INDEX('Vendor COIs'!$P$4:$P$503,(_calc!$E$404-500))))=0,"",IF(LEN(INDEX('Vendor COIs'!$P$4:$P$503,(_calc!$E$404-500)))=0,"",INDEX('Vendor COIs'!$P$4:$P$503,(_calc!$E$404-500)))))))</f>
        <v/>
      </c>
      <c r="G402" s="46">
        <f>IF(_calc!$E$404="","",IF(_calc!$E$404&lt;=500,IF(LEN(INDEX('Our policies'!$R$4:$R$503,_calc!$E$404))=0,"",INDEX('Our policies'!$R$4:$R$503,_calc!$E$404)),IF(LEN(INDEX('Vendor COIs'!$O$4:$O$503,(_calc!$E$404-500)))=0,"",INDEX('Vendor COIs'!$O$4:$O$503,(_calc!$E$404-500)))))</f>
        <v/>
      </c>
      <c r="H402" s="46">
        <f>IF(_calc!$E$404="","",IF(_calc!$E$404&lt;=500,IF(LEN(INDEX('Our policies'!$G$4:$G$503,_calc!$E$404))=0,"",INDEX('Our policies'!$G$4:$G$503,_calc!$E$404)),""))</f>
        <v/>
      </c>
      <c r="I402" s="46">
        <f>IF(_calc!$E$404="","",IF(_calc!$E$404&lt;=500,IF(LEN(INDEX('Our policies'!$H$4:$H$503,_calc!$E$404))=0,"",INDEX('Our policies'!$H$4:$H$503,_calc!$E$404)),""))</f>
        <v/>
      </c>
      <c r="K402" s="46">
        <f>IF(_calc!$E$404="","",IF(_calc!$E$404&lt;=500,IF(LEN(INDEX('Our policies'!$P$4:$P$503,_calc!$E$404))=0,"",INDEX('Our policies'!$P$4:$P$503,_calc!$E$404)),IF(LEN(INDEX('Vendor COIs'!$N$4:$N$503,(_calc!$E$404-500)))=0,"",INDEX('Vendor COIs'!$N$4:$N$503,(_calc!$E$404-500)))))</f>
        <v/>
      </c>
    </row>
    <row r="403">
      <c r="A403" s="46">
        <f>IF(_calc!$E$405="","",IF(_calc!$E$405&lt;=500,IF(LEN(INDEX('Our policies'!$A$4:$A$503,_calc!$E$405))=0,"",INDEX('Our policies'!$A$4:$A$503,_calc!$E$405)),"COI – "&amp;IF(LEN(INDEX('Vendor COIs'!$A$4:$A$503,(_calc!$E$405-500)))=0,"",INDEX('Vendor COIs'!$A$4:$A$503,(_calc!$E$405-500)))&amp;" – "&amp;IF(LEN(INDEX('Vendor COIs'!$B$4:$B$503,(_calc!$E$405-500)))=0,"",INDEX('Vendor COIs'!$B$4:$B$503,(_calc!$E$405-500)))))</f>
        <v/>
      </c>
      <c r="B403" s="46">
        <f>IF(_calc!$E$405="","",IF(_calc!$E$405&lt;=500,IF(ISNUMBER(INDEX('Our policies'!$J$4:$J$503,_calc!$E$405)),TEXT(INDEX('Our policies'!$J$4:$J$503,_calc!$E$405),"yyyy-mm-dd"),""),IF(ISNUMBER(INDEX('Vendor COIs'!$H$4:$H$503,(_calc!$E$405-500))),TEXT(INDEX('Vendor COIs'!$H$4:$H$503,(_calc!$E$405-500)),"yyyy-mm-dd"),"")))</f>
        <v/>
      </c>
      <c r="C403" s="46">
        <f>IF(_calc!$E$405="","",IF(_calc!$E$405&lt;=500,"Insurance","Certificate of insurance"))</f>
        <v/>
      </c>
      <c r="D403" s="46">
        <f>IF(_calc!$E$405="","",IF(_calc!$E$405&lt;=500,IF(ISNUMBER(INDEX('Our policies'!$I$4:$I$503,_calc!$E$405)),TEXT(INDEX('Our policies'!$I$4:$I$503,_calc!$E$405),"yyyy-mm-dd"),""),""))</f>
        <v/>
      </c>
      <c r="E403" s="46">
        <f>IF(_calc!$E$405="","",IF(_calc!$E$405&lt;=500,IF(LEN(INDEX('Our policies'!$Q$4:$Q$503,_calc!$E$405))=0,"",INDEX('Our policies'!$Q$4:$Q$503,_calc!$E$405)),"Medium"))</f>
        <v/>
      </c>
      <c r="F403" s="46">
        <f>IF(_calc!$E$405="","",IF(_calc!$E$405&lt;=500,TRIM(IF(LEN(IF(LEN(INDEX('Our policies'!$B$4:$B$503,_calc!$E$405))=0,"",INDEX('Our policies'!$B$4:$B$503,_calc!$E$405)))=0,"","Cover: "&amp;IF(LEN(INDEX('Our policies'!$B$4:$B$503,_calc!$E$405))=0,"",INDEX('Our policies'!$B$4:$B$503,_calc!$E$405))&amp;". ")&amp;IF(LEN(IF(LEN(INDEX('Our policies'!$C$4:$C$503,_calc!$E$405))=0,"",INDEX('Our policies'!$C$4:$C$503,_calc!$E$405)))=0,"","Insurer: "&amp;IF(LEN(INDEX('Our policies'!$C$4:$C$503,_calc!$E$405))=0,"",INDEX('Our policies'!$C$4:$C$503,_calc!$E$405))&amp;". ")&amp;IF(LEN(IF(LEN(INDEX('Our policies'!$D$4:$D$503,_calc!$E$405))=0,"",INDEX('Our policies'!$D$4:$D$503,_calc!$E$405)))=0,"","Broker: "&amp;IF(LEN(INDEX('Our policies'!$D$4:$D$503,_calc!$E$405))=0,"",INDEX('Our policies'!$D$4:$D$503,_calc!$E$405))&amp;". ")&amp;IF(LEN(IF(LEN(INDEX('Our policies'!$E$4:$E$503,_calc!$E$405))=0,"",INDEX('Our policies'!$E$4:$E$503,_calc!$E$405)))=0,"","Policy no.: "&amp;IF(LEN(INDEX('Our policies'!$E$4:$E$503,_calc!$E$405))=0,"",INDEX('Our policies'!$E$4:$E$503,_calc!$E$405))&amp;". ")&amp;IF(LEN(IF(LEN(INDEX('Our policies'!$S$4:$S$503,_calc!$E$405))=0,"",INDEX('Our policies'!$S$4:$S$503,_calc!$E$405)))=0,"",IF(LEN(INDEX('Our policies'!$S$4:$S$503,_calc!$E$405))=0,"",INDEX('Our policies'!$S$4:$S$503,_calc!$E$405)))),TRIM(IF(LEN(IF(LEN(INDEX('Vendor COIs'!$C$4:$C$503,(_calc!$E$405-500)))=0,"",INDEX('Vendor COIs'!$C$4:$C$503,(_calc!$E$405-500))))=0,"","Insurer: "&amp;IF(LEN(INDEX('Vendor COIs'!$C$4:$C$503,(_calc!$E$405-500)))=0,"",INDEX('Vendor COIs'!$C$4:$C$503,(_calc!$E$405-500)))&amp;". ")&amp;IF(LEN(IF(LEN(INDEX('Vendor COIs'!$D$4:$D$503,(_calc!$E$405-500)))=0,"",INDEX('Vendor COIs'!$D$4:$D$503,(_calc!$E$405-500))))=0,"","Policy no.: "&amp;IF(LEN(INDEX('Vendor COIs'!$D$4:$D$503,(_calc!$E$405-500)))=0,"",INDEX('Vendor COIs'!$D$4:$D$503,(_calc!$E$405-500)))&amp;". ")&amp;IF(LEN(IF(LEN(INDEX('Vendor COIs'!$F$4:$F$503,(_calc!$E$405-500)))=0,"",INDEX('Vendor COIs'!$F$4:$F$503,(_calc!$E$405-500))))=0,"","Meets minimum: "&amp;IF(LEN(INDEX('Vendor COIs'!$F$4:$F$503,(_calc!$E$405-500)))=0,"",INDEX('Vendor COIs'!$F$4:$F$503,(_calc!$E$405-500)))&amp;". ")&amp;IF(LEN(IF(LEN(INDEX('Vendor COIs'!$G$4:$G$503,(_calc!$E$405-500)))=0,"",INDEX('Vendor COIs'!$G$4:$G$503,(_calc!$E$405-500))))=0,"","Additional insured: "&amp;IF(LEN(INDEX('Vendor COIs'!$G$4:$G$503,(_calc!$E$405-500)))=0,"",INDEX('Vendor COIs'!$G$4:$G$503,(_calc!$E$405-500)))&amp;". ")&amp;IF(LEN(IF(LEN(INDEX('Vendor COIs'!$M$4:$M$503,(_calc!$E$405-500)))=0,"",INDEX('Vendor COIs'!$M$4:$M$503,(_calc!$E$405-500))))=0,"","Vendor contact: "&amp;IF(LEN(INDEX('Vendor COIs'!$M$4:$M$503,(_calc!$E$405-500)))=0,"",INDEX('Vendor COIs'!$M$4:$M$503,(_calc!$E$405-500)))&amp;". ")&amp;IF(LEN(IF(LEN(INDEX('Vendor COIs'!$P$4:$P$503,(_calc!$E$405-500)))=0,"",INDEX('Vendor COIs'!$P$4:$P$503,(_calc!$E$405-500))))=0,"",IF(LEN(INDEX('Vendor COIs'!$P$4:$P$503,(_calc!$E$405-500)))=0,"",INDEX('Vendor COIs'!$P$4:$P$503,(_calc!$E$405-500)))))))</f>
        <v/>
      </c>
      <c r="G403" s="46">
        <f>IF(_calc!$E$405="","",IF(_calc!$E$405&lt;=500,IF(LEN(INDEX('Our policies'!$R$4:$R$503,_calc!$E$405))=0,"",INDEX('Our policies'!$R$4:$R$503,_calc!$E$405)),IF(LEN(INDEX('Vendor COIs'!$O$4:$O$503,(_calc!$E$405-500)))=0,"",INDEX('Vendor COIs'!$O$4:$O$503,(_calc!$E$405-500)))))</f>
        <v/>
      </c>
      <c r="H403" s="46">
        <f>IF(_calc!$E$405="","",IF(_calc!$E$405&lt;=500,IF(LEN(INDEX('Our policies'!$G$4:$G$503,_calc!$E$405))=0,"",INDEX('Our policies'!$G$4:$G$503,_calc!$E$405)),""))</f>
        <v/>
      </c>
      <c r="I403" s="46">
        <f>IF(_calc!$E$405="","",IF(_calc!$E$405&lt;=500,IF(LEN(INDEX('Our policies'!$H$4:$H$503,_calc!$E$405))=0,"",INDEX('Our policies'!$H$4:$H$503,_calc!$E$405)),""))</f>
        <v/>
      </c>
      <c r="K403" s="46">
        <f>IF(_calc!$E$405="","",IF(_calc!$E$405&lt;=500,IF(LEN(INDEX('Our policies'!$P$4:$P$503,_calc!$E$405))=0,"",INDEX('Our policies'!$P$4:$P$503,_calc!$E$405)),IF(LEN(INDEX('Vendor COIs'!$N$4:$N$503,(_calc!$E$405-500)))=0,"",INDEX('Vendor COIs'!$N$4:$N$503,(_calc!$E$405-500)))))</f>
        <v/>
      </c>
    </row>
    <row r="404">
      <c r="A404" s="46">
        <f>IF(_calc!$E$406="","",IF(_calc!$E$406&lt;=500,IF(LEN(INDEX('Our policies'!$A$4:$A$503,_calc!$E$406))=0,"",INDEX('Our policies'!$A$4:$A$503,_calc!$E$406)),"COI – "&amp;IF(LEN(INDEX('Vendor COIs'!$A$4:$A$503,(_calc!$E$406-500)))=0,"",INDEX('Vendor COIs'!$A$4:$A$503,(_calc!$E$406-500)))&amp;" – "&amp;IF(LEN(INDEX('Vendor COIs'!$B$4:$B$503,(_calc!$E$406-500)))=0,"",INDEX('Vendor COIs'!$B$4:$B$503,(_calc!$E$406-500)))))</f>
        <v/>
      </c>
      <c r="B404" s="46">
        <f>IF(_calc!$E$406="","",IF(_calc!$E$406&lt;=500,IF(ISNUMBER(INDEX('Our policies'!$J$4:$J$503,_calc!$E$406)),TEXT(INDEX('Our policies'!$J$4:$J$503,_calc!$E$406),"yyyy-mm-dd"),""),IF(ISNUMBER(INDEX('Vendor COIs'!$H$4:$H$503,(_calc!$E$406-500))),TEXT(INDEX('Vendor COIs'!$H$4:$H$503,(_calc!$E$406-500)),"yyyy-mm-dd"),"")))</f>
        <v/>
      </c>
      <c r="C404" s="46">
        <f>IF(_calc!$E$406="","",IF(_calc!$E$406&lt;=500,"Insurance","Certificate of insurance"))</f>
        <v/>
      </c>
      <c r="D404" s="46">
        <f>IF(_calc!$E$406="","",IF(_calc!$E$406&lt;=500,IF(ISNUMBER(INDEX('Our policies'!$I$4:$I$503,_calc!$E$406)),TEXT(INDEX('Our policies'!$I$4:$I$503,_calc!$E$406),"yyyy-mm-dd"),""),""))</f>
        <v/>
      </c>
      <c r="E404" s="46">
        <f>IF(_calc!$E$406="","",IF(_calc!$E$406&lt;=500,IF(LEN(INDEX('Our policies'!$Q$4:$Q$503,_calc!$E$406))=0,"",INDEX('Our policies'!$Q$4:$Q$503,_calc!$E$406)),"Medium"))</f>
        <v/>
      </c>
      <c r="F404" s="46">
        <f>IF(_calc!$E$406="","",IF(_calc!$E$406&lt;=500,TRIM(IF(LEN(IF(LEN(INDEX('Our policies'!$B$4:$B$503,_calc!$E$406))=0,"",INDEX('Our policies'!$B$4:$B$503,_calc!$E$406)))=0,"","Cover: "&amp;IF(LEN(INDEX('Our policies'!$B$4:$B$503,_calc!$E$406))=0,"",INDEX('Our policies'!$B$4:$B$503,_calc!$E$406))&amp;". ")&amp;IF(LEN(IF(LEN(INDEX('Our policies'!$C$4:$C$503,_calc!$E$406))=0,"",INDEX('Our policies'!$C$4:$C$503,_calc!$E$406)))=0,"","Insurer: "&amp;IF(LEN(INDEX('Our policies'!$C$4:$C$503,_calc!$E$406))=0,"",INDEX('Our policies'!$C$4:$C$503,_calc!$E$406))&amp;". ")&amp;IF(LEN(IF(LEN(INDEX('Our policies'!$D$4:$D$503,_calc!$E$406))=0,"",INDEX('Our policies'!$D$4:$D$503,_calc!$E$406)))=0,"","Broker: "&amp;IF(LEN(INDEX('Our policies'!$D$4:$D$503,_calc!$E$406))=0,"",INDEX('Our policies'!$D$4:$D$503,_calc!$E$406))&amp;". ")&amp;IF(LEN(IF(LEN(INDEX('Our policies'!$E$4:$E$503,_calc!$E$406))=0,"",INDEX('Our policies'!$E$4:$E$503,_calc!$E$406)))=0,"","Policy no.: "&amp;IF(LEN(INDEX('Our policies'!$E$4:$E$503,_calc!$E$406))=0,"",INDEX('Our policies'!$E$4:$E$503,_calc!$E$406))&amp;". ")&amp;IF(LEN(IF(LEN(INDEX('Our policies'!$S$4:$S$503,_calc!$E$406))=0,"",INDEX('Our policies'!$S$4:$S$503,_calc!$E$406)))=0,"",IF(LEN(INDEX('Our policies'!$S$4:$S$503,_calc!$E$406))=0,"",INDEX('Our policies'!$S$4:$S$503,_calc!$E$406)))),TRIM(IF(LEN(IF(LEN(INDEX('Vendor COIs'!$C$4:$C$503,(_calc!$E$406-500)))=0,"",INDEX('Vendor COIs'!$C$4:$C$503,(_calc!$E$406-500))))=0,"","Insurer: "&amp;IF(LEN(INDEX('Vendor COIs'!$C$4:$C$503,(_calc!$E$406-500)))=0,"",INDEX('Vendor COIs'!$C$4:$C$503,(_calc!$E$406-500)))&amp;". ")&amp;IF(LEN(IF(LEN(INDEX('Vendor COIs'!$D$4:$D$503,(_calc!$E$406-500)))=0,"",INDEX('Vendor COIs'!$D$4:$D$503,(_calc!$E$406-500))))=0,"","Policy no.: "&amp;IF(LEN(INDEX('Vendor COIs'!$D$4:$D$503,(_calc!$E$406-500)))=0,"",INDEX('Vendor COIs'!$D$4:$D$503,(_calc!$E$406-500)))&amp;". ")&amp;IF(LEN(IF(LEN(INDEX('Vendor COIs'!$F$4:$F$503,(_calc!$E$406-500)))=0,"",INDEX('Vendor COIs'!$F$4:$F$503,(_calc!$E$406-500))))=0,"","Meets minimum: "&amp;IF(LEN(INDEX('Vendor COIs'!$F$4:$F$503,(_calc!$E$406-500)))=0,"",INDEX('Vendor COIs'!$F$4:$F$503,(_calc!$E$406-500)))&amp;". ")&amp;IF(LEN(IF(LEN(INDEX('Vendor COIs'!$G$4:$G$503,(_calc!$E$406-500)))=0,"",INDEX('Vendor COIs'!$G$4:$G$503,(_calc!$E$406-500))))=0,"","Additional insured: "&amp;IF(LEN(INDEX('Vendor COIs'!$G$4:$G$503,(_calc!$E$406-500)))=0,"",INDEX('Vendor COIs'!$G$4:$G$503,(_calc!$E$406-500)))&amp;". ")&amp;IF(LEN(IF(LEN(INDEX('Vendor COIs'!$M$4:$M$503,(_calc!$E$406-500)))=0,"",INDEX('Vendor COIs'!$M$4:$M$503,(_calc!$E$406-500))))=0,"","Vendor contact: "&amp;IF(LEN(INDEX('Vendor COIs'!$M$4:$M$503,(_calc!$E$406-500)))=0,"",INDEX('Vendor COIs'!$M$4:$M$503,(_calc!$E$406-500)))&amp;". ")&amp;IF(LEN(IF(LEN(INDEX('Vendor COIs'!$P$4:$P$503,(_calc!$E$406-500)))=0,"",INDEX('Vendor COIs'!$P$4:$P$503,(_calc!$E$406-500))))=0,"",IF(LEN(INDEX('Vendor COIs'!$P$4:$P$503,(_calc!$E$406-500)))=0,"",INDEX('Vendor COIs'!$P$4:$P$503,(_calc!$E$406-500)))))))</f>
        <v/>
      </c>
      <c r="G404" s="46">
        <f>IF(_calc!$E$406="","",IF(_calc!$E$406&lt;=500,IF(LEN(INDEX('Our policies'!$R$4:$R$503,_calc!$E$406))=0,"",INDEX('Our policies'!$R$4:$R$503,_calc!$E$406)),IF(LEN(INDEX('Vendor COIs'!$O$4:$O$503,(_calc!$E$406-500)))=0,"",INDEX('Vendor COIs'!$O$4:$O$503,(_calc!$E$406-500)))))</f>
        <v/>
      </c>
      <c r="H404" s="46">
        <f>IF(_calc!$E$406="","",IF(_calc!$E$406&lt;=500,IF(LEN(INDEX('Our policies'!$G$4:$G$503,_calc!$E$406))=0,"",INDEX('Our policies'!$G$4:$G$503,_calc!$E$406)),""))</f>
        <v/>
      </c>
      <c r="I404" s="46">
        <f>IF(_calc!$E$406="","",IF(_calc!$E$406&lt;=500,IF(LEN(INDEX('Our policies'!$H$4:$H$503,_calc!$E$406))=0,"",INDEX('Our policies'!$H$4:$H$503,_calc!$E$406)),""))</f>
        <v/>
      </c>
      <c r="K404" s="46">
        <f>IF(_calc!$E$406="","",IF(_calc!$E$406&lt;=500,IF(LEN(INDEX('Our policies'!$P$4:$P$503,_calc!$E$406))=0,"",INDEX('Our policies'!$P$4:$P$503,_calc!$E$406)),IF(LEN(INDEX('Vendor COIs'!$N$4:$N$503,(_calc!$E$406-500)))=0,"",INDEX('Vendor COIs'!$N$4:$N$503,(_calc!$E$406-500)))))</f>
        <v/>
      </c>
    </row>
    <row r="405">
      <c r="A405" s="46">
        <f>IF(_calc!$E$407="","",IF(_calc!$E$407&lt;=500,IF(LEN(INDEX('Our policies'!$A$4:$A$503,_calc!$E$407))=0,"",INDEX('Our policies'!$A$4:$A$503,_calc!$E$407)),"COI – "&amp;IF(LEN(INDEX('Vendor COIs'!$A$4:$A$503,(_calc!$E$407-500)))=0,"",INDEX('Vendor COIs'!$A$4:$A$503,(_calc!$E$407-500)))&amp;" – "&amp;IF(LEN(INDEX('Vendor COIs'!$B$4:$B$503,(_calc!$E$407-500)))=0,"",INDEX('Vendor COIs'!$B$4:$B$503,(_calc!$E$407-500)))))</f>
        <v/>
      </c>
      <c r="B405" s="46">
        <f>IF(_calc!$E$407="","",IF(_calc!$E$407&lt;=500,IF(ISNUMBER(INDEX('Our policies'!$J$4:$J$503,_calc!$E$407)),TEXT(INDEX('Our policies'!$J$4:$J$503,_calc!$E$407),"yyyy-mm-dd"),""),IF(ISNUMBER(INDEX('Vendor COIs'!$H$4:$H$503,(_calc!$E$407-500))),TEXT(INDEX('Vendor COIs'!$H$4:$H$503,(_calc!$E$407-500)),"yyyy-mm-dd"),"")))</f>
        <v/>
      </c>
      <c r="C405" s="46">
        <f>IF(_calc!$E$407="","",IF(_calc!$E$407&lt;=500,"Insurance","Certificate of insurance"))</f>
        <v/>
      </c>
      <c r="D405" s="46">
        <f>IF(_calc!$E$407="","",IF(_calc!$E$407&lt;=500,IF(ISNUMBER(INDEX('Our policies'!$I$4:$I$503,_calc!$E$407)),TEXT(INDEX('Our policies'!$I$4:$I$503,_calc!$E$407),"yyyy-mm-dd"),""),""))</f>
        <v/>
      </c>
      <c r="E405" s="46">
        <f>IF(_calc!$E$407="","",IF(_calc!$E$407&lt;=500,IF(LEN(INDEX('Our policies'!$Q$4:$Q$503,_calc!$E$407))=0,"",INDEX('Our policies'!$Q$4:$Q$503,_calc!$E$407)),"Medium"))</f>
        <v/>
      </c>
      <c r="F405" s="46">
        <f>IF(_calc!$E$407="","",IF(_calc!$E$407&lt;=500,TRIM(IF(LEN(IF(LEN(INDEX('Our policies'!$B$4:$B$503,_calc!$E$407))=0,"",INDEX('Our policies'!$B$4:$B$503,_calc!$E$407)))=0,"","Cover: "&amp;IF(LEN(INDEX('Our policies'!$B$4:$B$503,_calc!$E$407))=0,"",INDEX('Our policies'!$B$4:$B$503,_calc!$E$407))&amp;". ")&amp;IF(LEN(IF(LEN(INDEX('Our policies'!$C$4:$C$503,_calc!$E$407))=0,"",INDEX('Our policies'!$C$4:$C$503,_calc!$E$407)))=0,"","Insurer: "&amp;IF(LEN(INDEX('Our policies'!$C$4:$C$503,_calc!$E$407))=0,"",INDEX('Our policies'!$C$4:$C$503,_calc!$E$407))&amp;". ")&amp;IF(LEN(IF(LEN(INDEX('Our policies'!$D$4:$D$503,_calc!$E$407))=0,"",INDEX('Our policies'!$D$4:$D$503,_calc!$E$407)))=0,"","Broker: "&amp;IF(LEN(INDEX('Our policies'!$D$4:$D$503,_calc!$E$407))=0,"",INDEX('Our policies'!$D$4:$D$503,_calc!$E$407))&amp;". ")&amp;IF(LEN(IF(LEN(INDEX('Our policies'!$E$4:$E$503,_calc!$E$407))=0,"",INDEX('Our policies'!$E$4:$E$503,_calc!$E$407)))=0,"","Policy no.: "&amp;IF(LEN(INDEX('Our policies'!$E$4:$E$503,_calc!$E$407))=0,"",INDEX('Our policies'!$E$4:$E$503,_calc!$E$407))&amp;". ")&amp;IF(LEN(IF(LEN(INDEX('Our policies'!$S$4:$S$503,_calc!$E$407))=0,"",INDEX('Our policies'!$S$4:$S$503,_calc!$E$407)))=0,"",IF(LEN(INDEX('Our policies'!$S$4:$S$503,_calc!$E$407))=0,"",INDEX('Our policies'!$S$4:$S$503,_calc!$E$407)))),TRIM(IF(LEN(IF(LEN(INDEX('Vendor COIs'!$C$4:$C$503,(_calc!$E$407-500)))=0,"",INDEX('Vendor COIs'!$C$4:$C$503,(_calc!$E$407-500))))=0,"","Insurer: "&amp;IF(LEN(INDEX('Vendor COIs'!$C$4:$C$503,(_calc!$E$407-500)))=0,"",INDEX('Vendor COIs'!$C$4:$C$503,(_calc!$E$407-500)))&amp;". ")&amp;IF(LEN(IF(LEN(INDEX('Vendor COIs'!$D$4:$D$503,(_calc!$E$407-500)))=0,"",INDEX('Vendor COIs'!$D$4:$D$503,(_calc!$E$407-500))))=0,"","Policy no.: "&amp;IF(LEN(INDEX('Vendor COIs'!$D$4:$D$503,(_calc!$E$407-500)))=0,"",INDEX('Vendor COIs'!$D$4:$D$503,(_calc!$E$407-500)))&amp;". ")&amp;IF(LEN(IF(LEN(INDEX('Vendor COIs'!$F$4:$F$503,(_calc!$E$407-500)))=0,"",INDEX('Vendor COIs'!$F$4:$F$503,(_calc!$E$407-500))))=0,"","Meets minimum: "&amp;IF(LEN(INDEX('Vendor COIs'!$F$4:$F$503,(_calc!$E$407-500)))=0,"",INDEX('Vendor COIs'!$F$4:$F$503,(_calc!$E$407-500)))&amp;". ")&amp;IF(LEN(IF(LEN(INDEX('Vendor COIs'!$G$4:$G$503,(_calc!$E$407-500)))=0,"",INDEX('Vendor COIs'!$G$4:$G$503,(_calc!$E$407-500))))=0,"","Additional insured: "&amp;IF(LEN(INDEX('Vendor COIs'!$G$4:$G$503,(_calc!$E$407-500)))=0,"",INDEX('Vendor COIs'!$G$4:$G$503,(_calc!$E$407-500)))&amp;". ")&amp;IF(LEN(IF(LEN(INDEX('Vendor COIs'!$M$4:$M$503,(_calc!$E$407-500)))=0,"",INDEX('Vendor COIs'!$M$4:$M$503,(_calc!$E$407-500))))=0,"","Vendor contact: "&amp;IF(LEN(INDEX('Vendor COIs'!$M$4:$M$503,(_calc!$E$407-500)))=0,"",INDEX('Vendor COIs'!$M$4:$M$503,(_calc!$E$407-500)))&amp;". ")&amp;IF(LEN(IF(LEN(INDEX('Vendor COIs'!$P$4:$P$503,(_calc!$E$407-500)))=0,"",INDEX('Vendor COIs'!$P$4:$P$503,(_calc!$E$407-500))))=0,"",IF(LEN(INDEX('Vendor COIs'!$P$4:$P$503,(_calc!$E$407-500)))=0,"",INDEX('Vendor COIs'!$P$4:$P$503,(_calc!$E$407-500)))))))</f>
        <v/>
      </c>
      <c r="G405" s="46">
        <f>IF(_calc!$E$407="","",IF(_calc!$E$407&lt;=500,IF(LEN(INDEX('Our policies'!$R$4:$R$503,_calc!$E$407))=0,"",INDEX('Our policies'!$R$4:$R$503,_calc!$E$407)),IF(LEN(INDEX('Vendor COIs'!$O$4:$O$503,(_calc!$E$407-500)))=0,"",INDEX('Vendor COIs'!$O$4:$O$503,(_calc!$E$407-500)))))</f>
        <v/>
      </c>
      <c r="H405" s="46">
        <f>IF(_calc!$E$407="","",IF(_calc!$E$407&lt;=500,IF(LEN(INDEX('Our policies'!$G$4:$G$503,_calc!$E$407))=0,"",INDEX('Our policies'!$G$4:$G$503,_calc!$E$407)),""))</f>
        <v/>
      </c>
      <c r="I405" s="46">
        <f>IF(_calc!$E$407="","",IF(_calc!$E$407&lt;=500,IF(LEN(INDEX('Our policies'!$H$4:$H$503,_calc!$E$407))=0,"",INDEX('Our policies'!$H$4:$H$503,_calc!$E$407)),""))</f>
        <v/>
      </c>
      <c r="K405" s="46">
        <f>IF(_calc!$E$407="","",IF(_calc!$E$407&lt;=500,IF(LEN(INDEX('Our policies'!$P$4:$P$503,_calc!$E$407))=0,"",INDEX('Our policies'!$P$4:$P$503,_calc!$E$407)),IF(LEN(INDEX('Vendor COIs'!$N$4:$N$503,(_calc!$E$407-500)))=0,"",INDEX('Vendor COIs'!$N$4:$N$503,(_calc!$E$407-500)))))</f>
        <v/>
      </c>
    </row>
    <row r="406">
      <c r="A406" s="46">
        <f>IF(_calc!$E$408="","",IF(_calc!$E$408&lt;=500,IF(LEN(INDEX('Our policies'!$A$4:$A$503,_calc!$E$408))=0,"",INDEX('Our policies'!$A$4:$A$503,_calc!$E$408)),"COI – "&amp;IF(LEN(INDEX('Vendor COIs'!$A$4:$A$503,(_calc!$E$408-500)))=0,"",INDEX('Vendor COIs'!$A$4:$A$503,(_calc!$E$408-500)))&amp;" – "&amp;IF(LEN(INDEX('Vendor COIs'!$B$4:$B$503,(_calc!$E$408-500)))=0,"",INDEX('Vendor COIs'!$B$4:$B$503,(_calc!$E$408-500)))))</f>
        <v/>
      </c>
      <c r="B406" s="46">
        <f>IF(_calc!$E$408="","",IF(_calc!$E$408&lt;=500,IF(ISNUMBER(INDEX('Our policies'!$J$4:$J$503,_calc!$E$408)),TEXT(INDEX('Our policies'!$J$4:$J$503,_calc!$E$408),"yyyy-mm-dd"),""),IF(ISNUMBER(INDEX('Vendor COIs'!$H$4:$H$503,(_calc!$E$408-500))),TEXT(INDEX('Vendor COIs'!$H$4:$H$503,(_calc!$E$408-500)),"yyyy-mm-dd"),"")))</f>
        <v/>
      </c>
      <c r="C406" s="46">
        <f>IF(_calc!$E$408="","",IF(_calc!$E$408&lt;=500,"Insurance","Certificate of insurance"))</f>
        <v/>
      </c>
      <c r="D406" s="46">
        <f>IF(_calc!$E$408="","",IF(_calc!$E$408&lt;=500,IF(ISNUMBER(INDEX('Our policies'!$I$4:$I$503,_calc!$E$408)),TEXT(INDEX('Our policies'!$I$4:$I$503,_calc!$E$408),"yyyy-mm-dd"),""),""))</f>
        <v/>
      </c>
      <c r="E406" s="46">
        <f>IF(_calc!$E$408="","",IF(_calc!$E$408&lt;=500,IF(LEN(INDEX('Our policies'!$Q$4:$Q$503,_calc!$E$408))=0,"",INDEX('Our policies'!$Q$4:$Q$503,_calc!$E$408)),"Medium"))</f>
        <v/>
      </c>
      <c r="F406" s="46">
        <f>IF(_calc!$E$408="","",IF(_calc!$E$408&lt;=500,TRIM(IF(LEN(IF(LEN(INDEX('Our policies'!$B$4:$B$503,_calc!$E$408))=0,"",INDEX('Our policies'!$B$4:$B$503,_calc!$E$408)))=0,"","Cover: "&amp;IF(LEN(INDEX('Our policies'!$B$4:$B$503,_calc!$E$408))=0,"",INDEX('Our policies'!$B$4:$B$503,_calc!$E$408))&amp;". ")&amp;IF(LEN(IF(LEN(INDEX('Our policies'!$C$4:$C$503,_calc!$E$408))=0,"",INDEX('Our policies'!$C$4:$C$503,_calc!$E$408)))=0,"","Insurer: "&amp;IF(LEN(INDEX('Our policies'!$C$4:$C$503,_calc!$E$408))=0,"",INDEX('Our policies'!$C$4:$C$503,_calc!$E$408))&amp;". ")&amp;IF(LEN(IF(LEN(INDEX('Our policies'!$D$4:$D$503,_calc!$E$408))=0,"",INDEX('Our policies'!$D$4:$D$503,_calc!$E$408)))=0,"","Broker: "&amp;IF(LEN(INDEX('Our policies'!$D$4:$D$503,_calc!$E$408))=0,"",INDEX('Our policies'!$D$4:$D$503,_calc!$E$408))&amp;". ")&amp;IF(LEN(IF(LEN(INDEX('Our policies'!$E$4:$E$503,_calc!$E$408))=0,"",INDEX('Our policies'!$E$4:$E$503,_calc!$E$408)))=0,"","Policy no.: "&amp;IF(LEN(INDEX('Our policies'!$E$4:$E$503,_calc!$E$408))=0,"",INDEX('Our policies'!$E$4:$E$503,_calc!$E$408))&amp;". ")&amp;IF(LEN(IF(LEN(INDEX('Our policies'!$S$4:$S$503,_calc!$E$408))=0,"",INDEX('Our policies'!$S$4:$S$503,_calc!$E$408)))=0,"",IF(LEN(INDEX('Our policies'!$S$4:$S$503,_calc!$E$408))=0,"",INDEX('Our policies'!$S$4:$S$503,_calc!$E$408)))),TRIM(IF(LEN(IF(LEN(INDEX('Vendor COIs'!$C$4:$C$503,(_calc!$E$408-500)))=0,"",INDEX('Vendor COIs'!$C$4:$C$503,(_calc!$E$408-500))))=0,"","Insurer: "&amp;IF(LEN(INDEX('Vendor COIs'!$C$4:$C$503,(_calc!$E$408-500)))=0,"",INDEX('Vendor COIs'!$C$4:$C$503,(_calc!$E$408-500)))&amp;". ")&amp;IF(LEN(IF(LEN(INDEX('Vendor COIs'!$D$4:$D$503,(_calc!$E$408-500)))=0,"",INDEX('Vendor COIs'!$D$4:$D$503,(_calc!$E$408-500))))=0,"","Policy no.: "&amp;IF(LEN(INDEX('Vendor COIs'!$D$4:$D$503,(_calc!$E$408-500)))=0,"",INDEX('Vendor COIs'!$D$4:$D$503,(_calc!$E$408-500)))&amp;". ")&amp;IF(LEN(IF(LEN(INDEX('Vendor COIs'!$F$4:$F$503,(_calc!$E$408-500)))=0,"",INDEX('Vendor COIs'!$F$4:$F$503,(_calc!$E$408-500))))=0,"","Meets minimum: "&amp;IF(LEN(INDEX('Vendor COIs'!$F$4:$F$503,(_calc!$E$408-500)))=0,"",INDEX('Vendor COIs'!$F$4:$F$503,(_calc!$E$408-500)))&amp;". ")&amp;IF(LEN(IF(LEN(INDEX('Vendor COIs'!$G$4:$G$503,(_calc!$E$408-500)))=0,"",INDEX('Vendor COIs'!$G$4:$G$503,(_calc!$E$408-500))))=0,"","Additional insured: "&amp;IF(LEN(INDEX('Vendor COIs'!$G$4:$G$503,(_calc!$E$408-500)))=0,"",INDEX('Vendor COIs'!$G$4:$G$503,(_calc!$E$408-500)))&amp;". ")&amp;IF(LEN(IF(LEN(INDEX('Vendor COIs'!$M$4:$M$503,(_calc!$E$408-500)))=0,"",INDEX('Vendor COIs'!$M$4:$M$503,(_calc!$E$408-500))))=0,"","Vendor contact: "&amp;IF(LEN(INDEX('Vendor COIs'!$M$4:$M$503,(_calc!$E$408-500)))=0,"",INDEX('Vendor COIs'!$M$4:$M$503,(_calc!$E$408-500)))&amp;". ")&amp;IF(LEN(IF(LEN(INDEX('Vendor COIs'!$P$4:$P$503,(_calc!$E$408-500)))=0,"",INDEX('Vendor COIs'!$P$4:$P$503,(_calc!$E$408-500))))=0,"",IF(LEN(INDEX('Vendor COIs'!$P$4:$P$503,(_calc!$E$408-500)))=0,"",INDEX('Vendor COIs'!$P$4:$P$503,(_calc!$E$408-500)))))))</f>
        <v/>
      </c>
      <c r="G406" s="46">
        <f>IF(_calc!$E$408="","",IF(_calc!$E$408&lt;=500,IF(LEN(INDEX('Our policies'!$R$4:$R$503,_calc!$E$408))=0,"",INDEX('Our policies'!$R$4:$R$503,_calc!$E$408)),IF(LEN(INDEX('Vendor COIs'!$O$4:$O$503,(_calc!$E$408-500)))=0,"",INDEX('Vendor COIs'!$O$4:$O$503,(_calc!$E$408-500)))))</f>
        <v/>
      </c>
      <c r="H406" s="46">
        <f>IF(_calc!$E$408="","",IF(_calc!$E$408&lt;=500,IF(LEN(INDEX('Our policies'!$G$4:$G$503,_calc!$E$408))=0,"",INDEX('Our policies'!$G$4:$G$503,_calc!$E$408)),""))</f>
        <v/>
      </c>
      <c r="I406" s="46">
        <f>IF(_calc!$E$408="","",IF(_calc!$E$408&lt;=500,IF(LEN(INDEX('Our policies'!$H$4:$H$503,_calc!$E$408))=0,"",INDEX('Our policies'!$H$4:$H$503,_calc!$E$408)),""))</f>
        <v/>
      </c>
      <c r="K406" s="46">
        <f>IF(_calc!$E$408="","",IF(_calc!$E$408&lt;=500,IF(LEN(INDEX('Our policies'!$P$4:$P$503,_calc!$E$408))=0,"",INDEX('Our policies'!$P$4:$P$503,_calc!$E$408)),IF(LEN(INDEX('Vendor COIs'!$N$4:$N$503,(_calc!$E$408-500)))=0,"",INDEX('Vendor COIs'!$N$4:$N$503,(_calc!$E$408-500)))))</f>
        <v/>
      </c>
    </row>
    <row r="407">
      <c r="A407" s="46">
        <f>IF(_calc!$E$409="","",IF(_calc!$E$409&lt;=500,IF(LEN(INDEX('Our policies'!$A$4:$A$503,_calc!$E$409))=0,"",INDEX('Our policies'!$A$4:$A$503,_calc!$E$409)),"COI – "&amp;IF(LEN(INDEX('Vendor COIs'!$A$4:$A$503,(_calc!$E$409-500)))=0,"",INDEX('Vendor COIs'!$A$4:$A$503,(_calc!$E$409-500)))&amp;" – "&amp;IF(LEN(INDEX('Vendor COIs'!$B$4:$B$503,(_calc!$E$409-500)))=0,"",INDEX('Vendor COIs'!$B$4:$B$503,(_calc!$E$409-500)))))</f>
        <v/>
      </c>
      <c r="B407" s="46">
        <f>IF(_calc!$E$409="","",IF(_calc!$E$409&lt;=500,IF(ISNUMBER(INDEX('Our policies'!$J$4:$J$503,_calc!$E$409)),TEXT(INDEX('Our policies'!$J$4:$J$503,_calc!$E$409),"yyyy-mm-dd"),""),IF(ISNUMBER(INDEX('Vendor COIs'!$H$4:$H$503,(_calc!$E$409-500))),TEXT(INDEX('Vendor COIs'!$H$4:$H$503,(_calc!$E$409-500)),"yyyy-mm-dd"),"")))</f>
        <v/>
      </c>
      <c r="C407" s="46">
        <f>IF(_calc!$E$409="","",IF(_calc!$E$409&lt;=500,"Insurance","Certificate of insurance"))</f>
        <v/>
      </c>
      <c r="D407" s="46">
        <f>IF(_calc!$E$409="","",IF(_calc!$E$409&lt;=500,IF(ISNUMBER(INDEX('Our policies'!$I$4:$I$503,_calc!$E$409)),TEXT(INDEX('Our policies'!$I$4:$I$503,_calc!$E$409),"yyyy-mm-dd"),""),""))</f>
        <v/>
      </c>
      <c r="E407" s="46">
        <f>IF(_calc!$E$409="","",IF(_calc!$E$409&lt;=500,IF(LEN(INDEX('Our policies'!$Q$4:$Q$503,_calc!$E$409))=0,"",INDEX('Our policies'!$Q$4:$Q$503,_calc!$E$409)),"Medium"))</f>
        <v/>
      </c>
      <c r="F407" s="46">
        <f>IF(_calc!$E$409="","",IF(_calc!$E$409&lt;=500,TRIM(IF(LEN(IF(LEN(INDEX('Our policies'!$B$4:$B$503,_calc!$E$409))=0,"",INDEX('Our policies'!$B$4:$B$503,_calc!$E$409)))=0,"","Cover: "&amp;IF(LEN(INDEX('Our policies'!$B$4:$B$503,_calc!$E$409))=0,"",INDEX('Our policies'!$B$4:$B$503,_calc!$E$409))&amp;". ")&amp;IF(LEN(IF(LEN(INDEX('Our policies'!$C$4:$C$503,_calc!$E$409))=0,"",INDEX('Our policies'!$C$4:$C$503,_calc!$E$409)))=0,"","Insurer: "&amp;IF(LEN(INDEX('Our policies'!$C$4:$C$503,_calc!$E$409))=0,"",INDEX('Our policies'!$C$4:$C$503,_calc!$E$409))&amp;". ")&amp;IF(LEN(IF(LEN(INDEX('Our policies'!$D$4:$D$503,_calc!$E$409))=0,"",INDEX('Our policies'!$D$4:$D$503,_calc!$E$409)))=0,"","Broker: "&amp;IF(LEN(INDEX('Our policies'!$D$4:$D$503,_calc!$E$409))=0,"",INDEX('Our policies'!$D$4:$D$503,_calc!$E$409))&amp;". ")&amp;IF(LEN(IF(LEN(INDEX('Our policies'!$E$4:$E$503,_calc!$E$409))=0,"",INDEX('Our policies'!$E$4:$E$503,_calc!$E$409)))=0,"","Policy no.: "&amp;IF(LEN(INDEX('Our policies'!$E$4:$E$503,_calc!$E$409))=0,"",INDEX('Our policies'!$E$4:$E$503,_calc!$E$409))&amp;". ")&amp;IF(LEN(IF(LEN(INDEX('Our policies'!$S$4:$S$503,_calc!$E$409))=0,"",INDEX('Our policies'!$S$4:$S$503,_calc!$E$409)))=0,"",IF(LEN(INDEX('Our policies'!$S$4:$S$503,_calc!$E$409))=0,"",INDEX('Our policies'!$S$4:$S$503,_calc!$E$409)))),TRIM(IF(LEN(IF(LEN(INDEX('Vendor COIs'!$C$4:$C$503,(_calc!$E$409-500)))=0,"",INDEX('Vendor COIs'!$C$4:$C$503,(_calc!$E$409-500))))=0,"","Insurer: "&amp;IF(LEN(INDEX('Vendor COIs'!$C$4:$C$503,(_calc!$E$409-500)))=0,"",INDEX('Vendor COIs'!$C$4:$C$503,(_calc!$E$409-500)))&amp;". ")&amp;IF(LEN(IF(LEN(INDEX('Vendor COIs'!$D$4:$D$503,(_calc!$E$409-500)))=0,"",INDEX('Vendor COIs'!$D$4:$D$503,(_calc!$E$409-500))))=0,"","Policy no.: "&amp;IF(LEN(INDEX('Vendor COIs'!$D$4:$D$503,(_calc!$E$409-500)))=0,"",INDEX('Vendor COIs'!$D$4:$D$503,(_calc!$E$409-500)))&amp;". ")&amp;IF(LEN(IF(LEN(INDEX('Vendor COIs'!$F$4:$F$503,(_calc!$E$409-500)))=0,"",INDEX('Vendor COIs'!$F$4:$F$503,(_calc!$E$409-500))))=0,"","Meets minimum: "&amp;IF(LEN(INDEX('Vendor COIs'!$F$4:$F$503,(_calc!$E$409-500)))=0,"",INDEX('Vendor COIs'!$F$4:$F$503,(_calc!$E$409-500)))&amp;". ")&amp;IF(LEN(IF(LEN(INDEX('Vendor COIs'!$G$4:$G$503,(_calc!$E$409-500)))=0,"",INDEX('Vendor COIs'!$G$4:$G$503,(_calc!$E$409-500))))=0,"","Additional insured: "&amp;IF(LEN(INDEX('Vendor COIs'!$G$4:$G$503,(_calc!$E$409-500)))=0,"",INDEX('Vendor COIs'!$G$4:$G$503,(_calc!$E$409-500)))&amp;". ")&amp;IF(LEN(IF(LEN(INDEX('Vendor COIs'!$M$4:$M$503,(_calc!$E$409-500)))=0,"",INDEX('Vendor COIs'!$M$4:$M$503,(_calc!$E$409-500))))=0,"","Vendor contact: "&amp;IF(LEN(INDEX('Vendor COIs'!$M$4:$M$503,(_calc!$E$409-500)))=0,"",INDEX('Vendor COIs'!$M$4:$M$503,(_calc!$E$409-500)))&amp;". ")&amp;IF(LEN(IF(LEN(INDEX('Vendor COIs'!$P$4:$P$503,(_calc!$E$409-500)))=0,"",INDEX('Vendor COIs'!$P$4:$P$503,(_calc!$E$409-500))))=0,"",IF(LEN(INDEX('Vendor COIs'!$P$4:$P$503,(_calc!$E$409-500)))=0,"",INDEX('Vendor COIs'!$P$4:$P$503,(_calc!$E$409-500)))))))</f>
        <v/>
      </c>
      <c r="G407" s="46">
        <f>IF(_calc!$E$409="","",IF(_calc!$E$409&lt;=500,IF(LEN(INDEX('Our policies'!$R$4:$R$503,_calc!$E$409))=0,"",INDEX('Our policies'!$R$4:$R$503,_calc!$E$409)),IF(LEN(INDEX('Vendor COIs'!$O$4:$O$503,(_calc!$E$409-500)))=0,"",INDEX('Vendor COIs'!$O$4:$O$503,(_calc!$E$409-500)))))</f>
        <v/>
      </c>
      <c r="H407" s="46">
        <f>IF(_calc!$E$409="","",IF(_calc!$E$409&lt;=500,IF(LEN(INDEX('Our policies'!$G$4:$G$503,_calc!$E$409))=0,"",INDEX('Our policies'!$G$4:$G$503,_calc!$E$409)),""))</f>
        <v/>
      </c>
      <c r="I407" s="46">
        <f>IF(_calc!$E$409="","",IF(_calc!$E$409&lt;=500,IF(LEN(INDEX('Our policies'!$H$4:$H$503,_calc!$E$409))=0,"",INDEX('Our policies'!$H$4:$H$503,_calc!$E$409)),""))</f>
        <v/>
      </c>
      <c r="K407" s="46">
        <f>IF(_calc!$E$409="","",IF(_calc!$E$409&lt;=500,IF(LEN(INDEX('Our policies'!$P$4:$P$503,_calc!$E$409))=0,"",INDEX('Our policies'!$P$4:$P$503,_calc!$E$409)),IF(LEN(INDEX('Vendor COIs'!$N$4:$N$503,(_calc!$E$409-500)))=0,"",INDEX('Vendor COIs'!$N$4:$N$503,(_calc!$E$409-500)))))</f>
        <v/>
      </c>
    </row>
    <row r="408">
      <c r="A408" s="46">
        <f>IF(_calc!$E$410="","",IF(_calc!$E$410&lt;=500,IF(LEN(INDEX('Our policies'!$A$4:$A$503,_calc!$E$410))=0,"",INDEX('Our policies'!$A$4:$A$503,_calc!$E$410)),"COI – "&amp;IF(LEN(INDEX('Vendor COIs'!$A$4:$A$503,(_calc!$E$410-500)))=0,"",INDEX('Vendor COIs'!$A$4:$A$503,(_calc!$E$410-500)))&amp;" – "&amp;IF(LEN(INDEX('Vendor COIs'!$B$4:$B$503,(_calc!$E$410-500)))=0,"",INDEX('Vendor COIs'!$B$4:$B$503,(_calc!$E$410-500)))))</f>
        <v/>
      </c>
      <c r="B408" s="46">
        <f>IF(_calc!$E$410="","",IF(_calc!$E$410&lt;=500,IF(ISNUMBER(INDEX('Our policies'!$J$4:$J$503,_calc!$E$410)),TEXT(INDEX('Our policies'!$J$4:$J$503,_calc!$E$410),"yyyy-mm-dd"),""),IF(ISNUMBER(INDEX('Vendor COIs'!$H$4:$H$503,(_calc!$E$410-500))),TEXT(INDEX('Vendor COIs'!$H$4:$H$503,(_calc!$E$410-500)),"yyyy-mm-dd"),"")))</f>
        <v/>
      </c>
      <c r="C408" s="46">
        <f>IF(_calc!$E$410="","",IF(_calc!$E$410&lt;=500,"Insurance","Certificate of insurance"))</f>
        <v/>
      </c>
      <c r="D408" s="46">
        <f>IF(_calc!$E$410="","",IF(_calc!$E$410&lt;=500,IF(ISNUMBER(INDEX('Our policies'!$I$4:$I$503,_calc!$E$410)),TEXT(INDEX('Our policies'!$I$4:$I$503,_calc!$E$410),"yyyy-mm-dd"),""),""))</f>
        <v/>
      </c>
      <c r="E408" s="46">
        <f>IF(_calc!$E$410="","",IF(_calc!$E$410&lt;=500,IF(LEN(INDEX('Our policies'!$Q$4:$Q$503,_calc!$E$410))=0,"",INDEX('Our policies'!$Q$4:$Q$503,_calc!$E$410)),"Medium"))</f>
        <v/>
      </c>
      <c r="F408" s="46">
        <f>IF(_calc!$E$410="","",IF(_calc!$E$410&lt;=500,TRIM(IF(LEN(IF(LEN(INDEX('Our policies'!$B$4:$B$503,_calc!$E$410))=0,"",INDEX('Our policies'!$B$4:$B$503,_calc!$E$410)))=0,"","Cover: "&amp;IF(LEN(INDEX('Our policies'!$B$4:$B$503,_calc!$E$410))=0,"",INDEX('Our policies'!$B$4:$B$503,_calc!$E$410))&amp;". ")&amp;IF(LEN(IF(LEN(INDEX('Our policies'!$C$4:$C$503,_calc!$E$410))=0,"",INDEX('Our policies'!$C$4:$C$503,_calc!$E$410)))=0,"","Insurer: "&amp;IF(LEN(INDEX('Our policies'!$C$4:$C$503,_calc!$E$410))=0,"",INDEX('Our policies'!$C$4:$C$503,_calc!$E$410))&amp;". ")&amp;IF(LEN(IF(LEN(INDEX('Our policies'!$D$4:$D$503,_calc!$E$410))=0,"",INDEX('Our policies'!$D$4:$D$503,_calc!$E$410)))=0,"","Broker: "&amp;IF(LEN(INDEX('Our policies'!$D$4:$D$503,_calc!$E$410))=0,"",INDEX('Our policies'!$D$4:$D$503,_calc!$E$410))&amp;". ")&amp;IF(LEN(IF(LEN(INDEX('Our policies'!$E$4:$E$503,_calc!$E$410))=0,"",INDEX('Our policies'!$E$4:$E$503,_calc!$E$410)))=0,"","Policy no.: "&amp;IF(LEN(INDEX('Our policies'!$E$4:$E$503,_calc!$E$410))=0,"",INDEX('Our policies'!$E$4:$E$503,_calc!$E$410))&amp;". ")&amp;IF(LEN(IF(LEN(INDEX('Our policies'!$S$4:$S$503,_calc!$E$410))=0,"",INDEX('Our policies'!$S$4:$S$503,_calc!$E$410)))=0,"",IF(LEN(INDEX('Our policies'!$S$4:$S$503,_calc!$E$410))=0,"",INDEX('Our policies'!$S$4:$S$503,_calc!$E$410)))),TRIM(IF(LEN(IF(LEN(INDEX('Vendor COIs'!$C$4:$C$503,(_calc!$E$410-500)))=0,"",INDEX('Vendor COIs'!$C$4:$C$503,(_calc!$E$410-500))))=0,"","Insurer: "&amp;IF(LEN(INDEX('Vendor COIs'!$C$4:$C$503,(_calc!$E$410-500)))=0,"",INDEX('Vendor COIs'!$C$4:$C$503,(_calc!$E$410-500)))&amp;". ")&amp;IF(LEN(IF(LEN(INDEX('Vendor COIs'!$D$4:$D$503,(_calc!$E$410-500)))=0,"",INDEX('Vendor COIs'!$D$4:$D$503,(_calc!$E$410-500))))=0,"","Policy no.: "&amp;IF(LEN(INDEX('Vendor COIs'!$D$4:$D$503,(_calc!$E$410-500)))=0,"",INDEX('Vendor COIs'!$D$4:$D$503,(_calc!$E$410-500)))&amp;". ")&amp;IF(LEN(IF(LEN(INDEX('Vendor COIs'!$F$4:$F$503,(_calc!$E$410-500)))=0,"",INDEX('Vendor COIs'!$F$4:$F$503,(_calc!$E$410-500))))=0,"","Meets minimum: "&amp;IF(LEN(INDEX('Vendor COIs'!$F$4:$F$503,(_calc!$E$410-500)))=0,"",INDEX('Vendor COIs'!$F$4:$F$503,(_calc!$E$410-500)))&amp;". ")&amp;IF(LEN(IF(LEN(INDEX('Vendor COIs'!$G$4:$G$503,(_calc!$E$410-500)))=0,"",INDEX('Vendor COIs'!$G$4:$G$503,(_calc!$E$410-500))))=0,"","Additional insured: "&amp;IF(LEN(INDEX('Vendor COIs'!$G$4:$G$503,(_calc!$E$410-500)))=0,"",INDEX('Vendor COIs'!$G$4:$G$503,(_calc!$E$410-500)))&amp;". ")&amp;IF(LEN(IF(LEN(INDEX('Vendor COIs'!$M$4:$M$503,(_calc!$E$410-500)))=0,"",INDEX('Vendor COIs'!$M$4:$M$503,(_calc!$E$410-500))))=0,"","Vendor contact: "&amp;IF(LEN(INDEX('Vendor COIs'!$M$4:$M$503,(_calc!$E$410-500)))=0,"",INDEX('Vendor COIs'!$M$4:$M$503,(_calc!$E$410-500)))&amp;". ")&amp;IF(LEN(IF(LEN(INDEX('Vendor COIs'!$P$4:$P$503,(_calc!$E$410-500)))=0,"",INDEX('Vendor COIs'!$P$4:$P$503,(_calc!$E$410-500))))=0,"",IF(LEN(INDEX('Vendor COIs'!$P$4:$P$503,(_calc!$E$410-500)))=0,"",INDEX('Vendor COIs'!$P$4:$P$503,(_calc!$E$410-500)))))))</f>
        <v/>
      </c>
      <c r="G408" s="46">
        <f>IF(_calc!$E$410="","",IF(_calc!$E$410&lt;=500,IF(LEN(INDEX('Our policies'!$R$4:$R$503,_calc!$E$410))=0,"",INDEX('Our policies'!$R$4:$R$503,_calc!$E$410)),IF(LEN(INDEX('Vendor COIs'!$O$4:$O$503,(_calc!$E$410-500)))=0,"",INDEX('Vendor COIs'!$O$4:$O$503,(_calc!$E$410-500)))))</f>
        <v/>
      </c>
      <c r="H408" s="46">
        <f>IF(_calc!$E$410="","",IF(_calc!$E$410&lt;=500,IF(LEN(INDEX('Our policies'!$G$4:$G$503,_calc!$E$410))=0,"",INDEX('Our policies'!$G$4:$G$503,_calc!$E$410)),""))</f>
        <v/>
      </c>
      <c r="I408" s="46">
        <f>IF(_calc!$E$410="","",IF(_calc!$E$410&lt;=500,IF(LEN(INDEX('Our policies'!$H$4:$H$503,_calc!$E$410))=0,"",INDEX('Our policies'!$H$4:$H$503,_calc!$E$410)),""))</f>
        <v/>
      </c>
      <c r="K408" s="46">
        <f>IF(_calc!$E$410="","",IF(_calc!$E$410&lt;=500,IF(LEN(INDEX('Our policies'!$P$4:$P$503,_calc!$E$410))=0,"",INDEX('Our policies'!$P$4:$P$503,_calc!$E$410)),IF(LEN(INDEX('Vendor COIs'!$N$4:$N$503,(_calc!$E$410-500)))=0,"",INDEX('Vendor COIs'!$N$4:$N$503,(_calc!$E$410-500)))))</f>
        <v/>
      </c>
    </row>
    <row r="409">
      <c r="A409" s="46">
        <f>IF(_calc!$E$411="","",IF(_calc!$E$411&lt;=500,IF(LEN(INDEX('Our policies'!$A$4:$A$503,_calc!$E$411))=0,"",INDEX('Our policies'!$A$4:$A$503,_calc!$E$411)),"COI – "&amp;IF(LEN(INDEX('Vendor COIs'!$A$4:$A$503,(_calc!$E$411-500)))=0,"",INDEX('Vendor COIs'!$A$4:$A$503,(_calc!$E$411-500)))&amp;" – "&amp;IF(LEN(INDEX('Vendor COIs'!$B$4:$B$503,(_calc!$E$411-500)))=0,"",INDEX('Vendor COIs'!$B$4:$B$503,(_calc!$E$411-500)))))</f>
        <v/>
      </c>
      <c r="B409" s="46">
        <f>IF(_calc!$E$411="","",IF(_calc!$E$411&lt;=500,IF(ISNUMBER(INDEX('Our policies'!$J$4:$J$503,_calc!$E$411)),TEXT(INDEX('Our policies'!$J$4:$J$503,_calc!$E$411),"yyyy-mm-dd"),""),IF(ISNUMBER(INDEX('Vendor COIs'!$H$4:$H$503,(_calc!$E$411-500))),TEXT(INDEX('Vendor COIs'!$H$4:$H$503,(_calc!$E$411-500)),"yyyy-mm-dd"),"")))</f>
        <v/>
      </c>
      <c r="C409" s="46">
        <f>IF(_calc!$E$411="","",IF(_calc!$E$411&lt;=500,"Insurance","Certificate of insurance"))</f>
        <v/>
      </c>
      <c r="D409" s="46">
        <f>IF(_calc!$E$411="","",IF(_calc!$E$411&lt;=500,IF(ISNUMBER(INDEX('Our policies'!$I$4:$I$503,_calc!$E$411)),TEXT(INDEX('Our policies'!$I$4:$I$503,_calc!$E$411),"yyyy-mm-dd"),""),""))</f>
        <v/>
      </c>
      <c r="E409" s="46">
        <f>IF(_calc!$E$411="","",IF(_calc!$E$411&lt;=500,IF(LEN(INDEX('Our policies'!$Q$4:$Q$503,_calc!$E$411))=0,"",INDEX('Our policies'!$Q$4:$Q$503,_calc!$E$411)),"Medium"))</f>
        <v/>
      </c>
      <c r="F409" s="46">
        <f>IF(_calc!$E$411="","",IF(_calc!$E$411&lt;=500,TRIM(IF(LEN(IF(LEN(INDEX('Our policies'!$B$4:$B$503,_calc!$E$411))=0,"",INDEX('Our policies'!$B$4:$B$503,_calc!$E$411)))=0,"","Cover: "&amp;IF(LEN(INDEX('Our policies'!$B$4:$B$503,_calc!$E$411))=0,"",INDEX('Our policies'!$B$4:$B$503,_calc!$E$411))&amp;". ")&amp;IF(LEN(IF(LEN(INDEX('Our policies'!$C$4:$C$503,_calc!$E$411))=0,"",INDEX('Our policies'!$C$4:$C$503,_calc!$E$411)))=0,"","Insurer: "&amp;IF(LEN(INDEX('Our policies'!$C$4:$C$503,_calc!$E$411))=0,"",INDEX('Our policies'!$C$4:$C$503,_calc!$E$411))&amp;". ")&amp;IF(LEN(IF(LEN(INDEX('Our policies'!$D$4:$D$503,_calc!$E$411))=0,"",INDEX('Our policies'!$D$4:$D$503,_calc!$E$411)))=0,"","Broker: "&amp;IF(LEN(INDEX('Our policies'!$D$4:$D$503,_calc!$E$411))=0,"",INDEX('Our policies'!$D$4:$D$503,_calc!$E$411))&amp;". ")&amp;IF(LEN(IF(LEN(INDEX('Our policies'!$E$4:$E$503,_calc!$E$411))=0,"",INDEX('Our policies'!$E$4:$E$503,_calc!$E$411)))=0,"","Policy no.: "&amp;IF(LEN(INDEX('Our policies'!$E$4:$E$503,_calc!$E$411))=0,"",INDEX('Our policies'!$E$4:$E$503,_calc!$E$411))&amp;". ")&amp;IF(LEN(IF(LEN(INDEX('Our policies'!$S$4:$S$503,_calc!$E$411))=0,"",INDEX('Our policies'!$S$4:$S$503,_calc!$E$411)))=0,"",IF(LEN(INDEX('Our policies'!$S$4:$S$503,_calc!$E$411))=0,"",INDEX('Our policies'!$S$4:$S$503,_calc!$E$411)))),TRIM(IF(LEN(IF(LEN(INDEX('Vendor COIs'!$C$4:$C$503,(_calc!$E$411-500)))=0,"",INDEX('Vendor COIs'!$C$4:$C$503,(_calc!$E$411-500))))=0,"","Insurer: "&amp;IF(LEN(INDEX('Vendor COIs'!$C$4:$C$503,(_calc!$E$411-500)))=0,"",INDEX('Vendor COIs'!$C$4:$C$503,(_calc!$E$411-500)))&amp;". ")&amp;IF(LEN(IF(LEN(INDEX('Vendor COIs'!$D$4:$D$503,(_calc!$E$411-500)))=0,"",INDEX('Vendor COIs'!$D$4:$D$503,(_calc!$E$411-500))))=0,"","Policy no.: "&amp;IF(LEN(INDEX('Vendor COIs'!$D$4:$D$503,(_calc!$E$411-500)))=0,"",INDEX('Vendor COIs'!$D$4:$D$503,(_calc!$E$411-500)))&amp;". ")&amp;IF(LEN(IF(LEN(INDEX('Vendor COIs'!$F$4:$F$503,(_calc!$E$411-500)))=0,"",INDEX('Vendor COIs'!$F$4:$F$503,(_calc!$E$411-500))))=0,"","Meets minimum: "&amp;IF(LEN(INDEX('Vendor COIs'!$F$4:$F$503,(_calc!$E$411-500)))=0,"",INDEX('Vendor COIs'!$F$4:$F$503,(_calc!$E$411-500)))&amp;". ")&amp;IF(LEN(IF(LEN(INDEX('Vendor COIs'!$G$4:$G$503,(_calc!$E$411-500)))=0,"",INDEX('Vendor COIs'!$G$4:$G$503,(_calc!$E$411-500))))=0,"","Additional insured: "&amp;IF(LEN(INDEX('Vendor COIs'!$G$4:$G$503,(_calc!$E$411-500)))=0,"",INDEX('Vendor COIs'!$G$4:$G$503,(_calc!$E$411-500)))&amp;". ")&amp;IF(LEN(IF(LEN(INDEX('Vendor COIs'!$M$4:$M$503,(_calc!$E$411-500)))=0,"",INDEX('Vendor COIs'!$M$4:$M$503,(_calc!$E$411-500))))=0,"","Vendor contact: "&amp;IF(LEN(INDEX('Vendor COIs'!$M$4:$M$503,(_calc!$E$411-500)))=0,"",INDEX('Vendor COIs'!$M$4:$M$503,(_calc!$E$411-500)))&amp;". ")&amp;IF(LEN(IF(LEN(INDEX('Vendor COIs'!$P$4:$P$503,(_calc!$E$411-500)))=0,"",INDEX('Vendor COIs'!$P$4:$P$503,(_calc!$E$411-500))))=0,"",IF(LEN(INDEX('Vendor COIs'!$P$4:$P$503,(_calc!$E$411-500)))=0,"",INDEX('Vendor COIs'!$P$4:$P$503,(_calc!$E$411-500)))))))</f>
        <v/>
      </c>
      <c r="G409" s="46">
        <f>IF(_calc!$E$411="","",IF(_calc!$E$411&lt;=500,IF(LEN(INDEX('Our policies'!$R$4:$R$503,_calc!$E$411))=0,"",INDEX('Our policies'!$R$4:$R$503,_calc!$E$411)),IF(LEN(INDEX('Vendor COIs'!$O$4:$O$503,(_calc!$E$411-500)))=0,"",INDEX('Vendor COIs'!$O$4:$O$503,(_calc!$E$411-500)))))</f>
        <v/>
      </c>
      <c r="H409" s="46">
        <f>IF(_calc!$E$411="","",IF(_calc!$E$411&lt;=500,IF(LEN(INDEX('Our policies'!$G$4:$G$503,_calc!$E$411))=0,"",INDEX('Our policies'!$G$4:$G$503,_calc!$E$411)),""))</f>
        <v/>
      </c>
      <c r="I409" s="46">
        <f>IF(_calc!$E$411="","",IF(_calc!$E$411&lt;=500,IF(LEN(INDEX('Our policies'!$H$4:$H$503,_calc!$E$411))=0,"",INDEX('Our policies'!$H$4:$H$503,_calc!$E$411)),""))</f>
        <v/>
      </c>
      <c r="K409" s="46">
        <f>IF(_calc!$E$411="","",IF(_calc!$E$411&lt;=500,IF(LEN(INDEX('Our policies'!$P$4:$P$503,_calc!$E$411))=0,"",INDEX('Our policies'!$P$4:$P$503,_calc!$E$411)),IF(LEN(INDEX('Vendor COIs'!$N$4:$N$503,(_calc!$E$411-500)))=0,"",INDEX('Vendor COIs'!$N$4:$N$503,(_calc!$E$411-500)))))</f>
        <v/>
      </c>
    </row>
    <row r="410">
      <c r="A410" s="46">
        <f>IF(_calc!$E$412="","",IF(_calc!$E$412&lt;=500,IF(LEN(INDEX('Our policies'!$A$4:$A$503,_calc!$E$412))=0,"",INDEX('Our policies'!$A$4:$A$503,_calc!$E$412)),"COI – "&amp;IF(LEN(INDEX('Vendor COIs'!$A$4:$A$503,(_calc!$E$412-500)))=0,"",INDEX('Vendor COIs'!$A$4:$A$503,(_calc!$E$412-500)))&amp;" – "&amp;IF(LEN(INDEX('Vendor COIs'!$B$4:$B$503,(_calc!$E$412-500)))=0,"",INDEX('Vendor COIs'!$B$4:$B$503,(_calc!$E$412-500)))))</f>
        <v/>
      </c>
      <c r="B410" s="46">
        <f>IF(_calc!$E$412="","",IF(_calc!$E$412&lt;=500,IF(ISNUMBER(INDEX('Our policies'!$J$4:$J$503,_calc!$E$412)),TEXT(INDEX('Our policies'!$J$4:$J$503,_calc!$E$412),"yyyy-mm-dd"),""),IF(ISNUMBER(INDEX('Vendor COIs'!$H$4:$H$503,(_calc!$E$412-500))),TEXT(INDEX('Vendor COIs'!$H$4:$H$503,(_calc!$E$412-500)),"yyyy-mm-dd"),"")))</f>
        <v/>
      </c>
      <c r="C410" s="46">
        <f>IF(_calc!$E$412="","",IF(_calc!$E$412&lt;=500,"Insurance","Certificate of insurance"))</f>
        <v/>
      </c>
      <c r="D410" s="46">
        <f>IF(_calc!$E$412="","",IF(_calc!$E$412&lt;=500,IF(ISNUMBER(INDEX('Our policies'!$I$4:$I$503,_calc!$E$412)),TEXT(INDEX('Our policies'!$I$4:$I$503,_calc!$E$412),"yyyy-mm-dd"),""),""))</f>
        <v/>
      </c>
      <c r="E410" s="46">
        <f>IF(_calc!$E$412="","",IF(_calc!$E$412&lt;=500,IF(LEN(INDEX('Our policies'!$Q$4:$Q$503,_calc!$E$412))=0,"",INDEX('Our policies'!$Q$4:$Q$503,_calc!$E$412)),"Medium"))</f>
        <v/>
      </c>
      <c r="F410" s="46">
        <f>IF(_calc!$E$412="","",IF(_calc!$E$412&lt;=500,TRIM(IF(LEN(IF(LEN(INDEX('Our policies'!$B$4:$B$503,_calc!$E$412))=0,"",INDEX('Our policies'!$B$4:$B$503,_calc!$E$412)))=0,"","Cover: "&amp;IF(LEN(INDEX('Our policies'!$B$4:$B$503,_calc!$E$412))=0,"",INDEX('Our policies'!$B$4:$B$503,_calc!$E$412))&amp;". ")&amp;IF(LEN(IF(LEN(INDEX('Our policies'!$C$4:$C$503,_calc!$E$412))=0,"",INDEX('Our policies'!$C$4:$C$503,_calc!$E$412)))=0,"","Insurer: "&amp;IF(LEN(INDEX('Our policies'!$C$4:$C$503,_calc!$E$412))=0,"",INDEX('Our policies'!$C$4:$C$503,_calc!$E$412))&amp;". ")&amp;IF(LEN(IF(LEN(INDEX('Our policies'!$D$4:$D$503,_calc!$E$412))=0,"",INDEX('Our policies'!$D$4:$D$503,_calc!$E$412)))=0,"","Broker: "&amp;IF(LEN(INDEX('Our policies'!$D$4:$D$503,_calc!$E$412))=0,"",INDEX('Our policies'!$D$4:$D$503,_calc!$E$412))&amp;". ")&amp;IF(LEN(IF(LEN(INDEX('Our policies'!$E$4:$E$503,_calc!$E$412))=0,"",INDEX('Our policies'!$E$4:$E$503,_calc!$E$412)))=0,"","Policy no.: "&amp;IF(LEN(INDEX('Our policies'!$E$4:$E$503,_calc!$E$412))=0,"",INDEX('Our policies'!$E$4:$E$503,_calc!$E$412))&amp;". ")&amp;IF(LEN(IF(LEN(INDEX('Our policies'!$S$4:$S$503,_calc!$E$412))=0,"",INDEX('Our policies'!$S$4:$S$503,_calc!$E$412)))=0,"",IF(LEN(INDEX('Our policies'!$S$4:$S$503,_calc!$E$412))=0,"",INDEX('Our policies'!$S$4:$S$503,_calc!$E$412)))),TRIM(IF(LEN(IF(LEN(INDEX('Vendor COIs'!$C$4:$C$503,(_calc!$E$412-500)))=0,"",INDEX('Vendor COIs'!$C$4:$C$503,(_calc!$E$412-500))))=0,"","Insurer: "&amp;IF(LEN(INDEX('Vendor COIs'!$C$4:$C$503,(_calc!$E$412-500)))=0,"",INDEX('Vendor COIs'!$C$4:$C$503,(_calc!$E$412-500)))&amp;". ")&amp;IF(LEN(IF(LEN(INDEX('Vendor COIs'!$D$4:$D$503,(_calc!$E$412-500)))=0,"",INDEX('Vendor COIs'!$D$4:$D$503,(_calc!$E$412-500))))=0,"","Policy no.: "&amp;IF(LEN(INDEX('Vendor COIs'!$D$4:$D$503,(_calc!$E$412-500)))=0,"",INDEX('Vendor COIs'!$D$4:$D$503,(_calc!$E$412-500)))&amp;". ")&amp;IF(LEN(IF(LEN(INDEX('Vendor COIs'!$F$4:$F$503,(_calc!$E$412-500)))=0,"",INDEX('Vendor COIs'!$F$4:$F$503,(_calc!$E$412-500))))=0,"","Meets minimum: "&amp;IF(LEN(INDEX('Vendor COIs'!$F$4:$F$503,(_calc!$E$412-500)))=0,"",INDEX('Vendor COIs'!$F$4:$F$503,(_calc!$E$412-500)))&amp;". ")&amp;IF(LEN(IF(LEN(INDEX('Vendor COIs'!$G$4:$G$503,(_calc!$E$412-500)))=0,"",INDEX('Vendor COIs'!$G$4:$G$503,(_calc!$E$412-500))))=0,"","Additional insured: "&amp;IF(LEN(INDEX('Vendor COIs'!$G$4:$G$503,(_calc!$E$412-500)))=0,"",INDEX('Vendor COIs'!$G$4:$G$503,(_calc!$E$412-500)))&amp;". ")&amp;IF(LEN(IF(LEN(INDEX('Vendor COIs'!$M$4:$M$503,(_calc!$E$412-500)))=0,"",INDEX('Vendor COIs'!$M$4:$M$503,(_calc!$E$412-500))))=0,"","Vendor contact: "&amp;IF(LEN(INDEX('Vendor COIs'!$M$4:$M$503,(_calc!$E$412-500)))=0,"",INDEX('Vendor COIs'!$M$4:$M$503,(_calc!$E$412-500)))&amp;". ")&amp;IF(LEN(IF(LEN(INDEX('Vendor COIs'!$P$4:$P$503,(_calc!$E$412-500)))=0,"",INDEX('Vendor COIs'!$P$4:$P$503,(_calc!$E$412-500))))=0,"",IF(LEN(INDEX('Vendor COIs'!$P$4:$P$503,(_calc!$E$412-500)))=0,"",INDEX('Vendor COIs'!$P$4:$P$503,(_calc!$E$412-500)))))))</f>
        <v/>
      </c>
      <c r="G410" s="46">
        <f>IF(_calc!$E$412="","",IF(_calc!$E$412&lt;=500,IF(LEN(INDEX('Our policies'!$R$4:$R$503,_calc!$E$412))=0,"",INDEX('Our policies'!$R$4:$R$503,_calc!$E$412)),IF(LEN(INDEX('Vendor COIs'!$O$4:$O$503,(_calc!$E$412-500)))=0,"",INDEX('Vendor COIs'!$O$4:$O$503,(_calc!$E$412-500)))))</f>
        <v/>
      </c>
      <c r="H410" s="46">
        <f>IF(_calc!$E$412="","",IF(_calc!$E$412&lt;=500,IF(LEN(INDEX('Our policies'!$G$4:$G$503,_calc!$E$412))=0,"",INDEX('Our policies'!$G$4:$G$503,_calc!$E$412)),""))</f>
        <v/>
      </c>
      <c r="I410" s="46">
        <f>IF(_calc!$E$412="","",IF(_calc!$E$412&lt;=500,IF(LEN(INDEX('Our policies'!$H$4:$H$503,_calc!$E$412))=0,"",INDEX('Our policies'!$H$4:$H$503,_calc!$E$412)),""))</f>
        <v/>
      </c>
      <c r="K410" s="46">
        <f>IF(_calc!$E$412="","",IF(_calc!$E$412&lt;=500,IF(LEN(INDEX('Our policies'!$P$4:$P$503,_calc!$E$412))=0,"",INDEX('Our policies'!$P$4:$P$503,_calc!$E$412)),IF(LEN(INDEX('Vendor COIs'!$N$4:$N$503,(_calc!$E$412-500)))=0,"",INDEX('Vendor COIs'!$N$4:$N$503,(_calc!$E$412-500)))))</f>
        <v/>
      </c>
    </row>
    <row r="411">
      <c r="A411" s="46">
        <f>IF(_calc!$E$413="","",IF(_calc!$E$413&lt;=500,IF(LEN(INDEX('Our policies'!$A$4:$A$503,_calc!$E$413))=0,"",INDEX('Our policies'!$A$4:$A$503,_calc!$E$413)),"COI – "&amp;IF(LEN(INDEX('Vendor COIs'!$A$4:$A$503,(_calc!$E$413-500)))=0,"",INDEX('Vendor COIs'!$A$4:$A$503,(_calc!$E$413-500)))&amp;" – "&amp;IF(LEN(INDEX('Vendor COIs'!$B$4:$B$503,(_calc!$E$413-500)))=0,"",INDEX('Vendor COIs'!$B$4:$B$503,(_calc!$E$413-500)))))</f>
        <v/>
      </c>
      <c r="B411" s="46">
        <f>IF(_calc!$E$413="","",IF(_calc!$E$413&lt;=500,IF(ISNUMBER(INDEX('Our policies'!$J$4:$J$503,_calc!$E$413)),TEXT(INDEX('Our policies'!$J$4:$J$503,_calc!$E$413),"yyyy-mm-dd"),""),IF(ISNUMBER(INDEX('Vendor COIs'!$H$4:$H$503,(_calc!$E$413-500))),TEXT(INDEX('Vendor COIs'!$H$4:$H$503,(_calc!$E$413-500)),"yyyy-mm-dd"),"")))</f>
        <v/>
      </c>
      <c r="C411" s="46">
        <f>IF(_calc!$E$413="","",IF(_calc!$E$413&lt;=500,"Insurance","Certificate of insurance"))</f>
        <v/>
      </c>
      <c r="D411" s="46">
        <f>IF(_calc!$E$413="","",IF(_calc!$E$413&lt;=500,IF(ISNUMBER(INDEX('Our policies'!$I$4:$I$503,_calc!$E$413)),TEXT(INDEX('Our policies'!$I$4:$I$503,_calc!$E$413),"yyyy-mm-dd"),""),""))</f>
        <v/>
      </c>
      <c r="E411" s="46">
        <f>IF(_calc!$E$413="","",IF(_calc!$E$413&lt;=500,IF(LEN(INDEX('Our policies'!$Q$4:$Q$503,_calc!$E$413))=0,"",INDEX('Our policies'!$Q$4:$Q$503,_calc!$E$413)),"Medium"))</f>
        <v/>
      </c>
      <c r="F411" s="46">
        <f>IF(_calc!$E$413="","",IF(_calc!$E$413&lt;=500,TRIM(IF(LEN(IF(LEN(INDEX('Our policies'!$B$4:$B$503,_calc!$E$413))=0,"",INDEX('Our policies'!$B$4:$B$503,_calc!$E$413)))=0,"","Cover: "&amp;IF(LEN(INDEX('Our policies'!$B$4:$B$503,_calc!$E$413))=0,"",INDEX('Our policies'!$B$4:$B$503,_calc!$E$413))&amp;". ")&amp;IF(LEN(IF(LEN(INDEX('Our policies'!$C$4:$C$503,_calc!$E$413))=0,"",INDEX('Our policies'!$C$4:$C$503,_calc!$E$413)))=0,"","Insurer: "&amp;IF(LEN(INDEX('Our policies'!$C$4:$C$503,_calc!$E$413))=0,"",INDEX('Our policies'!$C$4:$C$503,_calc!$E$413))&amp;". ")&amp;IF(LEN(IF(LEN(INDEX('Our policies'!$D$4:$D$503,_calc!$E$413))=0,"",INDEX('Our policies'!$D$4:$D$503,_calc!$E$413)))=0,"","Broker: "&amp;IF(LEN(INDEX('Our policies'!$D$4:$D$503,_calc!$E$413))=0,"",INDEX('Our policies'!$D$4:$D$503,_calc!$E$413))&amp;". ")&amp;IF(LEN(IF(LEN(INDEX('Our policies'!$E$4:$E$503,_calc!$E$413))=0,"",INDEX('Our policies'!$E$4:$E$503,_calc!$E$413)))=0,"","Policy no.: "&amp;IF(LEN(INDEX('Our policies'!$E$4:$E$503,_calc!$E$413))=0,"",INDEX('Our policies'!$E$4:$E$503,_calc!$E$413))&amp;". ")&amp;IF(LEN(IF(LEN(INDEX('Our policies'!$S$4:$S$503,_calc!$E$413))=0,"",INDEX('Our policies'!$S$4:$S$503,_calc!$E$413)))=0,"",IF(LEN(INDEX('Our policies'!$S$4:$S$503,_calc!$E$413))=0,"",INDEX('Our policies'!$S$4:$S$503,_calc!$E$413)))),TRIM(IF(LEN(IF(LEN(INDEX('Vendor COIs'!$C$4:$C$503,(_calc!$E$413-500)))=0,"",INDEX('Vendor COIs'!$C$4:$C$503,(_calc!$E$413-500))))=0,"","Insurer: "&amp;IF(LEN(INDEX('Vendor COIs'!$C$4:$C$503,(_calc!$E$413-500)))=0,"",INDEX('Vendor COIs'!$C$4:$C$503,(_calc!$E$413-500)))&amp;". ")&amp;IF(LEN(IF(LEN(INDEX('Vendor COIs'!$D$4:$D$503,(_calc!$E$413-500)))=0,"",INDEX('Vendor COIs'!$D$4:$D$503,(_calc!$E$413-500))))=0,"","Policy no.: "&amp;IF(LEN(INDEX('Vendor COIs'!$D$4:$D$503,(_calc!$E$413-500)))=0,"",INDEX('Vendor COIs'!$D$4:$D$503,(_calc!$E$413-500)))&amp;". ")&amp;IF(LEN(IF(LEN(INDEX('Vendor COIs'!$F$4:$F$503,(_calc!$E$413-500)))=0,"",INDEX('Vendor COIs'!$F$4:$F$503,(_calc!$E$413-500))))=0,"","Meets minimum: "&amp;IF(LEN(INDEX('Vendor COIs'!$F$4:$F$503,(_calc!$E$413-500)))=0,"",INDEX('Vendor COIs'!$F$4:$F$503,(_calc!$E$413-500)))&amp;". ")&amp;IF(LEN(IF(LEN(INDEX('Vendor COIs'!$G$4:$G$503,(_calc!$E$413-500)))=0,"",INDEX('Vendor COIs'!$G$4:$G$503,(_calc!$E$413-500))))=0,"","Additional insured: "&amp;IF(LEN(INDEX('Vendor COIs'!$G$4:$G$503,(_calc!$E$413-500)))=0,"",INDEX('Vendor COIs'!$G$4:$G$503,(_calc!$E$413-500)))&amp;". ")&amp;IF(LEN(IF(LEN(INDEX('Vendor COIs'!$M$4:$M$503,(_calc!$E$413-500)))=0,"",INDEX('Vendor COIs'!$M$4:$M$503,(_calc!$E$413-500))))=0,"","Vendor contact: "&amp;IF(LEN(INDEX('Vendor COIs'!$M$4:$M$503,(_calc!$E$413-500)))=0,"",INDEX('Vendor COIs'!$M$4:$M$503,(_calc!$E$413-500)))&amp;". ")&amp;IF(LEN(IF(LEN(INDEX('Vendor COIs'!$P$4:$P$503,(_calc!$E$413-500)))=0,"",INDEX('Vendor COIs'!$P$4:$P$503,(_calc!$E$413-500))))=0,"",IF(LEN(INDEX('Vendor COIs'!$P$4:$P$503,(_calc!$E$413-500)))=0,"",INDEX('Vendor COIs'!$P$4:$P$503,(_calc!$E$413-500)))))))</f>
        <v/>
      </c>
      <c r="G411" s="46">
        <f>IF(_calc!$E$413="","",IF(_calc!$E$413&lt;=500,IF(LEN(INDEX('Our policies'!$R$4:$R$503,_calc!$E$413))=0,"",INDEX('Our policies'!$R$4:$R$503,_calc!$E$413)),IF(LEN(INDEX('Vendor COIs'!$O$4:$O$503,(_calc!$E$413-500)))=0,"",INDEX('Vendor COIs'!$O$4:$O$503,(_calc!$E$413-500)))))</f>
        <v/>
      </c>
      <c r="H411" s="46">
        <f>IF(_calc!$E$413="","",IF(_calc!$E$413&lt;=500,IF(LEN(INDEX('Our policies'!$G$4:$G$503,_calc!$E$413))=0,"",INDEX('Our policies'!$G$4:$G$503,_calc!$E$413)),""))</f>
        <v/>
      </c>
      <c r="I411" s="46">
        <f>IF(_calc!$E$413="","",IF(_calc!$E$413&lt;=500,IF(LEN(INDEX('Our policies'!$H$4:$H$503,_calc!$E$413))=0,"",INDEX('Our policies'!$H$4:$H$503,_calc!$E$413)),""))</f>
        <v/>
      </c>
      <c r="K411" s="46">
        <f>IF(_calc!$E$413="","",IF(_calc!$E$413&lt;=500,IF(LEN(INDEX('Our policies'!$P$4:$P$503,_calc!$E$413))=0,"",INDEX('Our policies'!$P$4:$P$503,_calc!$E$413)),IF(LEN(INDEX('Vendor COIs'!$N$4:$N$503,(_calc!$E$413-500)))=0,"",INDEX('Vendor COIs'!$N$4:$N$503,(_calc!$E$413-500)))))</f>
        <v/>
      </c>
    </row>
    <row r="412">
      <c r="A412" s="46">
        <f>IF(_calc!$E$414="","",IF(_calc!$E$414&lt;=500,IF(LEN(INDEX('Our policies'!$A$4:$A$503,_calc!$E$414))=0,"",INDEX('Our policies'!$A$4:$A$503,_calc!$E$414)),"COI – "&amp;IF(LEN(INDEX('Vendor COIs'!$A$4:$A$503,(_calc!$E$414-500)))=0,"",INDEX('Vendor COIs'!$A$4:$A$503,(_calc!$E$414-500)))&amp;" – "&amp;IF(LEN(INDEX('Vendor COIs'!$B$4:$B$503,(_calc!$E$414-500)))=0,"",INDEX('Vendor COIs'!$B$4:$B$503,(_calc!$E$414-500)))))</f>
        <v/>
      </c>
      <c r="B412" s="46">
        <f>IF(_calc!$E$414="","",IF(_calc!$E$414&lt;=500,IF(ISNUMBER(INDEX('Our policies'!$J$4:$J$503,_calc!$E$414)),TEXT(INDEX('Our policies'!$J$4:$J$503,_calc!$E$414),"yyyy-mm-dd"),""),IF(ISNUMBER(INDEX('Vendor COIs'!$H$4:$H$503,(_calc!$E$414-500))),TEXT(INDEX('Vendor COIs'!$H$4:$H$503,(_calc!$E$414-500)),"yyyy-mm-dd"),"")))</f>
        <v/>
      </c>
      <c r="C412" s="46">
        <f>IF(_calc!$E$414="","",IF(_calc!$E$414&lt;=500,"Insurance","Certificate of insurance"))</f>
        <v/>
      </c>
      <c r="D412" s="46">
        <f>IF(_calc!$E$414="","",IF(_calc!$E$414&lt;=500,IF(ISNUMBER(INDEX('Our policies'!$I$4:$I$503,_calc!$E$414)),TEXT(INDEX('Our policies'!$I$4:$I$503,_calc!$E$414),"yyyy-mm-dd"),""),""))</f>
        <v/>
      </c>
      <c r="E412" s="46">
        <f>IF(_calc!$E$414="","",IF(_calc!$E$414&lt;=500,IF(LEN(INDEX('Our policies'!$Q$4:$Q$503,_calc!$E$414))=0,"",INDEX('Our policies'!$Q$4:$Q$503,_calc!$E$414)),"Medium"))</f>
        <v/>
      </c>
      <c r="F412" s="46">
        <f>IF(_calc!$E$414="","",IF(_calc!$E$414&lt;=500,TRIM(IF(LEN(IF(LEN(INDEX('Our policies'!$B$4:$B$503,_calc!$E$414))=0,"",INDEX('Our policies'!$B$4:$B$503,_calc!$E$414)))=0,"","Cover: "&amp;IF(LEN(INDEX('Our policies'!$B$4:$B$503,_calc!$E$414))=0,"",INDEX('Our policies'!$B$4:$B$503,_calc!$E$414))&amp;". ")&amp;IF(LEN(IF(LEN(INDEX('Our policies'!$C$4:$C$503,_calc!$E$414))=0,"",INDEX('Our policies'!$C$4:$C$503,_calc!$E$414)))=0,"","Insurer: "&amp;IF(LEN(INDEX('Our policies'!$C$4:$C$503,_calc!$E$414))=0,"",INDEX('Our policies'!$C$4:$C$503,_calc!$E$414))&amp;". ")&amp;IF(LEN(IF(LEN(INDEX('Our policies'!$D$4:$D$503,_calc!$E$414))=0,"",INDEX('Our policies'!$D$4:$D$503,_calc!$E$414)))=0,"","Broker: "&amp;IF(LEN(INDEX('Our policies'!$D$4:$D$503,_calc!$E$414))=0,"",INDEX('Our policies'!$D$4:$D$503,_calc!$E$414))&amp;". ")&amp;IF(LEN(IF(LEN(INDEX('Our policies'!$E$4:$E$503,_calc!$E$414))=0,"",INDEX('Our policies'!$E$4:$E$503,_calc!$E$414)))=0,"","Policy no.: "&amp;IF(LEN(INDEX('Our policies'!$E$4:$E$503,_calc!$E$414))=0,"",INDEX('Our policies'!$E$4:$E$503,_calc!$E$414))&amp;". ")&amp;IF(LEN(IF(LEN(INDEX('Our policies'!$S$4:$S$503,_calc!$E$414))=0,"",INDEX('Our policies'!$S$4:$S$503,_calc!$E$414)))=0,"",IF(LEN(INDEX('Our policies'!$S$4:$S$503,_calc!$E$414))=0,"",INDEX('Our policies'!$S$4:$S$503,_calc!$E$414)))),TRIM(IF(LEN(IF(LEN(INDEX('Vendor COIs'!$C$4:$C$503,(_calc!$E$414-500)))=0,"",INDEX('Vendor COIs'!$C$4:$C$503,(_calc!$E$414-500))))=0,"","Insurer: "&amp;IF(LEN(INDEX('Vendor COIs'!$C$4:$C$503,(_calc!$E$414-500)))=0,"",INDEX('Vendor COIs'!$C$4:$C$503,(_calc!$E$414-500)))&amp;". ")&amp;IF(LEN(IF(LEN(INDEX('Vendor COIs'!$D$4:$D$503,(_calc!$E$414-500)))=0,"",INDEX('Vendor COIs'!$D$4:$D$503,(_calc!$E$414-500))))=0,"","Policy no.: "&amp;IF(LEN(INDEX('Vendor COIs'!$D$4:$D$503,(_calc!$E$414-500)))=0,"",INDEX('Vendor COIs'!$D$4:$D$503,(_calc!$E$414-500)))&amp;". ")&amp;IF(LEN(IF(LEN(INDEX('Vendor COIs'!$F$4:$F$503,(_calc!$E$414-500)))=0,"",INDEX('Vendor COIs'!$F$4:$F$503,(_calc!$E$414-500))))=0,"","Meets minimum: "&amp;IF(LEN(INDEX('Vendor COIs'!$F$4:$F$503,(_calc!$E$414-500)))=0,"",INDEX('Vendor COIs'!$F$4:$F$503,(_calc!$E$414-500)))&amp;". ")&amp;IF(LEN(IF(LEN(INDEX('Vendor COIs'!$G$4:$G$503,(_calc!$E$414-500)))=0,"",INDEX('Vendor COIs'!$G$4:$G$503,(_calc!$E$414-500))))=0,"","Additional insured: "&amp;IF(LEN(INDEX('Vendor COIs'!$G$4:$G$503,(_calc!$E$414-500)))=0,"",INDEX('Vendor COIs'!$G$4:$G$503,(_calc!$E$414-500)))&amp;". ")&amp;IF(LEN(IF(LEN(INDEX('Vendor COIs'!$M$4:$M$503,(_calc!$E$414-500)))=0,"",INDEX('Vendor COIs'!$M$4:$M$503,(_calc!$E$414-500))))=0,"","Vendor contact: "&amp;IF(LEN(INDEX('Vendor COIs'!$M$4:$M$503,(_calc!$E$414-500)))=0,"",INDEX('Vendor COIs'!$M$4:$M$503,(_calc!$E$414-500)))&amp;". ")&amp;IF(LEN(IF(LEN(INDEX('Vendor COIs'!$P$4:$P$503,(_calc!$E$414-500)))=0,"",INDEX('Vendor COIs'!$P$4:$P$503,(_calc!$E$414-500))))=0,"",IF(LEN(INDEX('Vendor COIs'!$P$4:$P$503,(_calc!$E$414-500)))=0,"",INDEX('Vendor COIs'!$P$4:$P$503,(_calc!$E$414-500)))))))</f>
        <v/>
      </c>
      <c r="G412" s="46">
        <f>IF(_calc!$E$414="","",IF(_calc!$E$414&lt;=500,IF(LEN(INDEX('Our policies'!$R$4:$R$503,_calc!$E$414))=0,"",INDEX('Our policies'!$R$4:$R$503,_calc!$E$414)),IF(LEN(INDEX('Vendor COIs'!$O$4:$O$503,(_calc!$E$414-500)))=0,"",INDEX('Vendor COIs'!$O$4:$O$503,(_calc!$E$414-500)))))</f>
        <v/>
      </c>
      <c r="H412" s="46">
        <f>IF(_calc!$E$414="","",IF(_calc!$E$414&lt;=500,IF(LEN(INDEX('Our policies'!$G$4:$G$503,_calc!$E$414))=0,"",INDEX('Our policies'!$G$4:$G$503,_calc!$E$414)),""))</f>
        <v/>
      </c>
      <c r="I412" s="46">
        <f>IF(_calc!$E$414="","",IF(_calc!$E$414&lt;=500,IF(LEN(INDEX('Our policies'!$H$4:$H$503,_calc!$E$414))=0,"",INDEX('Our policies'!$H$4:$H$503,_calc!$E$414)),""))</f>
        <v/>
      </c>
      <c r="K412" s="46">
        <f>IF(_calc!$E$414="","",IF(_calc!$E$414&lt;=500,IF(LEN(INDEX('Our policies'!$P$4:$P$503,_calc!$E$414))=0,"",INDEX('Our policies'!$P$4:$P$503,_calc!$E$414)),IF(LEN(INDEX('Vendor COIs'!$N$4:$N$503,(_calc!$E$414-500)))=0,"",INDEX('Vendor COIs'!$N$4:$N$503,(_calc!$E$414-500)))))</f>
        <v/>
      </c>
    </row>
    <row r="413">
      <c r="A413" s="46">
        <f>IF(_calc!$E$415="","",IF(_calc!$E$415&lt;=500,IF(LEN(INDEX('Our policies'!$A$4:$A$503,_calc!$E$415))=0,"",INDEX('Our policies'!$A$4:$A$503,_calc!$E$415)),"COI – "&amp;IF(LEN(INDEX('Vendor COIs'!$A$4:$A$503,(_calc!$E$415-500)))=0,"",INDEX('Vendor COIs'!$A$4:$A$503,(_calc!$E$415-500)))&amp;" – "&amp;IF(LEN(INDEX('Vendor COIs'!$B$4:$B$503,(_calc!$E$415-500)))=0,"",INDEX('Vendor COIs'!$B$4:$B$503,(_calc!$E$415-500)))))</f>
        <v/>
      </c>
      <c r="B413" s="46">
        <f>IF(_calc!$E$415="","",IF(_calc!$E$415&lt;=500,IF(ISNUMBER(INDEX('Our policies'!$J$4:$J$503,_calc!$E$415)),TEXT(INDEX('Our policies'!$J$4:$J$503,_calc!$E$415),"yyyy-mm-dd"),""),IF(ISNUMBER(INDEX('Vendor COIs'!$H$4:$H$503,(_calc!$E$415-500))),TEXT(INDEX('Vendor COIs'!$H$4:$H$503,(_calc!$E$415-500)),"yyyy-mm-dd"),"")))</f>
        <v/>
      </c>
      <c r="C413" s="46">
        <f>IF(_calc!$E$415="","",IF(_calc!$E$415&lt;=500,"Insurance","Certificate of insurance"))</f>
        <v/>
      </c>
      <c r="D413" s="46">
        <f>IF(_calc!$E$415="","",IF(_calc!$E$415&lt;=500,IF(ISNUMBER(INDEX('Our policies'!$I$4:$I$503,_calc!$E$415)),TEXT(INDEX('Our policies'!$I$4:$I$503,_calc!$E$415),"yyyy-mm-dd"),""),""))</f>
        <v/>
      </c>
      <c r="E413" s="46">
        <f>IF(_calc!$E$415="","",IF(_calc!$E$415&lt;=500,IF(LEN(INDEX('Our policies'!$Q$4:$Q$503,_calc!$E$415))=0,"",INDEX('Our policies'!$Q$4:$Q$503,_calc!$E$415)),"Medium"))</f>
        <v/>
      </c>
      <c r="F413" s="46">
        <f>IF(_calc!$E$415="","",IF(_calc!$E$415&lt;=500,TRIM(IF(LEN(IF(LEN(INDEX('Our policies'!$B$4:$B$503,_calc!$E$415))=0,"",INDEX('Our policies'!$B$4:$B$503,_calc!$E$415)))=0,"","Cover: "&amp;IF(LEN(INDEX('Our policies'!$B$4:$B$503,_calc!$E$415))=0,"",INDEX('Our policies'!$B$4:$B$503,_calc!$E$415))&amp;". ")&amp;IF(LEN(IF(LEN(INDEX('Our policies'!$C$4:$C$503,_calc!$E$415))=0,"",INDEX('Our policies'!$C$4:$C$503,_calc!$E$415)))=0,"","Insurer: "&amp;IF(LEN(INDEX('Our policies'!$C$4:$C$503,_calc!$E$415))=0,"",INDEX('Our policies'!$C$4:$C$503,_calc!$E$415))&amp;". ")&amp;IF(LEN(IF(LEN(INDEX('Our policies'!$D$4:$D$503,_calc!$E$415))=0,"",INDEX('Our policies'!$D$4:$D$503,_calc!$E$415)))=0,"","Broker: "&amp;IF(LEN(INDEX('Our policies'!$D$4:$D$503,_calc!$E$415))=0,"",INDEX('Our policies'!$D$4:$D$503,_calc!$E$415))&amp;". ")&amp;IF(LEN(IF(LEN(INDEX('Our policies'!$E$4:$E$503,_calc!$E$415))=0,"",INDEX('Our policies'!$E$4:$E$503,_calc!$E$415)))=0,"","Policy no.: "&amp;IF(LEN(INDEX('Our policies'!$E$4:$E$503,_calc!$E$415))=0,"",INDEX('Our policies'!$E$4:$E$503,_calc!$E$415))&amp;". ")&amp;IF(LEN(IF(LEN(INDEX('Our policies'!$S$4:$S$503,_calc!$E$415))=0,"",INDEX('Our policies'!$S$4:$S$503,_calc!$E$415)))=0,"",IF(LEN(INDEX('Our policies'!$S$4:$S$503,_calc!$E$415))=0,"",INDEX('Our policies'!$S$4:$S$503,_calc!$E$415)))),TRIM(IF(LEN(IF(LEN(INDEX('Vendor COIs'!$C$4:$C$503,(_calc!$E$415-500)))=0,"",INDEX('Vendor COIs'!$C$4:$C$503,(_calc!$E$415-500))))=0,"","Insurer: "&amp;IF(LEN(INDEX('Vendor COIs'!$C$4:$C$503,(_calc!$E$415-500)))=0,"",INDEX('Vendor COIs'!$C$4:$C$503,(_calc!$E$415-500)))&amp;". ")&amp;IF(LEN(IF(LEN(INDEX('Vendor COIs'!$D$4:$D$503,(_calc!$E$415-500)))=0,"",INDEX('Vendor COIs'!$D$4:$D$503,(_calc!$E$415-500))))=0,"","Policy no.: "&amp;IF(LEN(INDEX('Vendor COIs'!$D$4:$D$503,(_calc!$E$415-500)))=0,"",INDEX('Vendor COIs'!$D$4:$D$503,(_calc!$E$415-500)))&amp;". ")&amp;IF(LEN(IF(LEN(INDEX('Vendor COIs'!$F$4:$F$503,(_calc!$E$415-500)))=0,"",INDEX('Vendor COIs'!$F$4:$F$503,(_calc!$E$415-500))))=0,"","Meets minimum: "&amp;IF(LEN(INDEX('Vendor COIs'!$F$4:$F$503,(_calc!$E$415-500)))=0,"",INDEX('Vendor COIs'!$F$4:$F$503,(_calc!$E$415-500)))&amp;". ")&amp;IF(LEN(IF(LEN(INDEX('Vendor COIs'!$G$4:$G$503,(_calc!$E$415-500)))=0,"",INDEX('Vendor COIs'!$G$4:$G$503,(_calc!$E$415-500))))=0,"","Additional insured: "&amp;IF(LEN(INDEX('Vendor COIs'!$G$4:$G$503,(_calc!$E$415-500)))=0,"",INDEX('Vendor COIs'!$G$4:$G$503,(_calc!$E$415-500)))&amp;". ")&amp;IF(LEN(IF(LEN(INDEX('Vendor COIs'!$M$4:$M$503,(_calc!$E$415-500)))=0,"",INDEX('Vendor COIs'!$M$4:$M$503,(_calc!$E$415-500))))=0,"","Vendor contact: "&amp;IF(LEN(INDEX('Vendor COIs'!$M$4:$M$503,(_calc!$E$415-500)))=0,"",INDEX('Vendor COIs'!$M$4:$M$503,(_calc!$E$415-500)))&amp;". ")&amp;IF(LEN(IF(LEN(INDEX('Vendor COIs'!$P$4:$P$503,(_calc!$E$415-500)))=0,"",INDEX('Vendor COIs'!$P$4:$P$503,(_calc!$E$415-500))))=0,"",IF(LEN(INDEX('Vendor COIs'!$P$4:$P$503,(_calc!$E$415-500)))=0,"",INDEX('Vendor COIs'!$P$4:$P$503,(_calc!$E$415-500)))))))</f>
        <v/>
      </c>
      <c r="G413" s="46">
        <f>IF(_calc!$E$415="","",IF(_calc!$E$415&lt;=500,IF(LEN(INDEX('Our policies'!$R$4:$R$503,_calc!$E$415))=0,"",INDEX('Our policies'!$R$4:$R$503,_calc!$E$415)),IF(LEN(INDEX('Vendor COIs'!$O$4:$O$503,(_calc!$E$415-500)))=0,"",INDEX('Vendor COIs'!$O$4:$O$503,(_calc!$E$415-500)))))</f>
        <v/>
      </c>
      <c r="H413" s="46">
        <f>IF(_calc!$E$415="","",IF(_calc!$E$415&lt;=500,IF(LEN(INDEX('Our policies'!$G$4:$G$503,_calc!$E$415))=0,"",INDEX('Our policies'!$G$4:$G$503,_calc!$E$415)),""))</f>
        <v/>
      </c>
      <c r="I413" s="46">
        <f>IF(_calc!$E$415="","",IF(_calc!$E$415&lt;=500,IF(LEN(INDEX('Our policies'!$H$4:$H$503,_calc!$E$415))=0,"",INDEX('Our policies'!$H$4:$H$503,_calc!$E$415)),""))</f>
        <v/>
      </c>
      <c r="K413" s="46">
        <f>IF(_calc!$E$415="","",IF(_calc!$E$415&lt;=500,IF(LEN(INDEX('Our policies'!$P$4:$P$503,_calc!$E$415))=0,"",INDEX('Our policies'!$P$4:$P$503,_calc!$E$415)),IF(LEN(INDEX('Vendor COIs'!$N$4:$N$503,(_calc!$E$415-500)))=0,"",INDEX('Vendor COIs'!$N$4:$N$503,(_calc!$E$415-500)))))</f>
        <v/>
      </c>
    </row>
    <row r="414">
      <c r="A414" s="46">
        <f>IF(_calc!$E$416="","",IF(_calc!$E$416&lt;=500,IF(LEN(INDEX('Our policies'!$A$4:$A$503,_calc!$E$416))=0,"",INDEX('Our policies'!$A$4:$A$503,_calc!$E$416)),"COI – "&amp;IF(LEN(INDEX('Vendor COIs'!$A$4:$A$503,(_calc!$E$416-500)))=0,"",INDEX('Vendor COIs'!$A$4:$A$503,(_calc!$E$416-500)))&amp;" – "&amp;IF(LEN(INDEX('Vendor COIs'!$B$4:$B$503,(_calc!$E$416-500)))=0,"",INDEX('Vendor COIs'!$B$4:$B$503,(_calc!$E$416-500)))))</f>
        <v/>
      </c>
      <c r="B414" s="46">
        <f>IF(_calc!$E$416="","",IF(_calc!$E$416&lt;=500,IF(ISNUMBER(INDEX('Our policies'!$J$4:$J$503,_calc!$E$416)),TEXT(INDEX('Our policies'!$J$4:$J$503,_calc!$E$416),"yyyy-mm-dd"),""),IF(ISNUMBER(INDEX('Vendor COIs'!$H$4:$H$503,(_calc!$E$416-500))),TEXT(INDEX('Vendor COIs'!$H$4:$H$503,(_calc!$E$416-500)),"yyyy-mm-dd"),"")))</f>
        <v/>
      </c>
      <c r="C414" s="46">
        <f>IF(_calc!$E$416="","",IF(_calc!$E$416&lt;=500,"Insurance","Certificate of insurance"))</f>
        <v/>
      </c>
      <c r="D414" s="46">
        <f>IF(_calc!$E$416="","",IF(_calc!$E$416&lt;=500,IF(ISNUMBER(INDEX('Our policies'!$I$4:$I$503,_calc!$E$416)),TEXT(INDEX('Our policies'!$I$4:$I$503,_calc!$E$416),"yyyy-mm-dd"),""),""))</f>
        <v/>
      </c>
      <c r="E414" s="46">
        <f>IF(_calc!$E$416="","",IF(_calc!$E$416&lt;=500,IF(LEN(INDEX('Our policies'!$Q$4:$Q$503,_calc!$E$416))=0,"",INDEX('Our policies'!$Q$4:$Q$503,_calc!$E$416)),"Medium"))</f>
        <v/>
      </c>
      <c r="F414" s="46">
        <f>IF(_calc!$E$416="","",IF(_calc!$E$416&lt;=500,TRIM(IF(LEN(IF(LEN(INDEX('Our policies'!$B$4:$B$503,_calc!$E$416))=0,"",INDEX('Our policies'!$B$4:$B$503,_calc!$E$416)))=0,"","Cover: "&amp;IF(LEN(INDEX('Our policies'!$B$4:$B$503,_calc!$E$416))=0,"",INDEX('Our policies'!$B$4:$B$503,_calc!$E$416))&amp;". ")&amp;IF(LEN(IF(LEN(INDEX('Our policies'!$C$4:$C$503,_calc!$E$416))=0,"",INDEX('Our policies'!$C$4:$C$503,_calc!$E$416)))=0,"","Insurer: "&amp;IF(LEN(INDEX('Our policies'!$C$4:$C$503,_calc!$E$416))=0,"",INDEX('Our policies'!$C$4:$C$503,_calc!$E$416))&amp;". ")&amp;IF(LEN(IF(LEN(INDEX('Our policies'!$D$4:$D$503,_calc!$E$416))=0,"",INDEX('Our policies'!$D$4:$D$503,_calc!$E$416)))=0,"","Broker: "&amp;IF(LEN(INDEX('Our policies'!$D$4:$D$503,_calc!$E$416))=0,"",INDEX('Our policies'!$D$4:$D$503,_calc!$E$416))&amp;". ")&amp;IF(LEN(IF(LEN(INDEX('Our policies'!$E$4:$E$503,_calc!$E$416))=0,"",INDEX('Our policies'!$E$4:$E$503,_calc!$E$416)))=0,"","Policy no.: "&amp;IF(LEN(INDEX('Our policies'!$E$4:$E$503,_calc!$E$416))=0,"",INDEX('Our policies'!$E$4:$E$503,_calc!$E$416))&amp;". ")&amp;IF(LEN(IF(LEN(INDEX('Our policies'!$S$4:$S$503,_calc!$E$416))=0,"",INDEX('Our policies'!$S$4:$S$503,_calc!$E$416)))=0,"",IF(LEN(INDEX('Our policies'!$S$4:$S$503,_calc!$E$416))=0,"",INDEX('Our policies'!$S$4:$S$503,_calc!$E$416)))),TRIM(IF(LEN(IF(LEN(INDEX('Vendor COIs'!$C$4:$C$503,(_calc!$E$416-500)))=0,"",INDEX('Vendor COIs'!$C$4:$C$503,(_calc!$E$416-500))))=0,"","Insurer: "&amp;IF(LEN(INDEX('Vendor COIs'!$C$4:$C$503,(_calc!$E$416-500)))=0,"",INDEX('Vendor COIs'!$C$4:$C$503,(_calc!$E$416-500)))&amp;". ")&amp;IF(LEN(IF(LEN(INDEX('Vendor COIs'!$D$4:$D$503,(_calc!$E$416-500)))=0,"",INDEX('Vendor COIs'!$D$4:$D$503,(_calc!$E$416-500))))=0,"","Policy no.: "&amp;IF(LEN(INDEX('Vendor COIs'!$D$4:$D$503,(_calc!$E$416-500)))=0,"",INDEX('Vendor COIs'!$D$4:$D$503,(_calc!$E$416-500)))&amp;". ")&amp;IF(LEN(IF(LEN(INDEX('Vendor COIs'!$F$4:$F$503,(_calc!$E$416-500)))=0,"",INDEX('Vendor COIs'!$F$4:$F$503,(_calc!$E$416-500))))=0,"","Meets minimum: "&amp;IF(LEN(INDEX('Vendor COIs'!$F$4:$F$503,(_calc!$E$416-500)))=0,"",INDEX('Vendor COIs'!$F$4:$F$503,(_calc!$E$416-500)))&amp;". ")&amp;IF(LEN(IF(LEN(INDEX('Vendor COIs'!$G$4:$G$503,(_calc!$E$416-500)))=0,"",INDEX('Vendor COIs'!$G$4:$G$503,(_calc!$E$416-500))))=0,"","Additional insured: "&amp;IF(LEN(INDEX('Vendor COIs'!$G$4:$G$503,(_calc!$E$416-500)))=0,"",INDEX('Vendor COIs'!$G$4:$G$503,(_calc!$E$416-500)))&amp;". ")&amp;IF(LEN(IF(LEN(INDEX('Vendor COIs'!$M$4:$M$503,(_calc!$E$416-500)))=0,"",INDEX('Vendor COIs'!$M$4:$M$503,(_calc!$E$416-500))))=0,"","Vendor contact: "&amp;IF(LEN(INDEX('Vendor COIs'!$M$4:$M$503,(_calc!$E$416-500)))=0,"",INDEX('Vendor COIs'!$M$4:$M$503,(_calc!$E$416-500)))&amp;". ")&amp;IF(LEN(IF(LEN(INDEX('Vendor COIs'!$P$4:$P$503,(_calc!$E$416-500)))=0,"",INDEX('Vendor COIs'!$P$4:$P$503,(_calc!$E$416-500))))=0,"",IF(LEN(INDEX('Vendor COIs'!$P$4:$P$503,(_calc!$E$416-500)))=0,"",INDEX('Vendor COIs'!$P$4:$P$503,(_calc!$E$416-500)))))))</f>
        <v/>
      </c>
      <c r="G414" s="46">
        <f>IF(_calc!$E$416="","",IF(_calc!$E$416&lt;=500,IF(LEN(INDEX('Our policies'!$R$4:$R$503,_calc!$E$416))=0,"",INDEX('Our policies'!$R$4:$R$503,_calc!$E$416)),IF(LEN(INDEX('Vendor COIs'!$O$4:$O$503,(_calc!$E$416-500)))=0,"",INDEX('Vendor COIs'!$O$4:$O$503,(_calc!$E$416-500)))))</f>
        <v/>
      </c>
      <c r="H414" s="46">
        <f>IF(_calc!$E$416="","",IF(_calc!$E$416&lt;=500,IF(LEN(INDEX('Our policies'!$G$4:$G$503,_calc!$E$416))=0,"",INDEX('Our policies'!$G$4:$G$503,_calc!$E$416)),""))</f>
        <v/>
      </c>
      <c r="I414" s="46">
        <f>IF(_calc!$E$416="","",IF(_calc!$E$416&lt;=500,IF(LEN(INDEX('Our policies'!$H$4:$H$503,_calc!$E$416))=0,"",INDEX('Our policies'!$H$4:$H$503,_calc!$E$416)),""))</f>
        <v/>
      </c>
      <c r="K414" s="46">
        <f>IF(_calc!$E$416="","",IF(_calc!$E$416&lt;=500,IF(LEN(INDEX('Our policies'!$P$4:$P$503,_calc!$E$416))=0,"",INDEX('Our policies'!$P$4:$P$503,_calc!$E$416)),IF(LEN(INDEX('Vendor COIs'!$N$4:$N$503,(_calc!$E$416-500)))=0,"",INDEX('Vendor COIs'!$N$4:$N$503,(_calc!$E$416-500)))))</f>
        <v/>
      </c>
    </row>
    <row r="415">
      <c r="A415" s="46">
        <f>IF(_calc!$E$417="","",IF(_calc!$E$417&lt;=500,IF(LEN(INDEX('Our policies'!$A$4:$A$503,_calc!$E$417))=0,"",INDEX('Our policies'!$A$4:$A$503,_calc!$E$417)),"COI – "&amp;IF(LEN(INDEX('Vendor COIs'!$A$4:$A$503,(_calc!$E$417-500)))=0,"",INDEX('Vendor COIs'!$A$4:$A$503,(_calc!$E$417-500)))&amp;" – "&amp;IF(LEN(INDEX('Vendor COIs'!$B$4:$B$503,(_calc!$E$417-500)))=0,"",INDEX('Vendor COIs'!$B$4:$B$503,(_calc!$E$417-500)))))</f>
        <v/>
      </c>
      <c r="B415" s="46">
        <f>IF(_calc!$E$417="","",IF(_calc!$E$417&lt;=500,IF(ISNUMBER(INDEX('Our policies'!$J$4:$J$503,_calc!$E$417)),TEXT(INDEX('Our policies'!$J$4:$J$503,_calc!$E$417),"yyyy-mm-dd"),""),IF(ISNUMBER(INDEX('Vendor COIs'!$H$4:$H$503,(_calc!$E$417-500))),TEXT(INDEX('Vendor COIs'!$H$4:$H$503,(_calc!$E$417-500)),"yyyy-mm-dd"),"")))</f>
        <v/>
      </c>
      <c r="C415" s="46">
        <f>IF(_calc!$E$417="","",IF(_calc!$E$417&lt;=500,"Insurance","Certificate of insurance"))</f>
        <v/>
      </c>
      <c r="D415" s="46">
        <f>IF(_calc!$E$417="","",IF(_calc!$E$417&lt;=500,IF(ISNUMBER(INDEX('Our policies'!$I$4:$I$503,_calc!$E$417)),TEXT(INDEX('Our policies'!$I$4:$I$503,_calc!$E$417),"yyyy-mm-dd"),""),""))</f>
        <v/>
      </c>
      <c r="E415" s="46">
        <f>IF(_calc!$E$417="","",IF(_calc!$E$417&lt;=500,IF(LEN(INDEX('Our policies'!$Q$4:$Q$503,_calc!$E$417))=0,"",INDEX('Our policies'!$Q$4:$Q$503,_calc!$E$417)),"Medium"))</f>
        <v/>
      </c>
      <c r="F415" s="46">
        <f>IF(_calc!$E$417="","",IF(_calc!$E$417&lt;=500,TRIM(IF(LEN(IF(LEN(INDEX('Our policies'!$B$4:$B$503,_calc!$E$417))=0,"",INDEX('Our policies'!$B$4:$B$503,_calc!$E$417)))=0,"","Cover: "&amp;IF(LEN(INDEX('Our policies'!$B$4:$B$503,_calc!$E$417))=0,"",INDEX('Our policies'!$B$4:$B$503,_calc!$E$417))&amp;". ")&amp;IF(LEN(IF(LEN(INDEX('Our policies'!$C$4:$C$503,_calc!$E$417))=0,"",INDEX('Our policies'!$C$4:$C$503,_calc!$E$417)))=0,"","Insurer: "&amp;IF(LEN(INDEX('Our policies'!$C$4:$C$503,_calc!$E$417))=0,"",INDEX('Our policies'!$C$4:$C$503,_calc!$E$417))&amp;". ")&amp;IF(LEN(IF(LEN(INDEX('Our policies'!$D$4:$D$503,_calc!$E$417))=0,"",INDEX('Our policies'!$D$4:$D$503,_calc!$E$417)))=0,"","Broker: "&amp;IF(LEN(INDEX('Our policies'!$D$4:$D$503,_calc!$E$417))=0,"",INDEX('Our policies'!$D$4:$D$503,_calc!$E$417))&amp;". ")&amp;IF(LEN(IF(LEN(INDEX('Our policies'!$E$4:$E$503,_calc!$E$417))=0,"",INDEX('Our policies'!$E$4:$E$503,_calc!$E$417)))=0,"","Policy no.: "&amp;IF(LEN(INDEX('Our policies'!$E$4:$E$503,_calc!$E$417))=0,"",INDEX('Our policies'!$E$4:$E$503,_calc!$E$417))&amp;". ")&amp;IF(LEN(IF(LEN(INDEX('Our policies'!$S$4:$S$503,_calc!$E$417))=0,"",INDEX('Our policies'!$S$4:$S$503,_calc!$E$417)))=0,"",IF(LEN(INDEX('Our policies'!$S$4:$S$503,_calc!$E$417))=0,"",INDEX('Our policies'!$S$4:$S$503,_calc!$E$417)))),TRIM(IF(LEN(IF(LEN(INDEX('Vendor COIs'!$C$4:$C$503,(_calc!$E$417-500)))=0,"",INDEX('Vendor COIs'!$C$4:$C$503,(_calc!$E$417-500))))=0,"","Insurer: "&amp;IF(LEN(INDEX('Vendor COIs'!$C$4:$C$503,(_calc!$E$417-500)))=0,"",INDEX('Vendor COIs'!$C$4:$C$503,(_calc!$E$417-500)))&amp;". ")&amp;IF(LEN(IF(LEN(INDEX('Vendor COIs'!$D$4:$D$503,(_calc!$E$417-500)))=0,"",INDEX('Vendor COIs'!$D$4:$D$503,(_calc!$E$417-500))))=0,"","Policy no.: "&amp;IF(LEN(INDEX('Vendor COIs'!$D$4:$D$503,(_calc!$E$417-500)))=0,"",INDEX('Vendor COIs'!$D$4:$D$503,(_calc!$E$417-500)))&amp;". ")&amp;IF(LEN(IF(LEN(INDEX('Vendor COIs'!$F$4:$F$503,(_calc!$E$417-500)))=0,"",INDEX('Vendor COIs'!$F$4:$F$503,(_calc!$E$417-500))))=0,"","Meets minimum: "&amp;IF(LEN(INDEX('Vendor COIs'!$F$4:$F$503,(_calc!$E$417-500)))=0,"",INDEX('Vendor COIs'!$F$4:$F$503,(_calc!$E$417-500)))&amp;". ")&amp;IF(LEN(IF(LEN(INDEX('Vendor COIs'!$G$4:$G$503,(_calc!$E$417-500)))=0,"",INDEX('Vendor COIs'!$G$4:$G$503,(_calc!$E$417-500))))=0,"","Additional insured: "&amp;IF(LEN(INDEX('Vendor COIs'!$G$4:$G$503,(_calc!$E$417-500)))=0,"",INDEX('Vendor COIs'!$G$4:$G$503,(_calc!$E$417-500)))&amp;". ")&amp;IF(LEN(IF(LEN(INDEX('Vendor COIs'!$M$4:$M$503,(_calc!$E$417-500)))=0,"",INDEX('Vendor COIs'!$M$4:$M$503,(_calc!$E$417-500))))=0,"","Vendor contact: "&amp;IF(LEN(INDEX('Vendor COIs'!$M$4:$M$503,(_calc!$E$417-500)))=0,"",INDEX('Vendor COIs'!$M$4:$M$503,(_calc!$E$417-500)))&amp;". ")&amp;IF(LEN(IF(LEN(INDEX('Vendor COIs'!$P$4:$P$503,(_calc!$E$417-500)))=0,"",INDEX('Vendor COIs'!$P$4:$P$503,(_calc!$E$417-500))))=0,"",IF(LEN(INDEX('Vendor COIs'!$P$4:$P$503,(_calc!$E$417-500)))=0,"",INDEX('Vendor COIs'!$P$4:$P$503,(_calc!$E$417-500)))))))</f>
        <v/>
      </c>
      <c r="G415" s="46">
        <f>IF(_calc!$E$417="","",IF(_calc!$E$417&lt;=500,IF(LEN(INDEX('Our policies'!$R$4:$R$503,_calc!$E$417))=0,"",INDEX('Our policies'!$R$4:$R$503,_calc!$E$417)),IF(LEN(INDEX('Vendor COIs'!$O$4:$O$503,(_calc!$E$417-500)))=0,"",INDEX('Vendor COIs'!$O$4:$O$503,(_calc!$E$417-500)))))</f>
        <v/>
      </c>
      <c r="H415" s="46">
        <f>IF(_calc!$E$417="","",IF(_calc!$E$417&lt;=500,IF(LEN(INDEX('Our policies'!$G$4:$G$503,_calc!$E$417))=0,"",INDEX('Our policies'!$G$4:$G$503,_calc!$E$417)),""))</f>
        <v/>
      </c>
      <c r="I415" s="46">
        <f>IF(_calc!$E$417="","",IF(_calc!$E$417&lt;=500,IF(LEN(INDEX('Our policies'!$H$4:$H$503,_calc!$E$417))=0,"",INDEX('Our policies'!$H$4:$H$503,_calc!$E$417)),""))</f>
        <v/>
      </c>
      <c r="K415" s="46">
        <f>IF(_calc!$E$417="","",IF(_calc!$E$417&lt;=500,IF(LEN(INDEX('Our policies'!$P$4:$P$503,_calc!$E$417))=0,"",INDEX('Our policies'!$P$4:$P$503,_calc!$E$417)),IF(LEN(INDEX('Vendor COIs'!$N$4:$N$503,(_calc!$E$417-500)))=0,"",INDEX('Vendor COIs'!$N$4:$N$503,(_calc!$E$417-500)))))</f>
        <v/>
      </c>
    </row>
    <row r="416">
      <c r="A416" s="46">
        <f>IF(_calc!$E$418="","",IF(_calc!$E$418&lt;=500,IF(LEN(INDEX('Our policies'!$A$4:$A$503,_calc!$E$418))=0,"",INDEX('Our policies'!$A$4:$A$503,_calc!$E$418)),"COI – "&amp;IF(LEN(INDEX('Vendor COIs'!$A$4:$A$503,(_calc!$E$418-500)))=0,"",INDEX('Vendor COIs'!$A$4:$A$503,(_calc!$E$418-500)))&amp;" – "&amp;IF(LEN(INDEX('Vendor COIs'!$B$4:$B$503,(_calc!$E$418-500)))=0,"",INDEX('Vendor COIs'!$B$4:$B$503,(_calc!$E$418-500)))))</f>
        <v/>
      </c>
      <c r="B416" s="46">
        <f>IF(_calc!$E$418="","",IF(_calc!$E$418&lt;=500,IF(ISNUMBER(INDEX('Our policies'!$J$4:$J$503,_calc!$E$418)),TEXT(INDEX('Our policies'!$J$4:$J$503,_calc!$E$418),"yyyy-mm-dd"),""),IF(ISNUMBER(INDEX('Vendor COIs'!$H$4:$H$503,(_calc!$E$418-500))),TEXT(INDEX('Vendor COIs'!$H$4:$H$503,(_calc!$E$418-500)),"yyyy-mm-dd"),"")))</f>
        <v/>
      </c>
      <c r="C416" s="46">
        <f>IF(_calc!$E$418="","",IF(_calc!$E$418&lt;=500,"Insurance","Certificate of insurance"))</f>
        <v/>
      </c>
      <c r="D416" s="46">
        <f>IF(_calc!$E$418="","",IF(_calc!$E$418&lt;=500,IF(ISNUMBER(INDEX('Our policies'!$I$4:$I$503,_calc!$E$418)),TEXT(INDEX('Our policies'!$I$4:$I$503,_calc!$E$418),"yyyy-mm-dd"),""),""))</f>
        <v/>
      </c>
      <c r="E416" s="46">
        <f>IF(_calc!$E$418="","",IF(_calc!$E$418&lt;=500,IF(LEN(INDEX('Our policies'!$Q$4:$Q$503,_calc!$E$418))=0,"",INDEX('Our policies'!$Q$4:$Q$503,_calc!$E$418)),"Medium"))</f>
        <v/>
      </c>
      <c r="F416" s="46">
        <f>IF(_calc!$E$418="","",IF(_calc!$E$418&lt;=500,TRIM(IF(LEN(IF(LEN(INDEX('Our policies'!$B$4:$B$503,_calc!$E$418))=0,"",INDEX('Our policies'!$B$4:$B$503,_calc!$E$418)))=0,"","Cover: "&amp;IF(LEN(INDEX('Our policies'!$B$4:$B$503,_calc!$E$418))=0,"",INDEX('Our policies'!$B$4:$B$503,_calc!$E$418))&amp;". ")&amp;IF(LEN(IF(LEN(INDEX('Our policies'!$C$4:$C$503,_calc!$E$418))=0,"",INDEX('Our policies'!$C$4:$C$503,_calc!$E$418)))=0,"","Insurer: "&amp;IF(LEN(INDEX('Our policies'!$C$4:$C$503,_calc!$E$418))=0,"",INDEX('Our policies'!$C$4:$C$503,_calc!$E$418))&amp;". ")&amp;IF(LEN(IF(LEN(INDEX('Our policies'!$D$4:$D$503,_calc!$E$418))=0,"",INDEX('Our policies'!$D$4:$D$503,_calc!$E$418)))=0,"","Broker: "&amp;IF(LEN(INDEX('Our policies'!$D$4:$D$503,_calc!$E$418))=0,"",INDEX('Our policies'!$D$4:$D$503,_calc!$E$418))&amp;". ")&amp;IF(LEN(IF(LEN(INDEX('Our policies'!$E$4:$E$503,_calc!$E$418))=0,"",INDEX('Our policies'!$E$4:$E$503,_calc!$E$418)))=0,"","Policy no.: "&amp;IF(LEN(INDEX('Our policies'!$E$4:$E$503,_calc!$E$418))=0,"",INDEX('Our policies'!$E$4:$E$503,_calc!$E$418))&amp;". ")&amp;IF(LEN(IF(LEN(INDEX('Our policies'!$S$4:$S$503,_calc!$E$418))=0,"",INDEX('Our policies'!$S$4:$S$503,_calc!$E$418)))=0,"",IF(LEN(INDEX('Our policies'!$S$4:$S$503,_calc!$E$418))=0,"",INDEX('Our policies'!$S$4:$S$503,_calc!$E$418)))),TRIM(IF(LEN(IF(LEN(INDEX('Vendor COIs'!$C$4:$C$503,(_calc!$E$418-500)))=0,"",INDEX('Vendor COIs'!$C$4:$C$503,(_calc!$E$418-500))))=0,"","Insurer: "&amp;IF(LEN(INDEX('Vendor COIs'!$C$4:$C$503,(_calc!$E$418-500)))=0,"",INDEX('Vendor COIs'!$C$4:$C$503,(_calc!$E$418-500)))&amp;". ")&amp;IF(LEN(IF(LEN(INDEX('Vendor COIs'!$D$4:$D$503,(_calc!$E$418-500)))=0,"",INDEX('Vendor COIs'!$D$4:$D$503,(_calc!$E$418-500))))=0,"","Policy no.: "&amp;IF(LEN(INDEX('Vendor COIs'!$D$4:$D$503,(_calc!$E$418-500)))=0,"",INDEX('Vendor COIs'!$D$4:$D$503,(_calc!$E$418-500)))&amp;". ")&amp;IF(LEN(IF(LEN(INDEX('Vendor COIs'!$F$4:$F$503,(_calc!$E$418-500)))=0,"",INDEX('Vendor COIs'!$F$4:$F$503,(_calc!$E$418-500))))=0,"","Meets minimum: "&amp;IF(LEN(INDEX('Vendor COIs'!$F$4:$F$503,(_calc!$E$418-500)))=0,"",INDEX('Vendor COIs'!$F$4:$F$503,(_calc!$E$418-500)))&amp;". ")&amp;IF(LEN(IF(LEN(INDEX('Vendor COIs'!$G$4:$G$503,(_calc!$E$418-500)))=0,"",INDEX('Vendor COIs'!$G$4:$G$503,(_calc!$E$418-500))))=0,"","Additional insured: "&amp;IF(LEN(INDEX('Vendor COIs'!$G$4:$G$503,(_calc!$E$418-500)))=0,"",INDEX('Vendor COIs'!$G$4:$G$503,(_calc!$E$418-500)))&amp;". ")&amp;IF(LEN(IF(LEN(INDEX('Vendor COIs'!$M$4:$M$503,(_calc!$E$418-500)))=0,"",INDEX('Vendor COIs'!$M$4:$M$503,(_calc!$E$418-500))))=0,"","Vendor contact: "&amp;IF(LEN(INDEX('Vendor COIs'!$M$4:$M$503,(_calc!$E$418-500)))=0,"",INDEX('Vendor COIs'!$M$4:$M$503,(_calc!$E$418-500)))&amp;". ")&amp;IF(LEN(IF(LEN(INDEX('Vendor COIs'!$P$4:$P$503,(_calc!$E$418-500)))=0,"",INDEX('Vendor COIs'!$P$4:$P$503,(_calc!$E$418-500))))=0,"",IF(LEN(INDEX('Vendor COIs'!$P$4:$P$503,(_calc!$E$418-500)))=0,"",INDEX('Vendor COIs'!$P$4:$P$503,(_calc!$E$418-500)))))))</f>
        <v/>
      </c>
      <c r="G416" s="46">
        <f>IF(_calc!$E$418="","",IF(_calc!$E$418&lt;=500,IF(LEN(INDEX('Our policies'!$R$4:$R$503,_calc!$E$418))=0,"",INDEX('Our policies'!$R$4:$R$503,_calc!$E$418)),IF(LEN(INDEX('Vendor COIs'!$O$4:$O$503,(_calc!$E$418-500)))=0,"",INDEX('Vendor COIs'!$O$4:$O$503,(_calc!$E$418-500)))))</f>
        <v/>
      </c>
      <c r="H416" s="46">
        <f>IF(_calc!$E$418="","",IF(_calc!$E$418&lt;=500,IF(LEN(INDEX('Our policies'!$G$4:$G$503,_calc!$E$418))=0,"",INDEX('Our policies'!$G$4:$G$503,_calc!$E$418)),""))</f>
        <v/>
      </c>
      <c r="I416" s="46">
        <f>IF(_calc!$E$418="","",IF(_calc!$E$418&lt;=500,IF(LEN(INDEX('Our policies'!$H$4:$H$503,_calc!$E$418))=0,"",INDEX('Our policies'!$H$4:$H$503,_calc!$E$418)),""))</f>
        <v/>
      </c>
      <c r="K416" s="46">
        <f>IF(_calc!$E$418="","",IF(_calc!$E$418&lt;=500,IF(LEN(INDEX('Our policies'!$P$4:$P$503,_calc!$E$418))=0,"",INDEX('Our policies'!$P$4:$P$503,_calc!$E$418)),IF(LEN(INDEX('Vendor COIs'!$N$4:$N$503,(_calc!$E$418-500)))=0,"",INDEX('Vendor COIs'!$N$4:$N$503,(_calc!$E$418-500)))))</f>
        <v/>
      </c>
    </row>
    <row r="417">
      <c r="A417" s="46">
        <f>IF(_calc!$E$419="","",IF(_calc!$E$419&lt;=500,IF(LEN(INDEX('Our policies'!$A$4:$A$503,_calc!$E$419))=0,"",INDEX('Our policies'!$A$4:$A$503,_calc!$E$419)),"COI – "&amp;IF(LEN(INDEX('Vendor COIs'!$A$4:$A$503,(_calc!$E$419-500)))=0,"",INDEX('Vendor COIs'!$A$4:$A$503,(_calc!$E$419-500)))&amp;" – "&amp;IF(LEN(INDEX('Vendor COIs'!$B$4:$B$503,(_calc!$E$419-500)))=0,"",INDEX('Vendor COIs'!$B$4:$B$503,(_calc!$E$419-500)))))</f>
        <v/>
      </c>
      <c r="B417" s="46">
        <f>IF(_calc!$E$419="","",IF(_calc!$E$419&lt;=500,IF(ISNUMBER(INDEX('Our policies'!$J$4:$J$503,_calc!$E$419)),TEXT(INDEX('Our policies'!$J$4:$J$503,_calc!$E$419),"yyyy-mm-dd"),""),IF(ISNUMBER(INDEX('Vendor COIs'!$H$4:$H$503,(_calc!$E$419-500))),TEXT(INDEX('Vendor COIs'!$H$4:$H$503,(_calc!$E$419-500)),"yyyy-mm-dd"),"")))</f>
        <v/>
      </c>
      <c r="C417" s="46">
        <f>IF(_calc!$E$419="","",IF(_calc!$E$419&lt;=500,"Insurance","Certificate of insurance"))</f>
        <v/>
      </c>
      <c r="D417" s="46">
        <f>IF(_calc!$E$419="","",IF(_calc!$E$419&lt;=500,IF(ISNUMBER(INDEX('Our policies'!$I$4:$I$503,_calc!$E$419)),TEXT(INDEX('Our policies'!$I$4:$I$503,_calc!$E$419),"yyyy-mm-dd"),""),""))</f>
        <v/>
      </c>
      <c r="E417" s="46">
        <f>IF(_calc!$E$419="","",IF(_calc!$E$419&lt;=500,IF(LEN(INDEX('Our policies'!$Q$4:$Q$503,_calc!$E$419))=0,"",INDEX('Our policies'!$Q$4:$Q$503,_calc!$E$419)),"Medium"))</f>
        <v/>
      </c>
      <c r="F417" s="46">
        <f>IF(_calc!$E$419="","",IF(_calc!$E$419&lt;=500,TRIM(IF(LEN(IF(LEN(INDEX('Our policies'!$B$4:$B$503,_calc!$E$419))=0,"",INDEX('Our policies'!$B$4:$B$503,_calc!$E$419)))=0,"","Cover: "&amp;IF(LEN(INDEX('Our policies'!$B$4:$B$503,_calc!$E$419))=0,"",INDEX('Our policies'!$B$4:$B$503,_calc!$E$419))&amp;". ")&amp;IF(LEN(IF(LEN(INDEX('Our policies'!$C$4:$C$503,_calc!$E$419))=0,"",INDEX('Our policies'!$C$4:$C$503,_calc!$E$419)))=0,"","Insurer: "&amp;IF(LEN(INDEX('Our policies'!$C$4:$C$503,_calc!$E$419))=0,"",INDEX('Our policies'!$C$4:$C$503,_calc!$E$419))&amp;". ")&amp;IF(LEN(IF(LEN(INDEX('Our policies'!$D$4:$D$503,_calc!$E$419))=0,"",INDEX('Our policies'!$D$4:$D$503,_calc!$E$419)))=0,"","Broker: "&amp;IF(LEN(INDEX('Our policies'!$D$4:$D$503,_calc!$E$419))=0,"",INDEX('Our policies'!$D$4:$D$503,_calc!$E$419))&amp;". ")&amp;IF(LEN(IF(LEN(INDEX('Our policies'!$E$4:$E$503,_calc!$E$419))=0,"",INDEX('Our policies'!$E$4:$E$503,_calc!$E$419)))=0,"","Policy no.: "&amp;IF(LEN(INDEX('Our policies'!$E$4:$E$503,_calc!$E$419))=0,"",INDEX('Our policies'!$E$4:$E$503,_calc!$E$419))&amp;". ")&amp;IF(LEN(IF(LEN(INDEX('Our policies'!$S$4:$S$503,_calc!$E$419))=0,"",INDEX('Our policies'!$S$4:$S$503,_calc!$E$419)))=0,"",IF(LEN(INDEX('Our policies'!$S$4:$S$503,_calc!$E$419))=0,"",INDEX('Our policies'!$S$4:$S$503,_calc!$E$419)))),TRIM(IF(LEN(IF(LEN(INDEX('Vendor COIs'!$C$4:$C$503,(_calc!$E$419-500)))=0,"",INDEX('Vendor COIs'!$C$4:$C$503,(_calc!$E$419-500))))=0,"","Insurer: "&amp;IF(LEN(INDEX('Vendor COIs'!$C$4:$C$503,(_calc!$E$419-500)))=0,"",INDEX('Vendor COIs'!$C$4:$C$503,(_calc!$E$419-500)))&amp;". ")&amp;IF(LEN(IF(LEN(INDEX('Vendor COIs'!$D$4:$D$503,(_calc!$E$419-500)))=0,"",INDEX('Vendor COIs'!$D$4:$D$503,(_calc!$E$419-500))))=0,"","Policy no.: "&amp;IF(LEN(INDEX('Vendor COIs'!$D$4:$D$503,(_calc!$E$419-500)))=0,"",INDEX('Vendor COIs'!$D$4:$D$503,(_calc!$E$419-500)))&amp;". ")&amp;IF(LEN(IF(LEN(INDEX('Vendor COIs'!$F$4:$F$503,(_calc!$E$419-500)))=0,"",INDEX('Vendor COIs'!$F$4:$F$503,(_calc!$E$419-500))))=0,"","Meets minimum: "&amp;IF(LEN(INDEX('Vendor COIs'!$F$4:$F$503,(_calc!$E$419-500)))=0,"",INDEX('Vendor COIs'!$F$4:$F$503,(_calc!$E$419-500)))&amp;". ")&amp;IF(LEN(IF(LEN(INDEX('Vendor COIs'!$G$4:$G$503,(_calc!$E$419-500)))=0,"",INDEX('Vendor COIs'!$G$4:$G$503,(_calc!$E$419-500))))=0,"","Additional insured: "&amp;IF(LEN(INDEX('Vendor COIs'!$G$4:$G$503,(_calc!$E$419-500)))=0,"",INDEX('Vendor COIs'!$G$4:$G$503,(_calc!$E$419-500)))&amp;". ")&amp;IF(LEN(IF(LEN(INDEX('Vendor COIs'!$M$4:$M$503,(_calc!$E$419-500)))=0,"",INDEX('Vendor COIs'!$M$4:$M$503,(_calc!$E$419-500))))=0,"","Vendor contact: "&amp;IF(LEN(INDEX('Vendor COIs'!$M$4:$M$503,(_calc!$E$419-500)))=0,"",INDEX('Vendor COIs'!$M$4:$M$503,(_calc!$E$419-500)))&amp;". ")&amp;IF(LEN(IF(LEN(INDEX('Vendor COIs'!$P$4:$P$503,(_calc!$E$419-500)))=0,"",INDEX('Vendor COIs'!$P$4:$P$503,(_calc!$E$419-500))))=0,"",IF(LEN(INDEX('Vendor COIs'!$P$4:$P$503,(_calc!$E$419-500)))=0,"",INDEX('Vendor COIs'!$P$4:$P$503,(_calc!$E$419-500)))))))</f>
        <v/>
      </c>
      <c r="G417" s="46">
        <f>IF(_calc!$E$419="","",IF(_calc!$E$419&lt;=500,IF(LEN(INDEX('Our policies'!$R$4:$R$503,_calc!$E$419))=0,"",INDEX('Our policies'!$R$4:$R$503,_calc!$E$419)),IF(LEN(INDEX('Vendor COIs'!$O$4:$O$503,(_calc!$E$419-500)))=0,"",INDEX('Vendor COIs'!$O$4:$O$503,(_calc!$E$419-500)))))</f>
        <v/>
      </c>
      <c r="H417" s="46">
        <f>IF(_calc!$E$419="","",IF(_calc!$E$419&lt;=500,IF(LEN(INDEX('Our policies'!$G$4:$G$503,_calc!$E$419))=0,"",INDEX('Our policies'!$G$4:$G$503,_calc!$E$419)),""))</f>
        <v/>
      </c>
      <c r="I417" s="46">
        <f>IF(_calc!$E$419="","",IF(_calc!$E$419&lt;=500,IF(LEN(INDEX('Our policies'!$H$4:$H$503,_calc!$E$419))=0,"",INDEX('Our policies'!$H$4:$H$503,_calc!$E$419)),""))</f>
        <v/>
      </c>
      <c r="K417" s="46">
        <f>IF(_calc!$E$419="","",IF(_calc!$E$419&lt;=500,IF(LEN(INDEX('Our policies'!$P$4:$P$503,_calc!$E$419))=0,"",INDEX('Our policies'!$P$4:$P$503,_calc!$E$419)),IF(LEN(INDEX('Vendor COIs'!$N$4:$N$503,(_calc!$E$419-500)))=0,"",INDEX('Vendor COIs'!$N$4:$N$503,(_calc!$E$419-500)))))</f>
        <v/>
      </c>
    </row>
    <row r="418">
      <c r="A418" s="46">
        <f>IF(_calc!$E$420="","",IF(_calc!$E$420&lt;=500,IF(LEN(INDEX('Our policies'!$A$4:$A$503,_calc!$E$420))=0,"",INDEX('Our policies'!$A$4:$A$503,_calc!$E$420)),"COI – "&amp;IF(LEN(INDEX('Vendor COIs'!$A$4:$A$503,(_calc!$E$420-500)))=0,"",INDEX('Vendor COIs'!$A$4:$A$503,(_calc!$E$420-500)))&amp;" – "&amp;IF(LEN(INDEX('Vendor COIs'!$B$4:$B$503,(_calc!$E$420-500)))=0,"",INDEX('Vendor COIs'!$B$4:$B$503,(_calc!$E$420-500)))))</f>
        <v/>
      </c>
      <c r="B418" s="46">
        <f>IF(_calc!$E$420="","",IF(_calc!$E$420&lt;=500,IF(ISNUMBER(INDEX('Our policies'!$J$4:$J$503,_calc!$E$420)),TEXT(INDEX('Our policies'!$J$4:$J$503,_calc!$E$420),"yyyy-mm-dd"),""),IF(ISNUMBER(INDEX('Vendor COIs'!$H$4:$H$503,(_calc!$E$420-500))),TEXT(INDEX('Vendor COIs'!$H$4:$H$503,(_calc!$E$420-500)),"yyyy-mm-dd"),"")))</f>
        <v/>
      </c>
      <c r="C418" s="46">
        <f>IF(_calc!$E$420="","",IF(_calc!$E$420&lt;=500,"Insurance","Certificate of insurance"))</f>
        <v/>
      </c>
      <c r="D418" s="46">
        <f>IF(_calc!$E$420="","",IF(_calc!$E$420&lt;=500,IF(ISNUMBER(INDEX('Our policies'!$I$4:$I$503,_calc!$E$420)),TEXT(INDEX('Our policies'!$I$4:$I$503,_calc!$E$420),"yyyy-mm-dd"),""),""))</f>
        <v/>
      </c>
      <c r="E418" s="46">
        <f>IF(_calc!$E$420="","",IF(_calc!$E$420&lt;=500,IF(LEN(INDEX('Our policies'!$Q$4:$Q$503,_calc!$E$420))=0,"",INDEX('Our policies'!$Q$4:$Q$503,_calc!$E$420)),"Medium"))</f>
        <v/>
      </c>
      <c r="F418" s="46">
        <f>IF(_calc!$E$420="","",IF(_calc!$E$420&lt;=500,TRIM(IF(LEN(IF(LEN(INDEX('Our policies'!$B$4:$B$503,_calc!$E$420))=0,"",INDEX('Our policies'!$B$4:$B$503,_calc!$E$420)))=0,"","Cover: "&amp;IF(LEN(INDEX('Our policies'!$B$4:$B$503,_calc!$E$420))=0,"",INDEX('Our policies'!$B$4:$B$503,_calc!$E$420))&amp;". ")&amp;IF(LEN(IF(LEN(INDEX('Our policies'!$C$4:$C$503,_calc!$E$420))=0,"",INDEX('Our policies'!$C$4:$C$503,_calc!$E$420)))=0,"","Insurer: "&amp;IF(LEN(INDEX('Our policies'!$C$4:$C$503,_calc!$E$420))=0,"",INDEX('Our policies'!$C$4:$C$503,_calc!$E$420))&amp;". ")&amp;IF(LEN(IF(LEN(INDEX('Our policies'!$D$4:$D$503,_calc!$E$420))=0,"",INDEX('Our policies'!$D$4:$D$503,_calc!$E$420)))=0,"","Broker: "&amp;IF(LEN(INDEX('Our policies'!$D$4:$D$503,_calc!$E$420))=0,"",INDEX('Our policies'!$D$4:$D$503,_calc!$E$420))&amp;". ")&amp;IF(LEN(IF(LEN(INDEX('Our policies'!$E$4:$E$503,_calc!$E$420))=0,"",INDEX('Our policies'!$E$4:$E$503,_calc!$E$420)))=0,"","Policy no.: "&amp;IF(LEN(INDEX('Our policies'!$E$4:$E$503,_calc!$E$420))=0,"",INDEX('Our policies'!$E$4:$E$503,_calc!$E$420))&amp;". ")&amp;IF(LEN(IF(LEN(INDEX('Our policies'!$S$4:$S$503,_calc!$E$420))=0,"",INDEX('Our policies'!$S$4:$S$503,_calc!$E$420)))=0,"",IF(LEN(INDEX('Our policies'!$S$4:$S$503,_calc!$E$420))=0,"",INDEX('Our policies'!$S$4:$S$503,_calc!$E$420)))),TRIM(IF(LEN(IF(LEN(INDEX('Vendor COIs'!$C$4:$C$503,(_calc!$E$420-500)))=0,"",INDEX('Vendor COIs'!$C$4:$C$503,(_calc!$E$420-500))))=0,"","Insurer: "&amp;IF(LEN(INDEX('Vendor COIs'!$C$4:$C$503,(_calc!$E$420-500)))=0,"",INDEX('Vendor COIs'!$C$4:$C$503,(_calc!$E$420-500)))&amp;". ")&amp;IF(LEN(IF(LEN(INDEX('Vendor COIs'!$D$4:$D$503,(_calc!$E$420-500)))=0,"",INDEX('Vendor COIs'!$D$4:$D$503,(_calc!$E$420-500))))=0,"","Policy no.: "&amp;IF(LEN(INDEX('Vendor COIs'!$D$4:$D$503,(_calc!$E$420-500)))=0,"",INDEX('Vendor COIs'!$D$4:$D$503,(_calc!$E$420-500)))&amp;". ")&amp;IF(LEN(IF(LEN(INDEX('Vendor COIs'!$F$4:$F$503,(_calc!$E$420-500)))=0,"",INDEX('Vendor COIs'!$F$4:$F$503,(_calc!$E$420-500))))=0,"","Meets minimum: "&amp;IF(LEN(INDEX('Vendor COIs'!$F$4:$F$503,(_calc!$E$420-500)))=0,"",INDEX('Vendor COIs'!$F$4:$F$503,(_calc!$E$420-500)))&amp;". ")&amp;IF(LEN(IF(LEN(INDEX('Vendor COIs'!$G$4:$G$503,(_calc!$E$420-500)))=0,"",INDEX('Vendor COIs'!$G$4:$G$503,(_calc!$E$420-500))))=0,"","Additional insured: "&amp;IF(LEN(INDEX('Vendor COIs'!$G$4:$G$503,(_calc!$E$420-500)))=0,"",INDEX('Vendor COIs'!$G$4:$G$503,(_calc!$E$420-500)))&amp;". ")&amp;IF(LEN(IF(LEN(INDEX('Vendor COIs'!$M$4:$M$503,(_calc!$E$420-500)))=0,"",INDEX('Vendor COIs'!$M$4:$M$503,(_calc!$E$420-500))))=0,"","Vendor contact: "&amp;IF(LEN(INDEX('Vendor COIs'!$M$4:$M$503,(_calc!$E$420-500)))=0,"",INDEX('Vendor COIs'!$M$4:$M$503,(_calc!$E$420-500)))&amp;". ")&amp;IF(LEN(IF(LEN(INDEX('Vendor COIs'!$P$4:$P$503,(_calc!$E$420-500)))=0,"",INDEX('Vendor COIs'!$P$4:$P$503,(_calc!$E$420-500))))=0,"",IF(LEN(INDEX('Vendor COIs'!$P$4:$P$503,(_calc!$E$420-500)))=0,"",INDEX('Vendor COIs'!$P$4:$P$503,(_calc!$E$420-500)))))))</f>
        <v/>
      </c>
      <c r="G418" s="46">
        <f>IF(_calc!$E$420="","",IF(_calc!$E$420&lt;=500,IF(LEN(INDEX('Our policies'!$R$4:$R$503,_calc!$E$420))=0,"",INDEX('Our policies'!$R$4:$R$503,_calc!$E$420)),IF(LEN(INDEX('Vendor COIs'!$O$4:$O$503,(_calc!$E$420-500)))=0,"",INDEX('Vendor COIs'!$O$4:$O$503,(_calc!$E$420-500)))))</f>
        <v/>
      </c>
      <c r="H418" s="46">
        <f>IF(_calc!$E$420="","",IF(_calc!$E$420&lt;=500,IF(LEN(INDEX('Our policies'!$G$4:$G$503,_calc!$E$420))=0,"",INDEX('Our policies'!$G$4:$G$503,_calc!$E$420)),""))</f>
        <v/>
      </c>
      <c r="I418" s="46">
        <f>IF(_calc!$E$420="","",IF(_calc!$E$420&lt;=500,IF(LEN(INDEX('Our policies'!$H$4:$H$503,_calc!$E$420))=0,"",INDEX('Our policies'!$H$4:$H$503,_calc!$E$420)),""))</f>
        <v/>
      </c>
      <c r="K418" s="46">
        <f>IF(_calc!$E$420="","",IF(_calc!$E$420&lt;=500,IF(LEN(INDEX('Our policies'!$P$4:$P$503,_calc!$E$420))=0,"",INDEX('Our policies'!$P$4:$P$503,_calc!$E$420)),IF(LEN(INDEX('Vendor COIs'!$N$4:$N$503,(_calc!$E$420-500)))=0,"",INDEX('Vendor COIs'!$N$4:$N$503,(_calc!$E$420-500)))))</f>
        <v/>
      </c>
    </row>
    <row r="419">
      <c r="A419" s="46">
        <f>IF(_calc!$E$421="","",IF(_calc!$E$421&lt;=500,IF(LEN(INDEX('Our policies'!$A$4:$A$503,_calc!$E$421))=0,"",INDEX('Our policies'!$A$4:$A$503,_calc!$E$421)),"COI – "&amp;IF(LEN(INDEX('Vendor COIs'!$A$4:$A$503,(_calc!$E$421-500)))=0,"",INDEX('Vendor COIs'!$A$4:$A$503,(_calc!$E$421-500)))&amp;" – "&amp;IF(LEN(INDEX('Vendor COIs'!$B$4:$B$503,(_calc!$E$421-500)))=0,"",INDEX('Vendor COIs'!$B$4:$B$503,(_calc!$E$421-500)))))</f>
        <v/>
      </c>
      <c r="B419" s="46">
        <f>IF(_calc!$E$421="","",IF(_calc!$E$421&lt;=500,IF(ISNUMBER(INDEX('Our policies'!$J$4:$J$503,_calc!$E$421)),TEXT(INDEX('Our policies'!$J$4:$J$503,_calc!$E$421),"yyyy-mm-dd"),""),IF(ISNUMBER(INDEX('Vendor COIs'!$H$4:$H$503,(_calc!$E$421-500))),TEXT(INDEX('Vendor COIs'!$H$4:$H$503,(_calc!$E$421-500)),"yyyy-mm-dd"),"")))</f>
        <v/>
      </c>
      <c r="C419" s="46">
        <f>IF(_calc!$E$421="","",IF(_calc!$E$421&lt;=500,"Insurance","Certificate of insurance"))</f>
        <v/>
      </c>
      <c r="D419" s="46">
        <f>IF(_calc!$E$421="","",IF(_calc!$E$421&lt;=500,IF(ISNUMBER(INDEX('Our policies'!$I$4:$I$503,_calc!$E$421)),TEXT(INDEX('Our policies'!$I$4:$I$503,_calc!$E$421),"yyyy-mm-dd"),""),""))</f>
        <v/>
      </c>
      <c r="E419" s="46">
        <f>IF(_calc!$E$421="","",IF(_calc!$E$421&lt;=500,IF(LEN(INDEX('Our policies'!$Q$4:$Q$503,_calc!$E$421))=0,"",INDEX('Our policies'!$Q$4:$Q$503,_calc!$E$421)),"Medium"))</f>
        <v/>
      </c>
      <c r="F419" s="46">
        <f>IF(_calc!$E$421="","",IF(_calc!$E$421&lt;=500,TRIM(IF(LEN(IF(LEN(INDEX('Our policies'!$B$4:$B$503,_calc!$E$421))=0,"",INDEX('Our policies'!$B$4:$B$503,_calc!$E$421)))=0,"","Cover: "&amp;IF(LEN(INDEX('Our policies'!$B$4:$B$503,_calc!$E$421))=0,"",INDEX('Our policies'!$B$4:$B$503,_calc!$E$421))&amp;". ")&amp;IF(LEN(IF(LEN(INDEX('Our policies'!$C$4:$C$503,_calc!$E$421))=0,"",INDEX('Our policies'!$C$4:$C$503,_calc!$E$421)))=0,"","Insurer: "&amp;IF(LEN(INDEX('Our policies'!$C$4:$C$503,_calc!$E$421))=0,"",INDEX('Our policies'!$C$4:$C$503,_calc!$E$421))&amp;". ")&amp;IF(LEN(IF(LEN(INDEX('Our policies'!$D$4:$D$503,_calc!$E$421))=0,"",INDEX('Our policies'!$D$4:$D$503,_calc!$E$421)))=0,"","Broker: "&amp;IF(LEN(INDEX('Our policies'!$D$4:$D$503,_calc!$E$421))=0,"",INDEX('Our policies'!$D$4:$D$503,_calc!$E$421))&amp;". ")&amp;IF(LEN(IF(LEN(INDEX('Our policies'!$E$4:$E$503,_calc!$E$421))=0,"",INDEX('Our policies'!$E$4:$E$503,_calc!$E$421)))=0,"","Policy no.: "&amp;IF(LEN(INDEX('Our policies'!$E$4:$E$503,_calc!$E$421))=0,"",INDEX('Our policies'!$E$4:$E$503,_calc!$E$421))&amp;". ")&amp;IF(LEN(IF(LEN(INDEX('Our policies'!$S$4:$S$503,_calc!$E$421))=0,"",INDEX('Our policies'!$S$4:$S$503,_calc!$E$421)))=0,"",IF(LEN(INDEX('Our policies'!$S$4:$S$503,_calc!$E$421))=0,"",INDEX('Our policies'!$S$4:$S$503,_calc!$E$421)))),TRIM(IF(LEN(IF(LEN(INDEX('Vendor COIs'!$C$4:$C$503,(_calc!$E$421-500)))=0,"",INDEX('Vendor COIs'!$C$4:$C$503,(_calc!$E$421-500))))=0,"","Insurer: "&amp;IF(LEN(INDEX('Vendor COIs'!$C$4:$C$503,(_calc!$E$421-500)))=0,"",INDEX('Vendor COIs'!$C$4:$C$503,(_calc!$E$421-500)))&amp;". ")&amp;IF(LEN(IF(LEN(INDEX('Vendor COIs'!$D$4:$D$503,(_calc!$E$421-500)))=0,"",INDEX('Vendor COIs'!$D$4:$D$503,(_calc!$E$421-500))))=0,"","Policy no.: "&amp;IF(LEN(INDEX('Vendor COIs'!$D$4:$D$503,(_calc!$E$421-500)))=0,"",INDEX('Vendor COIs'!$D$4:$D$503,(_calc!$E$421-500)))&amp;". ")&amp;IF(LEN(IF(LEN(INDEX('Vendor COIs'!$F$4:$F$503,(_calc!$E$421-500)))=0,"",INDEX('Vendor COIs'!$F$4:$F$503,(_calc!$E$421-500))))=0,"","Meets minimum: "&amp;IF(LEN(INDEX('Vendor COIs'!$F$4:$F$503,(_calc!$E$421-500)))=0,"",INDEX('Vendor COIs'!$F$4:$F$503,(_calc!$E$421-500)))&amp;". ")&amp;IF(LEN(IF(LEN(INDEX('Vendor COIs'!$G$4:$G$503,(_calc!$E$421-500)))=0,"",INDEX('Vendor COIs'!$G$4:$G$503,(_calc!$E$421-500))))=0,"","Additional insured: "&amp;IF(LEN(INDEX('Vendor COIs'!$G$4:$G$503,(_calc!$E$421-500)))=0,"",INDEX('Vendor COIs'!$G$4:$G$503,(_calc!$E$421-500)))&amp;". ")&amp;IF(LEN(IF(LEN(INDEX('Vendor COIs'!$M$4:$M$503,(_calc!$E$421-500)))=0,"",INDEX('Vendor COIs'!$M$4:$M$503,(_calc!$E$421-500))))=0,"","Vendor contact: "&amp;IF(LEN(INDEX('Vendor COIs'!$M$4:$M$503,(_calc!$E$421-500)))=0,"",INDEX('Vendor COIs'!$M$4:$M$503,(_calc!$E$421-500)))&amp;". ")&amp;IF(LEN(IF(LEN(INDEX('Vendor COIs'!$P$4:$P$503,(_calc!$E$421-500)))=0,"",INDEX('Vendor COIs'!$P$4:$P$503,(_calc!$E$421-500))))=0,"",IF(LEN(INDEX('Vendor COIs'!$P$4:$P$503,(_calc!$E$421-500)))=0,"",INDEX('Vendor COIs'!$P$4:$P$503,(_calc!$E$421-500)))))))</f>
        <v/>
      </c>
      <c r="G419" s="46">
        <f>IF(_calc!$E$421="","",IF(_calc!$E$421&lt;=500,IF(LEN(INDEX('Our policies'!$R$4:$R$503,_calc!$E$421))=0,"",INDEX('Our policies'!$R$4:$R$503,_calc!$E$421)),IF(LEN(INDEX('Vendor COIs'!$O$4:$O$503,(_calc!$E$421-500)))=0,"",INDEX('Vendor COIs'!$O$4:$O$503,(_calc!$E$421-500)))))</f>
        <v/>
      </c>
      <c r="H419" s="46">
        <f>IF(_calc!$E$421="","",IF(_calc!$E$421&lt;=500,IF(LEN(INDEX('Our policies'!$G$4:$G$503,_calc!$E$421))=0,"",INDEX('Our policies'!$G$4:$G$503,_calc!$E$421)),""))</f>
        <v/>
      </c>
      <c r="I419" s="46">
        <f>IF(_calc!$E$421="","",IF(_calc!$E$421&lt;=500,IF(LEN(INDEX('Our policies'!$H$4:$H$503,_calc!$E$421))=0,"",INDEX('Our policies'!$H$4:$H$503,_calc!$E$421)),""))</f>
        <v/>
      </c>
      <c r="K419" s="46">
        <f>IF(_calc!$E$421="","",IF(_calc!$E$421&lt;=500,IF(LEN(INDEX('Our policies'!$P$4:$P$503,_calc!$E$421))=0,"",INDEX('Our policies'!$P$4:$P$503,_calc!$E$421)),IF(LEN(INDEX('Vendor COIs'!$N$4:$N$503,(_calc!$E$421-500)))=0,"",INDEX('Vendor COIs'!$N$4:$N$503,(_calc!$E$421-500)))))</f>
        <v/>
      </c>
    </row>
    <row r="420">
      <c r="A420" s="46">
        <f>IF(_calc!$E$422="","",IF(_calc!$E$422&lt;=500,IF(LEN(INDEX('Our policies'!$A$4:$A$503,_calc!$E$422))=0,"",INDEX('Our policies'!$A$4:$A$503,_calc!$E$422)),"COI – "&amp;IF(LEN(INDEX('Vendor COIs'!$A$4:$A$503,(_calc!$E$422-500)))=0,"",INDEX('Vendor COIs'!$A$4:$A$503,(_calc!$E$422-500)))&amp;" – "&amp;IF(LEN(INDEX('Vendor COIs'!$B$4:$B$503,(_calc!$E$422-500)))=0,"",INDEX('Vendor COIs'!$B$4:$B$503,(_calc!$E$422-500)))))</f>
        <v/>
      </c>
      <c r="B420" s="46">
        <f>IF(_calc!$E$422="","",IF(_calc!$E$422&lt;=500,IF(ISNUMBER(INDEX('Our policies'!$J$4:$J$503,_calc!$E$422)),TEXT(INDEX('Our policies'!$J$4:$J$503,_calc!$E$422),"yyyy-mm-dd"),""),IF(ISNUMBER(INDEX('Vendor COIs'!$H$4:$H$503,(_calc!$E$422-500))),TEXT(INDEX('Vendor COIs'!$H$4:$H$503,(_calc!$E$422-500)),"yyyy-mm-dd"),"")))</f>
        <v/>
      </c>
      <c r="C420" s="46">
        <f>IF(_calc!$E$422="","",IF(_calc!$E$422&lt;=500,"Insurance","Certificate of insurance"))</f>
        <v/>
      </c>
      <c r="D420" s="46">
        <f>IF(_calc!$E$422="","",IF(_calc!$E$422&lt;=500,IF(ISNUMBER(INDEX('Our policies'!$I$4:$I$503,_calc!$E$422)),TEXT(INDEX('Our policies'!$I$4:$I$503,_calc!$E$422),"yyyy-mm-dd"),""),""))</f>
        <v/>
      </c>
      <c r="E420" s="46">
        <f>IF(_calc!$E$422="","",IF(_calc!$E$422&lt;=500,IF(LEN(INDEX('Our policies'!$Q$4:$Q$503,_calc!$E$422))=0,"",INDEX('Our policies'!$Q$4:$Q$503,_calc!$E$422)),"Medium"))</f>
        <v/>
      </c>
      <c r="F420" s="46">
        <f>IF(_calc!$E$422="","",IF(_calc!$E$422&lt;=500,TRIM(IF(LEN(IF(LEN(INDEX('Our policies'!$B$4:$B$503,_calc!$E$422))=0,"",INDEX('Our policies'!$B$4:$B$503,_calc!$E$422)))=0,"","Cover: "&amp;IF(LEN(INDEX('Our policies'!$B$4:$B$503,_calc!$E$422))=0,"",INDEX('Our policies'!$B$4:$B$503,_calc!$E$422))&amp;". ")&amp;IF(LEN(IF(LEN(INDEX('Our policies'!$C$4:$C$503,_calc!$E$422))=0,"",INDEX('Our policies'!$C$4:$C$503,_calc!$E$422)))=0,"","Insurer: "&amp;IF(LEN(INDEX('Our policies'!$C$4:$C$503,_calc!$E$422))=0,"",INDEX('Our policies'!$C$4:$C$503,_calc!$E$422))&amp;". ")&amp;IF(LEN(IF(LEN(INDEX('Our policies'!$D$4:$D$503,_calc!$E$422))=0,"",INDEX('Our policies'!$D$4:$D$503,_calc!$E$422)))=0,"","Broker: "&amp;IF(LEN(INDEX('Our policies'!$D$4:$D$503,_calc!$E$422))=0,"",INDEX('Our policies'!$D$4:$D$503,_calc!$E$422))&amp;". ")&amp;IF(LEN(IF(LEN(INDEX('Our policies'!$E$4:$E$503,_calc!$E$422))=0,"",INDEX('Our policies'!$E$4:$E$503,_calc!$E$422)))=0,"","Policy no.: "&amp;IF(LEN(INDEX('Our policies'!$E$4:$E$503,_calc!$E$422))=0,"",INDEX('Our policies'!$E$4:$E$503,_calc!$E$422))&amp;". ")&amp;IF(LEN(IF(LEN(INDEX('Our policies'!$S$4:$S$503,_calc!$E$422))=0,"",INDEX('Our policies'!$S$4:$S$503,_calc!$E$422)))=0,"",IF(LEN(INDEX('Our policies'!$S$4:$S$503,_calc!$E$422))=0,"",INDEX('Our policies'!$S$4:$S$503,_calc!$E$422)))),TRIM(IF(LEN(IF(LEN(INDEX('Vendor COIs'!$C$4:$C$503,(_calc!$E$422-500)))=0,"",INDEX('Vendor COIs'!$C$4:$C$503,(_calc!$E$422-500))))=0,"","Insurer: "&amp;IF(LEN(INDEX('Vendor COIs'!$C$4:$C$503,(_calc!$E$422-500)))=0,"",INDEX('Vendor COIs'!$C$4:$C$503,(_calc!$E$422-500)))&amp;". ")&amp;IF(LEN(IF(LEN(INDEX('Vendor COIs'!$D$4:$D$503,(_calc!$E$422-500)))=0,"",INDEX('Vendor COIs'!$D$4:$D$503,(_calc!$E$422-500))))=0,"","Policy no.: "&amp;IF(LEN(INDEX('Vendor COIs'!$D$4:$D$503,(_calc!$E$422-500)))=0,"",INDEX('Vendor COIs'!$D$4:$D$503,(_calc!$E$422-500)))&amp;". ")&amp;IF(LEN(IF(LEN(INDEX('Vendor COIs'!$F$4:$F$503,(_calc!$E$422-500)))=0,"",INDEX('Vendor COIs'!$F$4:$F$503,(_calc!$E$422-500))))=0,"","Meets minimum: "&amp;IF(LEN(INDEX('Vendor COIs'!$F$4:$F$503,(_calc!$E$422-500)))=0,"",INDEX('Vendor COIs'!$F$4:$F$503,(_calc!$E$422-500)))&amp;". ")&amp;IF(LEN(IF(LEN(INDEX('Vendor COIs'!$G$4:$G$503,(_calc!$E$422-500)))=0,"",INDEX('Vendor COIs'!$G$4:$G$503,(_calc!$E$422-500))))=0,"","Additional insured: "&amp;IF(LEN(INDEX('Vendor COIs'!$G$4:$G$503,(_calc!$E$422-500)))=0,"",INDEX('Vendor COIs'!$G$4:$G$503,(_calc!$E$422-500)))&amp;". ")&amp;IF(LEN(IF(LEN(INDEX('Vendor COIs'!$M$4:$M$503,(_calc!$E$422-500)))=0,"",INDEX('Vendor COIs'!$M$4:$M$503,(_calc!$E$422-500))))=0,"","Vendor contact: "&amp;IF(LEN(INDEX('Vendor COIs'!$M$4:$M$503,(_calc!$E$422-500)))=0,"",INDEX('Vendor COIs'!$M$4:$M$503,(_calc!$E$422-500)))&amp;". ")&amp;IF(LEN(IF(LEN(INDEX('Vendor COIs'!$P$4:$P$503,(_calc!$E$422-500)))=0,"",INDEX('Vendor COIs'!$P$4:$P$503,(_calc!$E$422-500))))=0,"",IF(LEN(INDEX('Vendor COIs'!$P$4:$P$503,(_calc!$E$422-500)))=0,"",INDEX('Vendor COIs'!$P$4:$P$503,(_calc!$E$422-500)))))))</f>
        <v/>
      </c>
      <c r="G420" s="46">
        <f>IF(_calc!$E$422="","",IF(_calc!$E$422&lt;=500,IF(LEN(INDEX('Our policies'!$R$4:$R$503,_calc!$E$422))=0,"",INDEX('Our policies'!$R$4:$R$503,_calc!$E$422)),IF(LEN(INDEX('Vendor COIs'!$O$4:$O$503,(_calc!$E$422-500)))=0,"",INDEX('Vendor COIs'!$O$4:$O$503,(_calc!$E$422-500)))))</f>
        <v/>
      </c>
      <c r="H420" s="46">
        <f>IF(_calc!$E$422="","",IF(_calc!$E$422&lt;=500,IF(LEN(INDEX('Our policies'!$G$4:$G$503,_calc!$E$422))=0,"",INDEX('Our policies'!$G$4:$G$503,_calc!$E$422)),""))</f>
        <v/>
      </c>
      <c r="I420" s="46">
        <f>IF(_calc!$E$422="","",IF(_calc!$E$422&lt;=500,IF(LEN(INDEX('Our policies'!$H$4:$H$503,_calc!$E$422))=0,"",INDEX('Our policies'!$H$4:$H$503,_calc!$E$422)),""))</f>
        <v/>
      </c>
      <c r="K420" s="46">
        <f>IF(_calc!$E$422="","",IF(_calc!$E$422&lt;=500,IF(LEN(INDEX('Our policies'!$P$4:$P$503,_calc!$E$422))=0,"",INDEX('Our policies'!$P$4:$P$503,_calc!$E$422)),IF(LEN(INDEX('Vendor COIs'!$N$4:$N$503,(_calc!$E$422-500)))=0,"",INDEX('Vendor COIs'!$N$4:$N$503,(_calc!$E$422-500)))))</f>
        <v/>
      </c>
    </row>
    <row r="421">
      <c r="A421" s="46">
        <f>IF(_calc!$E$423="","",IF(_calc!$E$423&lt;=500,IF(LEN(INDEX('Our policies'!$A$4:$A$503,_calc!$E$423))=0,"",INDEX('Our policies'!$A$4:$A$503,_calc!$E$423)),"COI – "&amp;IF(LEN(INDEX('Vendor COIs'!$A$4:$A$503,(_calc!$E$423-500)))=0,"",INDEX('Vendor COIs'!$A$4:$A$503,(_calc!$E$423-500)))&amp;" – "&amp;IF(LEN(INDEX('Vendor COIs'!$B$4:$B$503,(_calc!$E$423-500)))=0,"",INDEX('Vendor COIs'!$B$4:$B$503,(_calc!$E$423-500)))))</f>
        <v/>
      </c>
      <c r="B421" s="46">
        <f>IF(_calc!$E$423="","",IF(_calc!$E$423&lt;=500,IF(ISNUMBER(INDEX('Our policies'!$J$4:$J$503,_calc!$E$423)),TEXT(INDEX('Our policies'!$J$4:$J$503,_calc!$E$423),"yyyy-mm-dd"),""),IF(ISNUMBER(INDEX('Vendor COIs'!$H$4:$H$503,(_calc!$E$423-500))),TEXT(INDEX('Vendor COIs'!$H$4:$H$503,(_calc!$E$423-500)),"yyyy-mm-dd"),"")))</f>
        <v/>
      </c>
      <c r="C421" s="46">
        <f>IF(_calc!$E$423="","",IF(_calc!$E$423&lt;=500,"Insurance","Certificate of insurance"))</f>
        <v/>
      </c>
      <c r="D421" s="46">
        <f>IF(_calc!$E$423="","",IF(_calc!$E$423&lt;=500,IF(ISNUMBER(INDEX('Our policies'!$I$4:$I$503,_calc!$E$423)),TEXT(INDEX('Our policies'!$I$4:$I$503,_calc!$E$423),"yyyy-mm-dd"),""),""))</f>
        <v/>
      </c>
      <c r="E421" s="46">
        <f>IF(_calc!$E$423="","",IF(_calc!$E$423&lt;=500,IF(LEN(INDEX('Our policies'!$Q$4:$Q$503,_calc!$E$423))=0,"",INDEX('Our policies'!$Q$4:$Q$503,_calc!$E$423)),"Medium"))</f>
        <v/>
      </c>
      <c r="F421" s="46">
        <f>IF(_calc!$E$423="","",IF(_calc!$E$423&lt;=500,TRIM(IF(LEN(IF(LEN(INDEX('Our policies'!$B$4:$B$503,_calc!$E$423))=0,"",INDEX('Our policies'!$B$4:$B$503,_calc!$E$423)))=0,"","Cover: "&amp;IF(LEN(INDEX('Our policies'!$B$4:$B$503,_calc!$E$423))=0,"",INDEX('Our policies'!$B$4:$B$503,_calc!$E$423))&amp;". ")&amp;IF(LEN(IF(LEN(INDEX('Our policies'!$C$4:$C$503,_calc!$E$423))=0,"",INDEX('Our policies'!$C$4:$C$503,_calc!$E$423)))=0,"","Insurer: "&amp;IF(LEN(INDEX('Our policies'!$C$4:$C$503,_calc!$E$423))=0,"",INDEX('Our policies'!$C$4:$C$503,_calc!$E$423))&amp;". ")&amp;IF(LEN(IF(LEN(INDEX('Our policies'!$D$4:$D$503,_calc!$E$423))=0,"",INDEX('Our policies'!$D$4:$D$503,_calc!$E$423)))=0,"","Broker: "&amp;IF(LEN(INDEX('Our policies'!$D$4:$D$503,_calc!$E$423))=0,"",INDEX('Our policies'!$D$4:$D$503,_calc!$E$423))&amp;". ")&amp;IF(LEN(IF(LEN(INDEX('Our policies'!$E$4:$E$503,_calc!$E$423))=0,"",INDEX('Our policies'!$E$4:$E$503,_calc!$E$423)))=0,"","Policy no.: "&amp;IF(LEN(INDEX('Our policies'!$E$4:$E$503,_calc!$E$423))=0,"",INDEX('Our policies'!$E$4:$E$503,_calc!$E$423))&amp;". ")&amp;IF(LEN(IF(LEN(INDEX('Our policies'!$S$4:$S$503,_calc!$E$423))=0,"",INDEX('Our policies'!$S$4:$S$503,_calc!$E$423)))=0,"",IF(LEN(INDEX('Our policies'!$S$4:$S$503,_calc!$E$423))=0,"",INDEX('Our policies'!$S$4:$S$503,_calc!$E$423)))),TRIM(IF(LEN(IF(LEN(INDEX('Vendor COIs'!$C$4:$C$503,(_calc!$E$423-500)))=0,"",INDEX('Vendor COIs'!$C$4:$C$503,(_calc!$E$423-500))))=0,"","Insurer: "&amp;IF(LEN(INDEX('Vendor COIs'!$C$4:$C$503,(_calc!$E$423-500)))=0,"",INDEX('Vendor COIs'!$C$4:$C$503,(_calc!$E$423-500)))&amp;". ")&amp;IF(LEN(IF(LEN(INDEX('Vendor COIs'!$D$4:$D$503,(_calc!$E$423-500)))=0,"",INDEX('Vendor COIs'!$D$4:$D$503,(_calc!$E$423-500))))=0,"","Policy no.: "&amp;IF(LEN(INDEX('Vendor COIs'!$D$4:$D$503,(_calc!$E$423-500)))=0,"",INDEX('Vendor COIs'!$D$4:$D$503,(_calc!$E$423-500)))&amp;". ")&amp;IF(LEN(IF(LEN(INDEX('Vendor COIs'!$F$4:$F$503,(_calc!$E$423-500)))=0,"",INDEX('Vendor COIs'!$F$4:$F$503,(_calc!$E$423-500))))=0,"","Meets minimum: "&amp;IF(LEN(INDEX('Vendor COIs'!$F$4:$F$503,(_calc!$E$423-500)))=0,"",INDEX('Vendor COIs'!$F$4:$F$503,(_calc!$E$423-500)))&amp;". ")&amp;IF(LEN(IF(LEN(INDEX('Vendor COIs'!$G$4:$G$503,(_calc!$E$423-500)))=0,"",INDEX('Vendor COIs'!$G$4:$G$503,(_calc!$E$423-500))))=0,"","Additional insured: "&amp;IF(LEN(INDEX('Vendor COIs'!$G$4:$G$503,(_calc!$E$423-500)))=0,"",INDEX('Vendor COIs'!$G$4:$G$503,(_calc!$E$423-500)))&amp;". ")&amp;IF(LEN(IF(LEN(INDEX('Vendor COIs'!$M$4:$M$503,(_calc!$E$423-500)))=0,"",INDEX('Vendor COIs'!$M$4:$M$503,(_calc!$E$423-500))))=0,"","Vendor contact: "&amp;IF(LEN(INDEX('Vendor COIs'!$M$4:$M$503,(_calc!$E$423-500)))=0,"",INDEX('Vendor COIs'!$M$4:$M$503,(_calc!$E$423-500)))&amp;". ")&amp;IF(LEN(IF(LEN(INDEX('Vendor COIs'!$P$4:$P$503,(_calc!$E$423-500)))=0,"",INDEX('Vendor COIs'!$P$4:$P$503,(_calc!$E$423-500))))=0,"",IF(LEN(INDEX('Vendor COIs'!$P$4:$P$503,(_calc!$E$423-500)))=0,"",INDEX('Vendor COIs'!$P$4:$P$503,(_calc!$E$423-500)))))))</f>
        <v/>
      </c>
      <c r="G421" s="46">
        <f>IF(_calc!$E$423="","",IF(_calc!$E$423&lt;=500,IF(LEN(INDEX('Our policies'!$R$4:$R$503,_calc!$E$423))=0,"",INDEX('Our policies'!$R$4:$R$503,_calc!$E$423)),IF(LEN(INDEX('Vendor COIs'!$O$4:$O$503,(_calc!$E$423-500)))=0,"",INDEX('Vendor COIs'!$O$4:$O$503,(_calc!$E$423-500)))))</f>
        <v/>
      </c>
      <c r="H421" s="46">
        <f>IF(_calc!$E$423="","",IF(_calc!$E$423&lt;=500,IF(LEN(INDEX('Our policies'!$G$4:$G$503,_calc!$E$423))=0,"",INDEX('Our policies'!$G$4:$G$503,_calc!$E$423)),""))</f>
        <v/>
      </c>
      <c r="I421" s="46">
        <f>IF(_calc!$E$423="","",IF(_calc!$E$423&lt;=500,IF(LEN(INDEX('Our policies'!$H$4:$H$503,_calc!$E$423))=0,"",INDEX('Our policies'!$H$4:$H$503,_calc!$E$423)),""))</f>
        <v/>
      </c>
      <c r="K421" s="46">
        <f>IF(_calc!$E$423="","",IF(_calc!$E$423&lt;=500,IF(LEN(INDEX('Our policies'!$P$4:$P$503,_calc!$E$423))=0,"",INDEX('Our policies'!$P$4:$P$503,_calc!$E$423)),IF(LEN(INDEX('Vendor COIs'!$N$4:$N$503,(_calc!$E$423-500)))=0,"",INDEX('Vendor COIs'!$N$4:$N$503,(_calc!$E$423-500)))))</f>
        <v/>
      </c>
    </row>
    <row r="422">
      <c r="A422" s="46">
        <f>IF(_calc!$E$424="","",IF(_calc!$E$424&lt;=500,IF(LEN(INDEX('Our policies'!$A$4:$A$503,_calc!$E$424))=0,"",INDEX('Our policies'!$A$4:$A$503,_calc!$E$424)),"COI – "&amp;IF(LEN(INDEX('Vendor COIs'!$A$4:$A$503,(_calc!$E$424-500)))=0,"",INDEX('Vendor COIs'!$A$4:$A$503,(_calc!$E$424-500)))&amp;" – "&amp;IF(LEN(INDEX('Vendor COIs'!$B$4:$B$503,(_calc!$E$424-500)))=0,"",INDEX('Vendor COIs'!$B$4:$B$503,(_calc!$E$424-500)))))</f>
        <v/>
      </c>
      <c r="B422" s="46">
        <f>IF(_calc!$E$424="","",IF(_calc!$E$424&lt;=500,IF(ISNUMBER(INDEX('Our policies'!$J$4:$J$503,_calc!$E$424)),TEXT(INDEX('Our policies'!$J$4:$J$503,_calc!$E$424),"yyyy-mm-dd"),""),IF(ISNUMBER(INDEX('Vendor COIs'!$H$4:$H$503,(_calc!$E$424-500))),TEXT(INDEX('Vendor COIs'!$H$4:$H$503,(_calc!$E$424-500)),"yyyy-mm-dd"),"")))</f>
        <v/>
      </c>
      <c r="C422" s="46">
        <f>IF(_calc!$E$424="","",IF(_calc!$E$424&lt;=500,"Insurance","Certificate of insurance"))</f>
        <v/>
      </c>
      <c r="D422" s="46">
        <f>IF(_calc!$E$424="","",IF(_calc!$E$424&lt;=500,IF(ISNUMBER(INDEX('Our policies'!$I$4:$I$503,_calc!$E$424)),TEXT(INDEX('Our policies'!$I$4:$I$503,_calc!$E$424),"yyyy-mm-dd"),""),""))</f>
        <v/>
      </c>
      <c r="E422" s="46">
        <f>IF(_calc!$E$424="","",IF(_calc!$E$424&lt;=500,IF(LEN(INDEX('Our policies'!$Q$4:$Q$503,_calc!$E$424))=0,"",INDEX('Our policies'!$Q$4:$Q$503,_calc!$E$424)),"Medium"))</f>
        <v/>
      </c>
      <c r="F422" s="46">
        <f>IF(_calc!$E$424="","",IF(_calc!$E$424&lt;=500,TRIM(IF(LEN(IF(LEN(INDEX('Our policies'!$B$4:$B$503,_calc!$E$424))=0,"",INDEX('Our policies'!$B$4:$B$503,_calc!$E$424)))=0,"","Cover: "&amp;IF(LEN(INDEX('Our policies'!$B$4:$B$503,_calc!$E$424))=0,"",INDEX('Our policies'!$B$4:$B$503,_calc!$E$424))&amp;". ")&amp;IF(LEN(IF(LEN(INDEX('Our policies'!$C$4:$C$503,_calc!$E$424))=0,"",INDEX('Our policies'!$C$4:$C$503,_calc!$E$424)))=0,"","Insurer: "&amp;IF(LEN(INDEX('Our policies'!$C$4:$C$503,_calc!$E$424))=0,"",INDEX('Our policies'!$C$4:$C$503,_calc!$E$424))&amp;". ")&amp;IF(LEN(IF(LEN(INDEX('Our policies'!$D$4:$D$503,_calc!$E$424))=0,"",INDEX('Our policies'!$D$4:$D$503,_calc!$E$424)))=0,"","Broker: "&amp;IF(LEN(INDEX('Our policies'!$D$4:$D$503,_calc!$E$424))=0,"",INDEX('Our policies'!$D$4:$D$503,_calc!$E$424))&amp;". ")&amp;IF(LEN(IF(LEN(INDEX('Our policies'!$E$4:$E$503,_calc!$E$424))=0,"",INDEX('Our policies'!$E$4:$E$503,_calc!$E$424)))=0,"","Policy no.: "&amp;IF(LEN(INDEX('Our policies'!$E$4:$E$503,_calc!$E$424))=0,"",INDEX('Our policies'!$E$4:$E$503,_calc!$E$424))&amp;". ")&amp;IF(LEN(IF(LEN(INDEX('Our policies'!$S$4:$S$503,_calc!$E$424))=0,"",INDEX('Our policies'!$S$4:$S$503,_calc!$E$424)))=0,"",IF(LEN(INDEX('Our policies'!$S$4:$S$503,_calc!$E$424))=0,"",INDEX('Our policies'!$S$4:$S$503,_calc!$E$424)))),TRIM(IF(LEN(IF(LEN(INDEX('Vendor COIs'!$C$4:$C$503,(_calc!$E$424-500)))=0,"",INDEX('Vendor COIs'!$C$4:$C$503,(_calc!$E$424-500))))=0,"","Insurer: "&amp;IF(LEN(INDEX('Vendor COIs'!$C$4:$C$503,(_calc!$E$424-500)))=0,"",INDEX('Vendor COIs'!$C$4:$C$503,(_calc!$E$424-500)))&amp;". ")&amp;IF(LEN(IF(LEN(INDEX('Vendor COIs'!$D$4:$D$503,(_calc!$E$424-500)))=0,"",INDEX('Vendor COIs'!$D$4:$D$503,(_calc!$E$424-500))))=0,"","Policy no.: "&amp;IF(LEN(INDEX('Vendor COIs'!$D$4:$D$503,(_calc!$E$424-500)))=0,"",INDEX('Vendor COIs'!$D$4:$D$503,(_calc!$E$424-500)))&amp;". ")&amp;IF(LEN(IF(LEN(INDEX('Vendor COIs'!$F$4:$F$503,(_calc!$E$424-500)))=0,"",INDEX('Vendor COIs'!$F$4:$F$503,(_calc!$E$424-500))))=0,"","Meets minimum: "&amp;IF(LEN(INDEX('Vendor COIs'!$F$4:$F$503,(_calc!$E$424-500)))=0,"",INDEX('Vendor COIs'!$F$4:$F$503,(_calc!$E$424-500)))&amp;". ")&amp;IF(LEN(IF(LEN(INDEX('Vendor COIs'!$G$4:$G$503,(_calc!$E$424-500)))=0,"",INDEX('Vendor COIs'!$G$4:$G$503,(_calc!$E$424-500))))=0,"","Additional insured: "&amp;IF(LEN(INDEX('Vendor COIs'!$G$4:$G$503,(_calc!$E$424-500)))=0,"",INDEX('Vendor COIs'!$G$4:$G$503,(_calc!$E$424-500)))&amp;". ")&amp;IF(LEN(IF(LEN(INDEX('Vendor COIs'!$M$4:$M$503,(_calc!$E$424-500)))=0,"",INDEX('Vendor COIs'!$M$4:$M$503,(_calc!$E$424-500))))=0,"","Vendor contact: "&amp;IF(LEN(INDEX('Vendor COIs'!$M$4:$M$503,(_calc!$E$424-500)))=0,"",INDEX('Vendor COIs'!$M$4:$M$503,(_calc!$E$424-500)))&amp;". ")&amp;IF(LEN(IF(LEN(INDEX('Vendor COIs'!$P$4:$P$503,(_calc!$E$424-500)))=0,"",INDEX('Vendor COIs'!$P$4:$P$503,(_calc!$E$424-500))))=0,"",IF(LEN(INDEX('Vendor COIs'!$P$4:$P$503,(_calc!$E$424-500)))=0,"",INDEX('Vendor COIs'!$P$4:$P$503,(_calc!$E$424-500)))))))</f>
        <v/>
      </c>
      <c r="G422" s="46">
        <f>IF(_calc!$E$424="","",IF(_calc!$E$424&lt;=500,IF(LEN(INDEX('Our policies'!$R$4:$R$503,_calc!$E$424))=0,"",INDEX('Our policies'!$R$4:$R$503,_calc!$E$424)),IF(LEN(INDEX('Vendor COIs'!$O$4:$O$503,(_calc!$E$424-500)))=0,"",INDEX('Vendor COIs'!$O$4:$O$503,(_calc!$E$424-500)))))</f>
        <v/>
      </c>
      <c r="H422" s="46">
        <f>IF(_calc!$E$424="","",IF(_calc!$E$424&lt;=500,IF(LEN(INDEX('Our policies'!$G$4:$G$503,_calc!$E$424))=0,"",INDEX('Our policies'!$G$4:$G$503,_calc!$E$424)),""))</f>
        <v/>
      </c>
      <c r="I422" s="46">
        <f>IF(_calc!$E$424="","",IF(_calc!$E$424&lt;=500,IF(LEN(INDEX('Our policies'!$H$4:$H$503,_calc!$E$424))=0,"",INDEX('Our policies'!$H$4:$H$503,_calc!$E$424)),""))</f>
        <v/>
      </c>
      <c r="K422" s="46">
        <f>IF(_calc!$E$424="","",IF(_calc!$E$424&lt;=500,IF(LEN(INDEX('Our policies'!$P$4:$P$503,_calc!$E$424))=0,"",INDEX('Our policies'!$P$4:$P$503,_calc!$E$424)),IF(LEN(INDEX('Vendor COIs'!$N$4:$N$503,(_calc!$E$424-500)))=0,"",INDEX('Vendor COIs'!$N$4:$N$503,(_calc!$E$424-500)))))</f>
        <v/>
      </c>
    </row>
    <row r="423">
      <c r="A423" s="46">
        <f>IF(_calc!$E$425="","",IF(_calc!$E$425&lt;=500,IF(LEN(INDEX('Our policies'!$A$4:$A$503,_calc!$E$425))=0,"",INDEX('Our policies'!$A$4:$A$503,_calc!$E$425)),"COI – "&amp;IF(LEN(INDEX('Vendor COIs'!$A$4:$A$503,(_calc!$E$425-500)))=0,"",INDEX('Vendor COIs'!$A$4:$A$503,(_calc!$E$425-500)))&amp;" – "&amp;IF(LEN(INDEX('Vendor COIs'!$B$4:$B$503,(_calc!$E$425-500)))=0,"",INDEX('Vendor COIs'!$B$4:$B$503,(_calc!$E$425-500)))))</f>
        <v/>
      </c>
      <c r="B423" s="46">
        <f>IF(_calc!$E$425="","",IF(_calc!$E$425&lt;=500,IF(ISNUMBER(INDEX('Our policies'!$J$4:$J$503,_calc!$E$425)),TEXT(INDEX('Our policies'!$J$4:$J$503,_calc!$E$425),"yyyy-mm-dd"),""),IF(ISNUMBER(INDEX('Vendor COIs'!$H$4:$H$503,(_calc!$E$425-500))),TEXT(INDEX('Vendor COIs'!$H$4:$H$503,(_calc!$E$425-500)),"yyyy-mm-dd"),"")))</f>
        <v/>
      </c>
      <c r="C423" s="46">
        <f>IF(_calc!$E$425="","",IF(_calc!$E$425&lt;=500,"Insurance","Certificate of insurance"))</f>
        <v/>
      </c>
      <c r="D423" s="46">
        <f>IF(_calc!$E$425="","",IF(_calc!$E$425&lt;=500,IF(ISNUMBER(INDEX('Our policies'!$I$4:$I$503,_calc!$E$425)),TEXT(INDEX('Our policies'!$I$4:$I$503,_calc!$E$425),"yyyy-mm-dd"),""),""))</f>
        <v/>
      </c>
      <c r="E423" s="46">
        <f>IF(_calc!$E$425="","",IF(_calc!$E$425&lt;=500,IF(LEN(INDEX('Our policies'!$Q$4:$Q$503,_calc!$E$425))=0,"",INDEX('Our policies'!$Q$4:$Q$503,_calc!$E$425)),"Medium"))</f>
        <v/>
      </c>
      <c r="F423" s="46">
        <f>IF(_calc!$E$425="","",IF(_calc!$E$425&lt;=500,TRIM(IF(LEN(IF(LEN(INDEX('Our policies'!$B$4:$B$503,_calc!$E$425))=0,"",INDEX('Our policies'!$B$4:$B$503,_calc!$E$425)))=0,"","Cover: "&amp;IF(LEN(INDEX('Our policies'!$B$4:$B$503,_calc!$E$425))=0,"",INDEX('Our policies'!$B$4:$B$503,_calc!$E$425))&amp;". ")&amp;IF(LEN(IF(LEN(INDEX('Our policies'!$C$4:$C$503,_calc!$E$425))=0,"",INDEX('Our policies'!$C$4:$C$503,_calc!$E$425)))=0,"","Insurer: "&amp;IF(LEN(INDEX('Our policies'!$C$4:$C$503,_calc!$E$425))=0,"",INDEX('Our policies'!$C$4:$C$503,_calc!$E$425))&amp;". ")&amp;IF(LEN(IF(LEN(INDEX('Our policies'!$D$4:$D$503,_calc!$E$425))=0,"",INDEX('Our policies'!$D$4:$D$503,_calc!$E$425)))=0,"","Broker: "&amp;IF(LEN(INDEX('Our policies'!$D$4:$D$503,_calc!$E$425))=0,"",INDEX('Our policies'!$D$4:$D$503,_calc!$E$425))&amp;". ")&amp;IF(LEN(IF(LEN(INDEX('Our policies'!$E$4:$E$503,_calc!$E$425))=0,"",INDEX('Our policies'!$E$4:$E$503,_calc!$E$425)))=0,"","Policy no.: "&amp;IF(LEN(INDEX('Our policies'!$E$4:$E$503,_calc!$E$425))=0,"",INDEX('Our policies'!$E$4:$E$503,_calc!$E$425))&amp;". ")&amp;IF(LEN(IF(LEN(INDEX('Our policies'!$S$4:$S$503,_calc!$E$425))=0,"",INDEX('Our policies'!$S$4:$S$503,_calc!$E$425)))=0,"",IF(LEN(INDEX('Our policies'!$S$4:$S$503,_calc!$E$425))=0,"",INDEX('Our policies'!$S$4:$S$503,_calc!$E$425)))),TRIM(IF(LEN(IF(LEN(INDEX('Vendor COIs'!$C$4:$C$503,(_calc!$E$425-500)))=0,"",INDEX('Vendor COIs'!$C$4:$C$503,(_calc!$E$425-500))))=0,"","Insurer: "&amp;IF(LEN(INDEX('Vendor COIs'!$C$4:$C$503,(_calc!$E$425-500)))=0,"",INDEX('Vendor COIs'!$C$4:$C$503,(_calc!$E$425-500)))&amp;". ")&amp;IF(LEN(IF(LEN(INDEX('Vendor COIs'!$D$4:$D$503,(_calc!$E$425-500)))=0,"",INDEX('Vendor COIs'!$D$4:$D$503,(_calc!$E$425-500))))=0,"","Policy no.: "&amp;IF(LEN(INDEX('Vendor COIs'!$D$4:$D$503,(_calc!$E$425-500)))=0,"",INDEX('Vendor COIs'!$D$4:$D$503,(_calc!$E$425-500)))&amp;". ")&amp;IF(LEN(IF(LEN(INDEX('Vendor COIs'!$F$4:$F$503,(_calc!$E$425-500)))=0,"",INDEX('Vendor COIs'!$F$4:$F$503,(_calc!$E$425-500))))=0,"","Meets minimum: "&amp;IF(LEN(INDEX('Vendor COIs'!$F$4:$F$503,(_calc!$E$425-500)))=0,"",INDEX('Vendor COIs'!$F$4:$F$503,(_calc!$E$425-500)))&amp;". ")&amp;IF(LEN(IF(LEN(INDEX('Vendor COIs'!$G$4:$G$503,(_calc!$E$425-500)))=0,"",INDEX('Vendor COIs'!$G$4:$G$503,(_calc!$E$425-500))))=0,"","Additional insured: "&amp;IF(LEN(INDEX('Vendor COIs'!$G$4:$G$503,(_calc!$E$425-500)))=0,"",INDEX('Vendor COIs'!$G$4:$G$503,(_calc!$E$425-500)))&amp;". ")&amp;IF(LEN(IF(LEN(INDEX('Vendor COIs'!$M$4:$M$503,(_calc!$E$425-500)))=0,"",INDEX('Vendor COIs'!$M$4:$M$503,(_calc!$E$425-500))))=0,"","Vendor contact: "&amp;IF(LEN(INDEX('Vendor COIs'!$M$4:$M$503,(_calc!$E$425-500)))=0,"",INDEX('Vendor COIs'!$M$4:$M$503,(_calc!$E$425-500)))&amp;". ")&amp;IF(LEN(IF(LEN(INDEX('Vendor COIs'!$P$4:$P$503,(_calc!$E$425-500)))=0,"",INDEX('Vendor COIs'!$P$4:$P$503,(_calc!$E$425-500))))=0,"",IF(LEN(INDEX('Vendor COIs'!$P$4:$P$503,(_calc!$E$425-500)))=0,"",INDEX('Vendor COIs'!$P$4:$P$503,(_calc!$E$425-500)))))))</f>
        <v/>
      </c>
      <c r="G423" s="46">
        <f>IF(_calc!$E$425="","",IF(_calc!$E$425&lt;=500,IF(LEN(INDEX('Our policies'!$R$4:$R$503,_calc!$E$425))=0,"",INDEX('Our policies'!$R$4:$R$503,_calc!$E$425)),IF(LEN(INDEX('Vendor COIs'!$O$4:$O$503,(_calc!$E$425-500)))=0,"",INDEX('Vendor COIs'!$O$4:$O$503,(_calc!$E$425-500)))))</f>
        <v/>
      </c>
      <c r="H423" s="46">
        <f>IF(_calc!$E$425="","",IF(_calc!$E$425&lt;=500,IF(LEN(INDEX('Our policies'!$G$4:$G$503,_calc!$E$425))=0,"",INDEX('Our policies'!$G$4:$G$503,_calc!$E$425)),""))</f>
        <v/>
      </c>
      <c r="I423" s="46">
        <f>IF(_calc!$E$425="","",IF(_calc!$E$425&lt;=500,IF(LEN(INDEX('Our policies'!$H$4:$H$503,_calc!$E$425))=0,"",INDEX('Our policies'!$H$4:$H$503,_calc!$E$425)),""))</f>
        <v/>
      </c>
      <c r="K423" s="46">
        <f>IF(_calc!$E$425="","",IF(_calc!$E$425&lt;=500,IF(LEN(INDEX('Our policies'!$P$4:$P$503,_calc!$E$425))=0,"",INDEX('Our policies'!$P$4:$P$503,_calc!$E$425)),IF(LEN(INDEX('Vendor COIs'!$N$4:$N$503,(_calc!$E$425-500)))=0,"",INDEX('Vendor COIs'!$N$4:$N$503,(_calc!$E$425-500)))))</f>
        <v/>
      </c>
    </row>
    <row r="424">
      <c r="A424" s="46">
        <f>IF(_calc!$E$426="","",IF(_calc!$E$426&lt;=500,IF(LEN(INDEX('Our policies'!$A$4:$A$503,_calc!$E$426))=0,"",INDEX('Our policies'!$A$4:$A$503,_calc!$E$426)),"COI – "&amp;IF(LEN(INDEX('Vendor COIs'!$A$4:$A$503,(_calc!$E$426-500)))=0,"",INDEX('Vendor COIs'!$A$4:$A$503,(_calc!$E$426-500)))&amp;" – "&amp;IF(LEN(INDEX('Vendor COIs'!$B$4:$B$503,(_calc!$E$426-500)))=0,"",INDEX('Vendor COIs'!$B$4:$B$503,(_calc!$E$426-500)))))</f>
        <v/>
      </c>
      <c r="B424" s="46">
        <f>IF(_calc!$E$426="","",IF(_calc!$E$426&lt;=500,IF(ISNUMBER(INDEX('Our policies'!$J$4:$J$503,_calc!$E$426)),TEXT(INDEX('Our policies'!$J$4:$J$503,_calc!$E$426),"yyyy-mm-dd"),""),IF(ISNUMBER(INDEX('Vendor COIs'!$H$4:$H$503,(_calc!$E$426-500))),TEXT(INDEX('Vendor COIs'!$H$4:$H$503,(_calc!$E$426-500)),"yyyy-mm-dd"),"")))</f>
        <v/>
      </c>
      <c r="C424" s="46">
        <f>IF(_calc!$E$426="","",IF(_calc!$E$426&lt;=500,"Insurance","Certificate of insurance"))</f>
        <v/>
      </c>
      <c r="D424" s="46">
        <f>IF(_calc!$E$426="","",IF(_calc!$E$426&lt;=500,IF(ISNUMBER(INDEX('Our policies'!$I$4:$I$503,_calc!$E$426)),TEXT(INDEX('Our policies'!$I$4:$I$503,_calc!$E$426),"yyyy-mm-dd"),""),""))</f>
        <v/>
      </c>
      <c r="E424" s="46">
        <f>IF(_calc!$E$426="","",IF(_calc!$E$426&lt;=500,IF(LEN(INDEX('Our policies'!$Q$4:$Q$503,_calc!$E$426))=0,"",INDEX('Our policies'!$Q$4:$Q$503,_calc!$E$426)),"Medium"))</f>
        <v/>
      </c>
      <c r="F424" s="46">
        <f>IF(_calc!$E$426="","",IF(_calc!$E$426&lt;=500,TRIM(IF(LEN(IF(LEN(INDEX('Our policies'!$B$4:$B$503,_calc!$E$426))=0,"",INDEX('Our policies'!$B$4:$B$503,_calc!$E$426)))=0,"","Cover: "&amp;IF(LEN(INDEX('Our policies'!$B$4:$B$503,_calc!$E$426))=0,"",INDEX('Our policies'!$B$4:$B$503,_calc!$E$426))&amp;". ")&amp;IF(LEN(IF(LEN(INDEX('Our policies'!$C$4:$C$503,_calc!$E$426))=0,"",INDEX('Our policies'!$C$4:$C$503,_calc!$E$426)))=0,"","Insurer: "&amp;IF(LEN(INDEX('Our policies'!$C$4:$C$503,_calc!$E$426))=0,"",INDEX('Our policies'!$C$4:$C$503,_calc!$E$426))&amp;". ")&amp;IF(LEN(IF(LEN(INDEX('Our policies'!$D$4:$D$503,_calc!$E$426))=0,"",INDEX('Our policies'!$D$4:$D$503,_calc!$E$426)))=0,"","Broker: "&amp;IF(LEN(INDEX('Our policies'!$D$4:$D$503,_calc!$E$426))=0,"",INDEX('Our policies'!$D$4:$D$503,_calc!$E$426))&amp;". ")&amp;IF(LEN(IF(LEN(INDEX('Our policies'!$E$4:$E$503,_calc!$E$426))=0,"",INDEX('Our policies'!$E$4:$E$503,_calc!$E$426)))=0,"","Policy no.: "&amp;IF(LEN(INDEX('Our policies'!$E$4:$E$503,_calc!$E$426))=0,"",INDEX('Our policies'!$E$4:$E$503,_calc!$E$426))&amp;". ")&amp;IF(LEN(IF(LEN(INDEX('Our policies'!$S$4:$S$503,_calc!$E$426))=0,"",INDEX('Our policies'!$S$4:$S$503,_calc!$E$426)))=0,"",IF(LEN(INDEX('Our policies'!$S$4:$S$503,_calc!$E$426))=0,"",INDEX('Our policies'!$S$4:$S$503,_calc!$E$426)))),TRIM(IF(LEN(IF(LEN(INDEX('Vendor COIs'!$C$4:$C$503,(_calc!$E$426-500)))=0,"",INDEX('Vendor COIs'!$C$4:$C$503,(_calc!$E$426-500))))=0,"","Insurer: "&amp;IF(LEN(INDEX('Vendor COIs'!$C$4:$C$503,(_calc!$E$426-500)))=0,"",INDEX('Vendor COIs'!$C$4:$C$503,(_calc!$E$426-500)))&amp;". ")&amp;IF(LEN(IF(LEN(INDEX('Vendor COIs'!$D$4:$D$503,(_calc!$E$426-500)))=0,"",INDEX('Vendor COIs'!$D$4:$D$503,(_calc!$E$426-500))))=0,"","Policy no.: "&amp;IF(LEN(INDEX('Vendor COIs'!$D$4:$D$503,(_calc!$E$426-500)))=0,"",INDEX('Vendor COIs'!$D$4:$D$503,(_calc!$E$426-500)))&amp;". ")&amp;IF(LEN(IF(LEN(INDEX('Vendor COIs'!$F$4:$F$503,(_calc!$E$426-500)))=0,"",INDEX('Vendor COIs'!$F$4:$F$503,(_calc!$E$426-500))))=0,"","Meets minimum: "&amp;IF(LEN(INDEX('Vendor COIs'!$F$4:$F$503,(_calc!$E$426-500)))=0,"",INDEX('Vendor COIs'!$F$4:$F$503,(_calc!$E$426-500)))&amp;". ")&amp;IF(LEN(IF(LEN(INDEX('Vendor COIs'!$G$4:$G$503,(_calc!$E$426-500)))=0,"",INDEX('Vendor COIs'!$G$4:$G$503,(_calc!$E$426-500))))=0,"","Additional insured: "&amp;IF(LEN(INDEX('Vendor COIs'!$G$4:$G$503,(_calc!$E$426-500)))=0,"",INDEX('Vendor COIs'!$G$4:$G$503,(_calc!$E$426-500)))&amp;". ")&amp;IF(LEN(IF(LEN(INDEX('Vendor COIs'!$M$4:$M$503,(_calc!$E$426-500)))=0,"",INDEX('Vendor COIs'!$M$4:$M$503,(_calc!$E$426-500))))=0,"","Vendor contact: "&amp;IF(LEN(INDEX('Vendor COIs'!$M$4:$M$503,(_calc!$E$426-500)))=0,"",INDEX('Vendor COIs'!$M$4:$M$503,(_calc!$E$426-500)))&amp;". ")&amp;IF(LEN(IF(LEN(INDEX('Vendor COIs'!$P$4:$P$503,(_calc!$E$426-500)))=0,"",INDEX('Vendor COIs'!$P$4:$P$503,(_calc!$E$426-500))))=0,"",IF(LEN(INDEX('Vendor COIs'!$P$4:$P$503,(_calc!$E$426-500)))=0,"",INDEX('Vendor COIs'!$P$4:$P$503,(_calc!$E$426-500)))))))</f>
        <v/>
      </c>
      <c r="G424" s="46">
        <f>IF(_calc!$E$426="","",IF(_calc!$E$426&lt;=500,IF(LEN(INDEX('Our policies'!$R$4:$R$503,_calc!$E$426))=0,"",INDEX('Our policies'!$R$4:$R$503,_calc!$E$426)),IF(LEN(INDEX('Vendor COIs'!$O$4:$O$503,(_calc!$E$426-500)))=0,"",INDEX('Vendor COIs'!$O$4:$O$503,(_calc!$E$426-500)))))</f>
        <v/>
      </c>
      <c r="H424" s="46">
        <f>IF(_calc!$E$426="","",IF(_calc!$E$426&lt;=500,IF(LEN(INDEX('Our policies'!$G$4:$G$503,_calc!$E$426))=0,"",INDEX('Our policies'!$G$4:$G$503,_calc!$E$426)),""))</f>
        <v/>
      </c>
      <c r="I424" s="46">
        <f>IF(_calc!$E$426="","",IF(_calc!$E$426&lt;=500,IF(LEN(INDEX('Our policies'!$H$4:$H$503,_calc!$E$426))=0,"",INDEX('Our policies'!$H$4:$H$503,_calc!$E$426)),""))</f>
        <v/>
      </c>
      <c r="K424" s="46">
        <f>IF(_calc!$E$426="","",IF(_calc!$E$426&lt;=500,IF(LEN(INDEX('Our policies'!$P$4:$P$503,_calc!$E$426))=0,"",INDEX('Our policies'!$P$4:$P$503,_calc!$E$426)),IF(LEN(INDEX('Vendor COIs'!$N$4:$N$503,(_calc!$E$426-500)))=0,"",INDEX('Vendor COIs'!$N$4:$N$503,(_calc!$E$426-500)))))</f>
        <v/>
      </c>
    </row>
    <row r="425">
      <c r="A425" s="46">
        <f>IF(_calc!$E$427="","",IF(_calc!$E$427&lt;=500,IF(LEN(INDEX('Our policies'!$A$4:$A$503,_calc!$E$427))=0,"",INDEX('Our policies'!$A$4:$A$503,_calc!$E$427)),"COI – "&amp;IF(LEN(INDEX('Vendor COIs'!$A$4:$A$503,(_calc!$E$427-500)))=0,"",INDEX('Vendor COIs'!$A$4:$A$503,(_calc!$E$427-500)))&amp;" – "&amp;IF(LEN(INDEX('Vendor COIs'!$B$4:$B$503,(_calc!$E$427-500)))=0,"",INDEX('Vendor COIs'!$B$4:$B$503,(_calc!$E$427-500)))))</f>
        <v/>
      </c>
      <c r="B425" s="46">
        <f>IF(_calc!$E$427="","",IF(_calc!$E$427&lt;=500,IF(ISNUMBER(INDEX('Our policies'!$J$4:$J$503,_calc!$E$427)),TEXT(INDEX('Our policies'!$J$4:$J$503,_calc!$E$427),"yyyy-mm-dd"),""),IF(ISNUMBER(INDEX('Vendor COIs'!$H$4:$H$503,(_calc!$E$427-500))),TEXT(INDEX('Vendor COIs'!$H$4:$H$503,(_calc!$E$427-500)),"yyyy-mm-dd"),"")))</f>
        <v/>
      </c>
      <c r="C425" s="46">
        <f>IF(_calc!$E$427="","",IF(_calc!$E$427&lt;=500,"Insurance","Certificate of insurance"))</f>
        <v/>
      </c>
      <c r="D425" s="46">
        <f>IF(_calc!$E$427="","",IF(_calc!$E$427&lt;=500,IF(ISNUMBER(INDEX('Our policies'!$I$4:$I$503,_calc!$E$427)),TEXT(INDEX('Our policies'!$I$4:$I$503,_calc!$E$427),"yyyy-mm-dd"),""),""))</f>
        <v/>
      </c>
      <c r="E425" s="46">
        <f>IF(_calc!$E$427="","",IF(_calc!$E$427&lt;=500,IF(LEN(INDEX('Our policies'!$Q$4:$Q$503,_calc!$E$427))=0,"",INDEX('Our policies'!$Q$4:$Q$503,_calc!$E$427)),"Medium"))</f>
        <v/>
      </c>
      <c r="F425" s="46">
        <f>IF(_calc!$E$427="","",IF(_calc!$E$427&lt;=500,TRIM(IF(LEN(IF(LEN(INDEX('Our policies'!$B$4:$B$503,_calc!$E$427))=0,"",INDEX('Our policies'!$B$4:$B$503,_calc!$E$427)))=0,"","Cover: "&amp;IF(LEN(INDEX('Our policies'!$B$4:$B$503,_calc!$E$427))=0,"",INDEX('Our policies'!$B$4:$B$503,_calc!$E$427))&amp;". ")&amp;IF(LEN(IF(LEN(INDEX('Our policies'!$C$4:$C$503,_calc!$E$427))=0,"",INDEX('Our policies'!$C$4:$C$503,_calc!$E$427)))=0,"","Insurer: "&amp;IF(LEN(INDEX('Our policies'!$C$4:$C$503,_calc!$E$427))=0,"",INDEX('Our policies'!$C$4:$C$503,_calc!$E$427))&amp;". ")&amp;IF(LEN(IF(LEN(INDEX('Our policies'!$D$4:$D$503,_calc!$E$427))=0,"",INDEX('Our policies'!$D$4:$D$503,_calc!$E$427)))=0,"","Broker: "&amp;IF(LEN(INDEX('Our policies'!$D$4:$D$503,_calc!$E$427))=0,"",INDEX('Our policies'!$D$4:$D$503,_calc!$E$427))&amp;". ")&amp;IF(LEN(IF(LEN(INDEX('Our policies'!$E$4:$E$503,_calc!$E$427))=0,"",INDEX('Our policies'!$E$4:$E$503,_calc!$E$427)))=0,"","Policy no.: "&amp;IF(LEN(INDEX('Our policies'!$E$4:$E$503,_calc!$E$427))=0,"",INDEX('Our policies'!$E$4:$E$503,_calc!$E$427))&amp;". ")&amp;IF(LEN(IF(LEN(INDEX('Our policies'!$S$4:$S$503,_calc!$E$427))=0,"",INDEX('Our policies'!$S$4:$S$503,_calc!$E$427)))=0,"",IF(LEN(INDEX('Our policies'!$S$4:$S$503,_calc!$E$427))=0,"",INDEX('Our policies'!$S$4:$S$503,_calc!$E$427)))),TRIM(IF(LEN(IF(LEN(INDEX('Vendor COIs'!$C$4:$C$503,(_calc!$E$427-500)))=0,"",INDEX('Vendor COIs'!$C$4:$C$503,(_calc!$E$427-500))))=0,"","Insurer: "&amp;IF(LEN(INDEX('Vendor COIs'!$C$4:$C$503,(_calc!$E$427-500)))=0,"",INDEX('Vendor COIs'!$C$4:$C$503,(_calc!$E$427-500)))&amp;". ")&amp;IF(LEN(IF(LEN(INDEX('Vendor COIs'!$D$4:$D$503,(_calc!$E$427-500)))=0,"",INDEX('Vendor COIs'!$D$4:$D$503,(_calc!$E$427-500))))=0,"","Policy no.: "&amp;IF(LEN(INDEX('Vendor COIs'!$D$4:$D$503,(_calc!$E$427-500)))=0,"",INDEX('Vendor COIs'!$D$4:$D$503,(_calc!$E$427-500)))&amp;". ")&amp;IF(LEN(IF(LEN(INDEX('Vendor COIs'!$F$4:$F$503,(_calc!$E$427-500)))=0,"",INDEX('Vendor COIs'!$F$4:$F$503,(_calc!$E$427-500))))=0,"","Meets minimum: "&amp;IF(LEN(INDEX('Vendor COIs'!$F$4:$F$503,(_calc!$E$427-500)))=0,"",INDEX('Vendor COIs'!$F$4:$F$503,(_calc!$E$427-500)))&amp;". ")&amp;IF(LEN(IF(LEN(INDEX('Vendor COIs'!$G$4:$G$503,(_calc!$E$427-500)))=0,"",INDEX('Vendor COIs'!$G$4:$G$503,(_calc!$E$427-500))))=0,"","Additional insured: "&amp;IF(LEN(INDEX('Vendor COIs'!$G$4:$G$503,(_calc!$E$427-500)))=0,"",INDEX('Vendor COIs'!$G$4:$G$503,(_calc!$E$427-500)))&amp;". ")&amp;IF(LEN(IF(LEN(INDEX('Vendor COIs'!$M$4:$M$503,(_calc!$E$427-500)))=0,"",INDEX('Vendor COIs'!$M$4:$M$503,(_calc!$E$427-500))))=0,"","Vendor contact: "&amp;IF(LEN(INDEX('Vendor COIs'!$M$4:$M$503,(_calc!$E$427-500)))=0,"",INDEX('Vendor COIs'!$M$4:$M$503,(_calc!$E$427-500)))&amp;". ")&amp;IF(LEN(IF(LEN(INDEX('Vendor COIs'!$P$4:$P$503,(_calc!$E$427-500)))=0,"",INDEX('Vendor COIs'!$P$4:$P$503,(_calc!$E$427-500))))=0,"",IF(LEN(INDEX('Vendor COIs'!$P$4:$P$503,(_calc!$E$427-500)))=0,"",INDEX('Vendor COIs'!$P$4:$P$503,(_calc!$E$427-500)))))))</f>
        <v/>
      </c>
      <c r="G425" s="46">
        <f>IF(_calc!$E$427="","",IF(_calc!$E$427&lt;=500,IF(LEN(INDEX('Our policies'!$R$4:$R$503,_calc!$E$427))=0,"",INDEX('Our policies'!$R$4:$R$503,_calc!$E$427)),IF(LEN(INDEX('Vendor COIs'!$O$4:$O$503,(_calc!$E$427-500)))=0,"",INDEX('Vendor COIs'!$O$4:$O$503,(_calc!$E$427-500)))))</f>
        <v/>
      </c>
      <c r="H425" s="46">
        <f>IF(_calc!$E$427="","",IF(_calc!$E$427&lt;=500,IF(LEN(INDEX('Our policies'!$G$4:$G$503,_calc!$E$427))=0,"",INDEX('Our policies'!$G$4:$G$503,_calc!$E$427)),""))</f>
        <v/>
      </c>
      <c r="I425" s="46">
        <f>IF(_calc!$E$427="","",IF(_calc!$E$427&lt;=500,IF(LEN(INDEX('Our policies'!$H$4:$H$503,_calc!$E$427))=0,"",INDEX('Our policies'!$H$4:$H$503,_calc!$E$427)),""))</f>
        <v/>
      </c>
      <c r="K425" s="46">
        <f>IF(_calc!$E$427="","",IF(_calc!$E$427&lt;=500,IF(LEN(INDEX('Our policies'!$P$4:$P$503,_calc!$E$427))=0,"",INDEX('Our policies'!$P$4:$P$503,_calc!$E$427)),IF(LEN(INDEX('Vendor COIs'!$N$4:$N$503,(_calc!$E$427-500)))=0,"",INDEX('Vendor COIs'!$N$4:$N$503,(_calc!$E$427-500)))))</f>
        <v/>
      </c>
    </row>
    <row r="426">
      <c r="A426" s="46">
        <f>IF(_calc!$E$428="","",IF(_calc!$E$428&lt;=500,IF(LEN(INDEX('Our policies'!$A$4:$A$503,_calc!$E$428))=0,"",INDEX('Our policies'!$A$4:$A$503,_calc!$E$428)),"COI – "&amp;IF(LEN(INDEX('Vendor COIs'!$A$4:$A$503,(_calc!$E$428-500)))=0,"",INDEX('Vendor COIs'!$A$4:$A$503,(_calc!$E$428-500)))&amp;" – "&amp;IF(LEN(INDEX('Vendor COIs'!$B$4:$B$503,(_calc!$E$428-500)))=0,"",INDEX('Vendor COIs'!$B$4:$B$503,(_calc!$E$428-500)))))</f>
        <v/>
      </c>
      <c r="B426" s="46">
        <f>IF(_calc!$E$428="","",IF(_calc!$E$428&lt;=500,IF(ISNUMBER(INDEX('Our policies'!$J$4:$J$503,_calc!$E$428)),TEXT(INDEX('Our policies'!$J$4:$J$503,_calc!$E$428),"yyyy-mm-dd"),""),IF(ISNUMBER(INDEX('Vendor COIs'!$H$4:$H$503,(_calc!$E$428-500))),TEXT(INDEX('Vendor COIs'!$H$4:$H$503,(_calc!$E$428-500)),"yyyy-mm-dd"),"")))</f>
        <v/>
      </c>
      <c r="C426" s="46">
        <f>IF(_calc!$E$428="","",IF(_calc!$E$428&lt;=500,"Insurance","Certificate of insurance"))</f>
        <v/>
      </c>
      <c r="D426" s="46">
        <f>IF(_calc!$E$428="","",IF(_calc!$E$428&lt;=500,IF(ISNUMBER(INDEX('Our policies'!$I$4:$I$503,_calc!$E$428)),TEXT(INDEX('Our policies'!$I$4:$I$503,_calc!$E$428),"yyyy-mm-dd"),""),""))</f>
        <v/>
      </c>
      <c r="E426" s="46">
        <f>IF(_calc!$E$428="","",IF(_calc!$E$428&lt;=500,IF(LEN(INDEX('Our policies'!$Q$4:$Q$503,_calc!$E$428))=0,"",INDEX('Our policies'!$Q$4:$Q$503,_calc!$E$428)),"Medium"))</f>
        <v/>
      </c>
      <c r="F426" s="46">
        <f>IF(_calc!$E$428="","",IF(_calc!$E$428&lt;=500,TRIM(IF(LEN(IF(LEN(INDEX('Our policies'!$B$4:$B$503,_calc!$E$428))=0,"",INDEX('Our policies'!$B$4:$B$503,_calc!$E$428)))=0,"","Cover: "&amp;IF(LEN(INDEX('Our policies'!$B$4:$B$503,_calc!$E$428))=0,"",INDEX('Our policies'!$B$4:$B$503,_calc!$E$428))&amp;". ")&amp;IF(LEN(IF(LEN(INDEX('Our policies'!$C$4:$C$503,_calc!$E$428))=0,"",INDEX('Our policies'!$C$4:$C$503,_calc!$E$428)))=0,"","Insurer: "&amp;IF(LEN(INDEX('Our policies'!$C$4:$C$503,_calc!$E$428))=0,"",INDEX('Our policies'!$C$4:$C$503,_calc!$E$428))&amp;". ")&amp;IF(LEN(IF(LEN(INDEX('Our policies'!$D$4:$D$503,_calc!$E$428))=0,"",INDEX('Our policies'!$D$4:$D$503,_calc!$E$428)))=0,"","Broker: "&amp;IF(LEN(INDEX('Our policies'!$D$4:$D$503,_calc!$E$428))=0,"",INDEX('Our policies'!$D$4:$D$503,_calc!$E$428))&amp;". ")&amp;IF(LEN(IF(LEN(INDEX('Our policies'!$E$4:$E$503,_calc!$E$428))=0,"",INDEX('Our policies'!$E$4:$E$503,_calc!$E$428)))=0,"","Policy no.: "&amp;IF(LEN(INDEX('Our policies'!$E$4:$E$503,_calc!$E$428))=0,"",INDEX('Our policies'!$E$4:$E$503,_calc!$E$428))&amp;". ")&amp;IF(LEN(IF(LEN(INDEX('Our policies'!$S$4:$S$503,_calc!$E$428))=0,"",INDEX('Our policies'!$S$4:$S$503,_calc!$E$428)))=0,"",IF(LEN(INDEX('Our policies'!$S$4:$S$503,_calc!$E$428))=0,"",INDEX('Our policies'!$S$4:$S$503,_calc!$E$428)))),TRIM(IF(LEN(IF(LEN(INDEX('Vendor COIs'!$C$4:$C$503,(_calc!$E$428-500)))=0,"",INDEX('Vendor COIs'!$C$4:$C$503,(_calc!$E$428-500))))=0,"","Insurer: "&amp;IF(LEN(INDEX('Vendor COIs'!$C$4:$C$503,(_calc!$E$428-500)))=0,"",INDEX('Vendor COIs'!$C$4:$C$503,(_calc!$E$428-500)))&amp;". ")&amp;IF(LEN(IF(LEN(INDEX('Vendor COIs'!$D$4:$D$503,(_calc!$E$428-500)))=0,"",INDEX('Vendor COIs'!$D$4:$D$503,(_calc!$E$428-500))))=0,"","Policy no.: "&amp;IF(LEN(INDEX('Vendor COIs'!$D$4:$D$503,(_calc!$E$428-500)))=0,"",INDEX('Vendor COIs'!$D$4:$D$503,(_calc!$E$428-500)))&amp;". ")&amp;IF(LEN(IF(LEN(INDEX('Vendor COIs'!$F$4:$F$503,(_calc!$E$428-500)))=0,"",INDEX('Vendor COIs'!$F$4:$F$503,(_calc!$E$428-500))))=0,"","Meets minimum: "&amp;IF(LEN(INDEX('Vendor COIs'!$F$4:$F$503,(_calc!$E$428-500)))=0,"",INDEX('Vendor COIs'!$F$4:$F$503,(_calc!$E$428-500)))&amp;". ")&amp;IF(LEN(IF(LEN(INDEX('Vendor COIs'!$G$4:$G$503,(_calc!$E$428-500)))=0,"",INDEX('Vendor COIs'!$G$4:$G$503,(_calc!$E$428-500))))=0,"","Additional insured: "&amp;IF(LEN(INDEX('Vendor COIs'!$G$4:$G$503,(_calc!$E$428-500)))=0,"",INDEX('Vendor COIs'!$G$4:$G$503,(_calc!$E$428-500)))&amp;". ")&amp;IF(LEN(IF(LEN(INDEX('Vendor COIs'!$M$4:$M$503,(_calc!$E$428-500)))=0,"",INDEX('Vendor COIs'!$M$4:$M$503,(_calc!$E$428-500))))=0,"","Vendor contact: "&amp;IF(LEN(INDEX('Vendor COIs'!$M$4:$M$503,(_calc!$E$428-500)))=0,"",INDEX('Vendor COIs'!$M$4:$M$503,(_calc!$E$428-500)))&amp;". ")&amp;IF(LEN(IF(LEN(INDEX('Vendor COIs'!$P$4:$P$503,(_calc!$E$428-500)))=0,"",INDEX('Vendor COIs'!$P$4:$P$503,(_calc!$E$428-500))))=0,"",IF(LEN(INDEX('Vendor COIs'!$P$4:$P$503,(_calc!$E$428-500)))=0,"",INDEX('Vendor COIs'!$P$4:$P$503,(_calc!$E$428-500)))))))</f>
        <v/>
      </c>
      <c r="G426" s="46">
        <f>IF(_calc!$E$428="","",IF(_calc!$E$428&lt;=500,IF(LEN(INDEX('Our policies'!$R$4:$R$503,_calc!$E$428))=0,"",INDEX('Our policies'!$R$4:$R$503,_calc!$E$428)),IF(LEN(INDEX('Vendor COIs'!$O$4:$O$503,(_calc!$E$428-500)))=0,"",INDEX('Vendor COIs'!$O$4:$O$503,(_calc!$E$428-500)))))</f>
        <v/>
      </c>
      <c r="H426" s="46">
        <f>IF(_calc!$E$428="","",IF(_calc!$E$428&lt;=500,IF(LEN(INDEX('Our policies'!$G$4:$G$503,_calc!$E$428))=0,"",INDEX('Our policies'!$G$4:$G$503,_calc!$E$428)),""))</f>
        <v/>
      </c>
      <c r="I426" s="46">
        <f>IF(_calc!$E$428="","",IF(_calc!$E$428&lt;=500,IF(LEN(INDEX('Our policies'!$H$4:$H$503,_calc!$E$428))=0,"",INDEX('Our policies'!$H$4:$H$503,_calc!$E$428)),""))</f>
        <v/>
      </c>
      <c r="K426" s="46">
        <f>IF(_calc!$E$428="","",IF(_calc!$E$428&lt;=500,IF(LEN(INDEX('Our policies'!$P$4:$P$503,_calc!$E$428))=0,"",INDEX('Our policies'!$P$4:$P$503,_calc!$E$428)),IF(LEN(INDEX('Vendor COIs'!$N$4:$N$503,(_calc!$E$428-500)))=0,"",INDEX('Vendor COIs'!$N$4:$N$503,(_calc!$E$428-500)))))</f>
        <v/>
      </c>
    </row>
    <row r="427">
      <c r="A427" s="46">
        <f>IF(_calc!$E$429="","",IF(_calc!$E$429&lt;=500,IF(LEN(INDEX('Our policies'!$A$4:$A$503,_calc!$E$429))=0,"",INDEX('Our policies'!$A$4:$A$503,_calc!$E$429)),"COI – "&amp;IF(LEN(INDEX('Vendor COIs'!$A$4:$A$503,(_calc!$E$429-500)))=0,"",INDEX('Vendor COIs'!$A$4:$A$503,(_calc!$E$429-500)))&amp;" – "&amp;IF(LEN(INDEX('Vendor COIs'!$B$4:$B$503,(_calc!$E$429-500)))=0,"",INDEX('Vendor COIs'!$B$4:$B$503,(_calc!$E$429-500)))))</f>
        <v/>
      </c>
      <c r="B427" s="46">
        <f>IF(_calc!$E$429="","",IF(_calc!$E$429&lt;=500,IF(ISNUMBER(INDEX('Our policies'!$J$4:$J$503,_calc!$E$429)),TEXT(INDEX('Our policies'!$J$4:$J$503,_calc!$E$429),"yyyy-mm-dd"),""),IF(ISNUMBER(INDEX('Vendor COIs'!$H$4:$H$503,(_calc!$E$429-500))),TEXT(INDEX('Vendor COIs'!$H$4:$H$503,(_calc!$E$429-500)),"yyyy-mm-dd"),"")))</f>
        <v/>
      </c>
      <c r="C427" s="46">
        <f>IF(_calc!$E$429="","",IF(_calc!$E$429&lt;=500,"Insurance","Certificate of insurance"))</f>
        <v/>
      </c>
      <c r="D427" s="46">
        <f>IF(_calc!$E$429="","",IF(_calc!$E$429&lt;=500,IF(ISNUMBER(INDEX('Our policies'!$I$4:$I$503,_calc!$E$429)),TEXT(INDEX('Our policies'!$I$4:$I$503,_calc!$E$429),"yyyy-mm-dd"),""),""))</f>
        <v/>
      </c>
      <c r="E427" s="46">
        <f>IF(_calc!$E$429="","",IF(_calc!$E$429&lt;=500,IF(LEN(INDEX('Our policies'!$Q$4:$Q$503,_calc!$E$429))=0,"",INDEX('Our policies'!$Q$4:$Q$503,_calc!$E$429)),"Medium"))</f>
        <v/>
      </c>
      <c r="F427" s="46">
        <f>IF(_calc!$E$429="","",IF(_calc!$E$429&lt;=500,TRIM(IF(LEN(IF(LEN(INDEX('Our policies'!$B$4:$B$503,_calc!$E$429))=0,"",INDEX('Our policies'!$B$4:$B$503,_calc!$E$429)))=0,"","Cover: "&amp;IF(LEN(INDEX('Our policies'!$B$4:$B$503,_calc!$E$429))=0,"",INDEX('Our policies'!$B$4:$B$503,_calc!$E$429))&amp;". ")&amp;IF(LEN(IF(LEN(INDEX('Our policies'!$C$4:$C$503,_calc!$E$429))=0,"",INDEX('Our policies'!$C$4:$C$503,_calc!$E$429)))=0,"","Insurer: "&amp;IF(LEN(INDEX('Our policies'!$C$4:$C$503,_calc!$E$429))=0,"",INDEX('Our policies'!$C$4:$C$503,_calc!$E$429))&amp;". ")&amp;IF(LEN(IF(LEN(INDEX('Our policies'!$D$4:$D$503,_calc!$E$429))=0,"",INDEX('Our policies'!$D$4:$D$503,_calc!$E$429)))=0,"","Broker: "&amp;IF(LEN(INDEX('Our policies'!$D$4:$D$503,_calc!$E$429))=0,"",INDEX('Our policies'!$D$4:$D$503,_calc!$E$429))&amp;". ")&amp;IF(LEN(IF(LEN(INDEX('Our policies'!$E$4:$E$503,_calc!$E$429))=0,"",INDEX('Our policies'!$E$4:$E$503,_calc!$E$429)))=0,"","Policy no.: "&amp;IF(LEN(INDEX('Our policies'!$E$4:$E$503,_calc!$E$429))=0,"",INDEX('Our policies'!$E$4:$E$503,_calc!$E$429))&amp;". ")&amp;IF(LEN(IF(LEN(INDEX('Our policies'!$S$4:$S$503,_calc!$E$429))=0,"",INDEX('Our policies'!$S$4:$S$503,_calc!$E$429)))=0,"",IF(LEN(INDEX('Our policies'!$S$4:$S$503,_calc!$E$429))=0,"",INDEX('Our policies'!$S$4:$S$503,_calc!$E$429)))),TRIM(IF(LEN(IF(LEN(INDEX('Vendor COIs'!$C$4:$C$503,(_calc!$E$429-500)))=0,"",INDEX('Vendor COIs'!$C$4:$C$503,(_calc!$E$429-500))))=0,"","Insurer: "&amp;IF(LEN(INDEX('Vendor COIs'!$C$4:$C$503,(_calc!$E$429-500)))=0,"",INDEX('Vendor COIs'!$C$4:$C$503,(_calc!$E$429-500)))&amp;". ")&amp;IF(LEN(IF(LEN(INDEX('Vendor COIs'!$D$4:$D$503,(_calc!$E$429-500)))=0,"",INDEX('Vendor COIs'!$D$4:$D$503,(_calc!$E$429-500))))=0,"","Policy no.: "&amp;IF(LEN(INDEX('Vendor COIs'!$D$4:$D$503,(_calc!$E$429-500)))=0,"",INDEX('Vendor COIs'!$D$4:$D$503,(_calc!$E$429-500)))&amp;". ")&amp;IF(LEN(IF(LEN(INDEX('Vendor COIs'!$F$4:$F$503,(_calc!$E$429-500)))=0,"",INDEX('Vendor COIs'!$F$4:$F$503,(_calc!$E$429-500))))=0,"","Meets minimum: "&amp;IF(LEN(INDEX('Vendor COIs'!$F$4:$F$503,(_calc!$E$429-500)))=0,"",INDEX('Vendor COIs'!$F$4:$F$503,(_calc!$E$429-500)))&amp;". ")&amp;IF(LEN(IF(LEN(INDEX('Vendor COIs'!$G$4:$G$503,(_calc!$E$429-500)))=0,"",INDEX('Vendor COIs'!$G$4:$G$503,(_calc!$E$429-500))))=0,"","Additional insured: "&amp;IF(LEN(INDEX('Vendor COIs'!$G$4:$G$503,(_calc!$E$429-500)))=0,"",INDEX('Vendor COIs'!$G$4:$G$503,(_calc!$E$429-500)))&amp;". ")&amp;IF(LEN(IF(LEN(INDEX('Vendor COIs'!$M$4:$M$503,(_calc!$E$429-500)))=0,"",INDEX('Vendor COIs'!$M$4:$M$503,(_calc!$E$429-500))))=0,"","Vendor contact: "&amp;IF(LEN(INDEX('Vendor COIs'!$M$4:$M$503,(_calc!$E$429-500)))=0,"",INDEX('Vendor COIs'!$M$4:$M$503,(_calc!$E$429-500)))&amp;". ")&amp;IF(LEN(IF(LEN(INDEX('Vendor COIs'!$P$4:$P$503,(_calc!$E$429-500)))=0,"",INDEX('Vendor COIs'!$P$4:$P$503,(_calc!$E$429-500))))=0,"",IF(LEN(INDEX('Vendor COIs'!$P$4:$P$503,(_calc!$E$429-500)))=0,"",INDEX('Vendor COIs'!$P$4:$P$503,(_calc!$E$429-500)))))))</f>
        <v/>
      </c>
      <c r="G427" s="46">
        <f>IF(_calc!$E$429="","",IF(_calc!$E$429&lt;=500,IF(LEN(INDEX('Our policies'!$R$4:$R$503,_calc!$E$429))=0,"",INDEX('Our policies'!$R$4:$R$503,_calc!$E$429)),IF(LEN(INDEX('Vendor COIs'!$O$4:$O$503,(_calc!$E$429-500)))=0,"",INDEX('Vendor COIs'!$O$4:$O$503,(_calc!$E$429-500)))))</f>
        <v/>
      </c>
      <c r="H427" s="46">
        <f>IF(_calc!$E$429="","",IF(_calc!$E$429&lt;=500,IF(LEN(INDEX('Our policies'!$G$4:$G$503,_calc!$E$429))=0,"",INDEX('Our policies'!$G$4:$G$503,_calc!$E$429)),""))</f>
        <v/>
      </c>
      <c r="I427" s="46">
        <f>IF(_calc!$E$429="","",IF(_calc!$E$429&lt;=500,IF(LEN(INDEX('Our policies'!$H$4:$H$503,_calc!$E$429))=0,"",INDEX('Our policies'!$H$4:$H$503,_calc!$E$429)),""))</f>
        <v/>
      </c>
      <c r="K427" s="46">
        <f>IF(_calc!$E$429="","",IF(_calc!$E$429&lt;=500,IF(LEN(INDEX('Our policies'!$P$4:$P$503,_calc!$E$429))=0,"",INDEX('Our policies'!$P$4:$P$503,_calc!$E$429)),IF(LEN(INDEX('Vendor COIs'!$N$4:$N$503,(_calc!$E$429-500)))=0,"",INDEX('Vendor COIs'!$N$4:$N$503,(_calc!$E$429-500)))))</f>
        <v/>
      </c>
    </row>
    <row r="428">
      <c r="A428" s="46">
        <f>IF(_calc!$E$430="","",IF(_calc!$E$430&lt;=500,IF(LEN(INDEX('Our policies'!$A$4:$A$503,_calc!$E$430))=0,"",INDEX('Our policies'!$A$4:$A$503,_calc!$E$430)),"COI – "&amp;IF(LEN(INDEX('Vendor COIs'!$A$4:$A$503,(_calc!$E$430-500)))=0,"",INDEX('Vendor COIs'!$A$4:$A$503,(_calc!$E$430-500)))&amp;" – "&amp;IF(LEN(INDEX('Vendor COIs'!$B$4:$B$503,(_calc!$E$430-500)))=0,"",INDEX('Vendor COIs'!$B$4:$B$503,(_calc!$E$430-500)))))</f>
        <v/>
      </c>
      <c r="B428" s="46">
        <f>IF(_calc!$E$430="","",IF(_calc!$E$430&lt;=500,IF(ISNUMBER(INDEX('Our policies'!$J$4:$J$503,_calc!$E$430)),TEXT(INDEX('Our policies'!$J$4:$J$503,_calc!$E$430),"yyyy-mm-dd"),""),IF(ISNUMBER(INDEX('Vendor COIs'!$H$4:$H$503,(_calc!$E$430-500))),TEXT(INDEX('Vendor COIs'!$H$4:$H$503,(_calc!$E$430-500)),"yyyy-mm-dd"),"")))</f>
        <v/>
      </c>
      <c r="C428" s="46">
        <f>IF(_calc!$E$430="","",IF(_calc!$E$430&lt;=500,"Insurance","Certificate of insurance"))</f>
        <v/>
      </c>
      <c r="D428" s="46">
        <f>IF(_calc!$E$430="","",IF(_calc!$E$430&lt;=500,IF(ISNUMBER(INDEX('Our policies'!$I$4:$I$503,_calc!$E$430)),TEXT(INDEX('Our policies'!$I$4:$I$503,_calc!$E$430),"yyyy-mm-dd"),""),""))</f>
        <v/>
      </c>
      <c r="E428" s="46">
        <f>IF(_calc!$E$430="","",IF(_calc!$E$430&lt;=500,IF(LEN(INDEX('Our policies'!$Q$4:$Q$503,_calc!$E$430))=0,"",INDEX('Our policies'!$Q$4:$Q$503,_calc!$E$430)),"Medium"))</f>
        <v/>
      </c>
      <c r="F428" s="46">
        <f>IF(_calc!$E$430="","",IF(_calc!$E$430&lt;=500,TRIM(IF(LEN(IF(LEN(INDEX('Our policies'!$B$4:$B$503,_calc!$E$430))=0,"",INDEX('Our policies'!$B$4:$B$503,_calc!$E$430)))=0,"","Cover: "&amp;IF(LEN(INDEX('Our policies'!$B$4:$B$503,_calc!$E$430))=0,"",INDEX('Our policies'!$B$4:$B$503,_calc!$E$430))&amp;". ")&amp;IF(LEN(IF(LEN(INDEX('Our policies'!$C$4:$C$503,_calc!$E$430))=0,"",INDEX('Our policies'!$C$4:$C$503,_calc!$E$430)))=0,"","Insurer: "&amp;IF(LEN(INDEX('Our policies'!$C$4:$C$503,_calc!$E$430))=0,"",INDEX('Our policies'!$C$4:$C$503,_calc!$E$430))&amp;". ")&amp;IF(LEN(IF(LEN(INDEX('Our policies'!$D$4:$D$503,_calc!$E$430))=0,"",INDEX('Our policies'!$D$4:$D$503,_calc!$E$430)))=0,"","Broker: "&amp;IF(LEN(INDEX('Our policies'!$D$4:$D$503,_calc!$E$430))=0,"",INDEX('Our policies'!$D$4:$D$503,_calc!$E$430))&amp;". ")&amp;IF(LEN(IF(LEN(INDEX('Our policies'!$E$4:$E$503,_calc!$E$430))=0,"",INDEX('Our policies'!$E$4:$E$503,_calc!$E$430)))=0,"","Policy no.: "&amp;IF(LEN(INDEX('Our policies'!$E$4:$E$503,_calc!$E$430))=0,"",INDEX('Our policies'!$E$4:$E$503,_calc!$E$430))&amp;". ")&amp;IF(LEN(IF(LEN(INDEX('Our policies'!$S$4:$S$503,_calc!$E$430))=0,"",INDEX('Our policies'!$S$4:$S$503,_calc!$E$430)))=0,"",IF(LEN(INDEX('Our policies'!$S$4:$S$503,_calc!$E$430))=0,"",INDEX('Our policies'!$S$4:$S$503,_calc!$E$430)))),TRIM(IF(LEN(IF(LEN(INDEX('Vendor COIs'!$C$4:$C$503,(_calc!$E$430-500)))=0,"",INDEX('Vendor COIs'!$C$4:$C$503,(_calc!$E$430-500))))=0,"","Insurer: "&amp;IF(LEN(INDEX('Vendor COIs'!$C$4:$C$503,(_calc!$E$430-500)))=0,"",INDEX('Vendor COIs'!$C$4:$C$503,(_calc!$E$430-500)))&amp;". ")&amp;IF(LEN(IF(LEN(INDEX('Vendor COIs'!$D$4:$D$503,(_calc!$E$430-500)))=0,"",INDEX('Vendor COIs'!$D$4:$D$503,(_calc!$E$430-500))))=0,"","Policy no.: "&amp;IF(LEN(INDEX('Vendor COIs'!$D$4:$D$503,(_calc!$E$430-500)))=0,"",INDEX('Vendor COIs'!$D$4:$D$503,(_calc!$E$430-500)))&amp;". ")&amp;IF(LEN(IF(LEN(INDEX('Vendor COIs'!$F$4:$F$503,(_calc!$E$430-500)))=0,"",INDEX('Vendor COIs'!$F$4:$F$503,(_calc!$E$430-500))))=0,"","Meets minimum: "&amp;IF(LEN(INDEX('Vendor COIs'!$F$4:$F$503,(_calc!$E$430-500)))=0,"",INDEX('Vendor COIs'!$F$4:$F$503,(_calc!$E$430-500)))&amp;". ")&amp;IF(LEN(IF(LEN(INDEX('Vendor COIs'!$G$4:$G$503,(_calc!$E$430-500)))=0,"",INDEX('Vendor COIs'!$G$4:$G$503,(_calc!$E$430-500))))=0,"","Additional insured: "&amp;IF(LEN(INDEX('Vendor COIs'!$G$4:$G$503,(_calc!$E$430-500)))=0,"",INDEX('Vendor COIs'!$G$4:$G$503,(_calc!$E$430-500)))&amp;". ")&amp;IF(LEN(IF(LEN(INDEX('Vendor COIs'!$M$4:$M$503,(_calc!$E$430-500)))=0,"",INDEX('Vendor COIs'!$M$4:$M$503,(_calc!$E$430-500))))=0,"","Vendor contact: "&amp;IF(LEN(INDEX('Vendor COIs'!$M$4:$M$503,(_calc!$E$430-500)))=0,"",INDEX('Vendor COIs'!$M$4:$M$503,(_calc!$E$430-500)))&amp;". ")&amp;IF(LEN(IF(LEN(INDEX('Vendor COIs'!$P$4:$P$503,(_calc!$E$430-500)))=0,"",INDEX('Vendor COIs'!$P$4:$P$503,(_calc!$E$430-500))))=0,"",IF(LEN(INDEX('Vendor COIs'!$P$4:$P$503,(_calc!$E$430-500)))=0,"",INDEX('Vendor COIs'!$P$4:$P$503,(_calc!$E$430-500)))))))</f>
        <v/>
      </c>
      <c r="G428" s="46">
        <f>IF(_calc!$E$430="","",IF(_calc!$E$430&lt;=500,IF(LEN(INDEX('Our policies'!$R$4:$R$503,_calc!$E$430))=0,"",INDEX('Our policies'!$R$4:$R$503,_calc!$E$430)),IF(LEN(INDEX('Vendor COIs'!$O$4:$O$503,(_calc!$E$430-500)))=0,"",INDEX('Vendor COIs'!$O$4:$O$503,(_calc!$E$430-500)))))</f>
        <v/>
      </c>
      <c r="H428" s="46">
        <f>IF(_calc!$E$430="","",IF(_calc!$E$430&lt;=500,IF(LEN(INDEX('Our policies'!$G$4:$G$503,_calc!$E$430))=0,"",INDEX('Our policies'!$G$4:$G$503,_calc!$E$430)),""))</f>
        <v/>
      </c>
      <c r="I428" s="46">
        <f>IF(_calc!$E$430="","",IF(_calc!$E$430&lt;=500,IF(LEN(INDEX('Our policies'!$H$4:$H$503,_calc!$E$430))=0,"",INDEX('Our policies'!$H$4:$H$503,_calc!$E$430)),""))</f>
        <v/>
      </c>
      <c r="K428" s="46">
        <f>IF(_calc!$E$430="","",IF(_calc!$E$430&lt;=500,IF(LEN(INDEX('Our policies'!$P$4:$P$503,_calc!$E$430))=0,"",INDEX('Our policies'!$P$4:$P$503,_calc!$E$430)),IF(LEN(INDEX('Vendor COIs'!$N$4:$N$503,(_calc!$E$430-500)))=0,"",INDEX('Vendor COIs'!$N$4:$N$503,(_calc!$E$430-500)))))</f>
        <v/>
      </c>
    </row>
    <row r="429">
      <c r="A429" s="46">
        <f>IF(_calc!$E$431="","",IF(_calc!$E$431&lt;=500,IF(LEN(INDEX('Our policies'!$A$4:$A$503,_calc!$E$431))=0,"",INDEX('Our policies'!$A$4:$A$503,_calc!$E$431)),"COI – "&amp;IF(LEN(INDEX('Vendor COIs'!$A$4:$A$503,(_calc!$E$431-500)))=0,"",INDEX('Vendor COIs'!$A$4:$A$503,(_calc!$E$431-500)))&amp;" – "&amp;IF(LEN(INDEX('Vendor COIs'!$B$4:$B$503,(_calc!$E$431-500)))=0,"",INDEX('Vendor COIs'!$B$4:$B$503,(_calc!$E$431-500)))))</f>
        <v/>
      </c>
      <c r="B429" s="46">
        <f>IF(_calc!$E$431="","",IF(_calc!$E$431&lt;=500,IF(ISNUMBER(INDEX('Our policies'!$J$4:$J$503,_calc!$E$431)),TEXT(INDEX('Our policies'!$J$4:$J$503,_calc!$E$431),"yyyy-mm-dd"),""),IF(ISNUMBER(INDEX('Vendor COIs'!$H$4:$H$503,(_calc!$E$431-500))),TEXT(INDEX('Vendor COIs'!$H$4:$H$503,(_calc!$E$431-500)),"yyyy-mm-dd"),"")))</f>
        <v/>
      </c>
      <c r="C429" s="46">
        <f>IF(_calc!$E$431="","",IF(_calc!$E$431&lt;=500,"Insurance","Certificate of insurance"))</f>
        <v/>
      </c>
      <c r="D429" s="46">
        <f>IF(_calc!$E$431="","",IF(_calc!$E$431&lt;=500,IF(ISNUMBER(INDEX('Our policies'!$I$4:$I$503,_calc!$E$431)),TEXT(INDEX('Our policies'!$I$4:$I$503,_calc!$E$431),"yyyy-mm-dd"),""),""))</f>
        <v/>
      </c>
      <c r="E429" s="46">
        <f>IF(_calc!$E$431="","",IF(_calc!$E$431&lt;=500,IF(LEN(INDEX('Our policies'!$Q$4:$Q$503,_calc!$E$431))=0,"",INDEX('Our policies'!$Q$4:$Q$503,_calc!$E$431)),"Medium"))</f>
        <v/>
      </c>
      <c r="F429" s="46">
        <f>IF(_calc!$E$431="","",IF(_calc!$E$431&lt;=500,TRIM(IF(LEN(IF(LEN(INDEX('Our policies'!$B$4:$B$503,_calc!$E$431))=0,"",INDEX('Our policies'!$B$4:$B$503,_calc!$E$431)))=0,"","Cover: "&amp;IF(LEN(INDEX('Our policies'!$B$4:$B$503,_calc!$E$431))=0,"",INDEX('Our policies'!$B$4:$B$503,_calc!$E$431))&amp;". ")&amp;IF(LEN(IF(LEN(INDEX('Our policies'!$C$4:$C$503,_calc!$E$431))=0,"",INDEX('Our policies'!$C$4:$C$503,_calc!$E$431)))=0,"","Insurer: "&amp;IF(LEN(INDEX('Our policies'!$C$4:$C$503,_calc!$E$431))=0,"",INDEX('Our policies'!$C$4:$C$503,_calc!$E$431))&amp;". ")&amp;IF(LEN(IF(LEN(INDEX('Our policies'!$D$4:$D$503,_calc!$E$431))=0,"",INDEX('Our policies'!$D$4:$D$503,_calc!$E$431)))=0,"","Broker: "&amp;IF(LEN(INDEX('Our policies'!$D$4:$D$503,_calc!$E$431))=0,"",INDEX('Our policies'!$D$4:$D$503,_calc!$E$431))&amp;". ")&amp;IF(LEN(IF(LEN(INDEX('Our policies'!$E$4:$E$503,_calc!$E$431))=0,"",INDEX('Our policies'!$E$4:$E$503,_calc!$E$431)))=0,"","Policy no.: "&amp;IF(LEN(INDEX('Our policies'!$E$4:$E$503,_calc!$E$431))=0,"",INDEX('Our policies'!$E$4:$E$503,_calc!$E$431))&amp;". ")&amp;IF(LEN(IF(LEN(INDEX('Our policies'!$S$4:$S$503,_calc!$E$431))=0,"",INDEX('Our policies'!$S$4:$S$503,_calc!$E$431)))=0,"",IF(LEN(INDEX('Our policies'!$S$4:$S$503,_calc!$E$431))=0,"",INDEX('Our policies'!$S$4:$S$503,_calc!$E$431)))),TRIM(IF(LEN(IF(LEN(INDEX('Vendor COIs'!$C$4:$C$503,(_calc!$E$431-500)))=0,"",INDEX('Vendor COIs'!$C$4:$C$503,(_calc!$E$431-500))))=0,"","Insurer: "&amp;IF(LEN(INDEX('Vendor COIs'!$C$4:$C$503,(_calc!$E$431-500)))=0,"",INDEX('Vendor COIs'!$C$4:$C$503,(_calc!$E$431-500)))&amp;". ")&amp;IF(LEN(IF(LEN(INDEX('Vendor COIs'!$D$4:$D$503,(_calc!$E$431-500)))=0,"",INDEX('Vendor COIs'!$D$4:$D$503,(_calc!$E$431-500))))=0,"","Policy no.: "&amp;IF(LEN(INDEX('Vendor COIs'!$D$4:$D$503,(_calc!$E$431-500)))=0,"",INDEX('Vendor COIs'!$D$4:$D$503,(_calc!$E$431-500)))&amp;". ")&amp;IF(LEN(IF(LEN(INDEX('Vendor COIs'!$F$4:$F$503,(_calc!$E$431-500)))=0,"",INDEX('Vendor COIs'!$F$4:$F$503,(_calc!$E$431-500))))=0,"","Meets minimum: "&amp;IF(LEN(INDEX('Vendor COIs'!$F$4:$F$503,(_calc!$E$431-500)))=0,"",INDEX('Vendor COIs'!$F$4:$F$503,(_calc!$E$431-500)))&amp;". ")&amp;IF(LEN(IF(LEN(INDEX('Vendor COIs'!$G$4:$G$503,(_calc!$E$431-500)))=0,"",INDEX('Vendor COIs'!$G$4:$G$503,(_calc!$E$431-500))))=0,"","Additional insured: "&amp;IF(LEN(INDEX('Vendor COIs'!$G$4:$G$503,(_calc!$E$431-500)))=0,"",INDEX('Vendor COIs'!$G$4:$G$503,(_calc!$E$431-500)))&amp;". ")&amp;IF(LEN(IF(LEN(INDEX('Vendor COIs'!$M$4:$M$503,(_calc!$E$431-500)))=0,"",INDEX('Vendor COIs'!$M$4:$M$503,(_calc!$E$431-500))))=0,"","Vendor contact: "&amp;IF(LEN(INDEX('Vendor COIs'!$M$4:$M$503,(_calc!$E$431-500)))=0,"",INDEX('Vendor COIs'!$M$4:$M$503,(_calc!$E$431-500)))&amp;". ")&amp;IF(LEN(IF(LEN(INDEX('Vendor COIs'!$P$4:$P$503,(_calc!$E$431-500)))=0,"",INDEX('Vendor COIs'!$P$4:$P$503,(_calc!$E$431-500))))=0,"",IF(LEN(INDEX('Vendor COIs'!$P$4:$P$503,(_calc!$E$431-500)))=0,"",INDEX('Vendor COIs'!$P$4:$P$503,(_calc!$E$431-500)))))))</f>
        <v/>
      </c>
      <c r="G429" s="46">
        <f>IF(_calc!$E$431="","",IF(_calc!$E$431&lt;=500,IF(LEN(INDEX('Our policies'!$R$4:$R$503,_calc!$E$431))=0,"",INDEX('Our policies'!$R$4:$R$503,_calc!$E$431)),IF(LEN(INDEX('Vendor COIs'!$O$4:$O$503,(_calc!$E$431-500)))=0,"",INDEX('Vendor COIs'!$O$4:$O$503,(_calc!$E$431-500)))))</f>
        <v/>
      </c>
      <c r="H429" s="46">
        <f>IF(_calc!$E$431="","",IF(_calc!$E$431&lt;=500,IF(LEN(INDEX('Our policies'!$G$4:$G$503,_calc!$E$431))=0,"",INDEX('Our policies'!$G$4:$G$503,_calc!$E$431)),""))</f>
        <v/>
      </c>
      <c r="I429" s="46">
        <f>IF(_calc!$E$431="","",IF(_calc!$E$431&lt;=500,IF(LEN(INDEX('Our policies'!$H$4:$H$503,_calc!$E$431))=0,"",INDEX('Our policies'!$H$4:$H$503,_calc!$E$431)),""))</f>
        <v/>
      </c>
      <c r="K429" s="46">
        <f>IF(_calc!$E$431="","",IF(_calc!$E$431&lt;=500,IF(LEN(INDEX('Our policies'!$P$4:$P$503,_calc!$E$431))=0,"",INDEX('Our policies'!$P$4:$P$503,_calc!$E$431)),IF(LEN(INDEX('Vendor COIs'!$N$4:$N$503,(_calc!$E$431-500)))=0,"",INDEX('Vendor COIs'!$N$4:$N$503,(_calc!$E$431-500)))))</f>
        <v/>
      </c>
    </row>
    <row r="430">
      <c r="A430" s="46">
        <f>IF(_calc!$E$432="","",IF(_calc!$E$432&lt;=500,IF(LEN(INDEX('Our policies'!$A$4:$A$503,_calc!$E$432))=0,"",INDEX('Our policies'!$A$4:$A$503,_calc!$E$432)),"COI – "&amp;IF(LEN(INDEX('Vendor COIs'!$A$4:$A$503,(_calc!$E$432-500)))=0,"",INDEX('Vendor COIs'!$A$4:$A$503,(_calc!$E$432-500)))&amp;" – "&amp;IF(LEN(INDEX('Vendor COIs'!$B$4:$B$503,(_calc!$E$432-500)))=0,"",INDEX('Vendor COIs'!$B$4:$B$503,(_calc!$E$432-500)))))</f>
        <v/>
      </c>
      <c r="B430" s="46">
        <f>IF(_calc!$E$432="","",IF(_calc!$E$432&lt;=500,IF(ISNUMBER(INDEX('Our policies'!$J$4:$J$503,_calc!$E$432)),TEXT(INDEX('Our policies'!$J$4:$J$503,_calc!$E$432),"yyyy-mm-dd"),""),IF(ISNUMBER(INDEX('Vendor COIs'!$H$4:$H$503,(_calc!$E$432-500))),TEXT(INDEX('Vendor COIs'!$H$4:$H$503,(_calc!$E$432-500)),"yyyy-mm-dd"),"")))</f>
        <v/>
      </c>
      <c r="C430" s="46">
        <f>IF(_calc!$E$432="","",IF(_calc!$E$432&lt;=500,"Insurance","Certificate of insurance"))</f>
        <v/>
      </c>
      <c r="D430" s="46">
        <f>IF(_calc!$E$432="","",IF(_calc!$E$432&lt;=500,IF(ISNUMBER(INDEX('Our policies'!$I$4:$I$503,_calc!$E$432)),TEXT(INDEX('Our policies'!$I$4:$I$503,_calc!$E$432),"yyyy-mm-dd"),""),""))</f>
        <v/>
      </c>
      <c r="E430" s="46">
        <f>IF(_calc!$E$432="","",IF(_calc!$E$432&lt;=500,IF(LEN(INDEX('Our policies'!$Q$4:$Q$503,_calc!$E$432))=0,"",INDEX('Our policies'!$Q$4:$Q$503,_calc!$E$432)),"Medium"))</f>
        <v/>
      </c>
      <c r="F430" s="46">
        <f>IF(_calc!$E$432="","",IF(_calc!$E$432&lt;=500,TRIM(IF(LEN(IF(LEN(INDEX('Our policies'!$B$4:$B$503,_calc!$E$432))=0,"",INDEX('Our policies'!$B$4:$B$503,_calc!$E$432)))=0,"","Cover: "&amp;IF(LEN(INDEX('Our policies'!$B$4:$B$503,_calc!$E$432))=0,"",INDEX('Our policies'!$B$4:$B$503,_calc!$E$432))&amp;". ")&amp;IF(LEN(IF(LEN(INDEX('Our policies'!$C$4:$C$503,_calc!$E$432))=0,"",INDEX('Our policies'!$C$4:$C$503,_calc!$E$432)))=0,"","Insurer: "&amp;IF(LEN(INDEX('Our policies'!$C$4:$C$503,_calc!$E$432))=0,"",INDEX('Our policies'!$C$4:$C$503,_calc!$E$432))&amp;". ")&amp;IF(LEN(IF(LEN(INDEX('Our policies'!$D$4:$D$503,_calc!$E$432))=0,"",INDEX('Our policies'!$D$4:$D$503,_calc!$E$432)))=0,"","Broker: "&amp;IF(LEN(INDEX('Our policies'!$D$4:$D$503,_calc!$E$432))=0,"",INDEX('Our policies'!$D$4:$D$503,_calc!$E$432))&amp;". ")&amp;IF(LEN(IF(LEN(INDEX('Our policies'!$E$4:$E$503,_calc!$E$432))=0,"",INDEX('Our policies'!$E$4:$E$503,_calc!$E$432)))=0,"","Policy no.: "&amp;IF(LEN(INDEX('Our policies'!$E$4:$E$503,_calc!$E$432))=0,"",INDEX('Our policies'!$E$4:$E$503,_calc!$E$432))&amp;". ")&amp;IF(LEN(IF(LEN(INDEX('Our policies'!$S$4:$S$503,_calc!$E$432))=0,"",INDEX('Our policies'!$S$4:$S$503,_calc!$E$432)))=0,"",IF(LEN(INDEX('Our policies'!$S$4:$S$503,_calc!$E$432))=0,"",INDEX('Our policies'!$S$4:$S$503,_calc!$E$432)))),TRIM(IF(LEN(IF(LEN(INDEX('Vendor COIs'!$C$4:$C$503,(_calc!$E$432-500)))=0,"",INDEX('Vendor COIs'!$C$4:$C$503,(_calc!$E$432-500))))=0,"","Insurer: "&amp;IF(LEN(INDEX('Vendor COIs'!$C$4:$C$503,(_calc!$E$432-500)))=0,"",INDEX('Vendor COIs'!$C$4:$C$503,(_calc!$E$432-500)))&amp;". ")&amp;IF(LEN(IF(LEN(INDEX('Vendor COIs'!$D$4:$D$503,(_calc!$E$432-500)))=0,"",INDEX('Vendor COIs'!$D$4:$D$503,(_calc!$E$432-500))))=0,"","Policy no.: "&amp;IF(LEN(INDEX('Vendor COIs'!$D$4:$D$503,(_calc!$E$432-500)))=0,"",INDEX('Vendor COIs'!$D$4:$D$503,(_calc!$E$432-500)))&amp;". ")&amp;IF(LEN(IF(LEN(INDEX('Vendor COIs'!$F$4:$F$503,(_calc!$E$432-500)))=0,"",INDEX('Vendor COIs'!$F$4:$F$503,(_calc!$E$432-500))))=0,"","Meets minimum: "&amp;IF(LEN(INDEX('Vendor COIs'!$F$4:$F$503,(_calc!$E$432-500)))=0,"",INDEX('Vendor COIs'!$F$4:$F$503,(_calc!$E$432-500)))&amp;". ")&amp;IF(LEN(IF(LEN(INDEX('Vendor COIs'!$G$4:$G$503,(_calc!$E$432-500)))=0,"",INDEX('Vendor COIs'!$G$4:$G$503,(_calc!$E$432-500))))=0,"","Additional insured: "&amp;IF(LEN(INDEX('Vendor COIs'!$G$4:$G$503,(_calc!$E$432-500)))=0,"",INDEX('Vendor COIs'!$G$4:$G$503,(_calc!$E$432-500)))&amp;". ")&amp;IF(LEN(IF(LEN(INDEX('Vendor COIs'!$M$4:$M$503,(_calc!$E$432-500)))=0,"",INDEX('Vendor COIs'!$M$4:$M$503,(_calc!$E$432-500))))=0,"","Vendor contact: "&amp;IF(LEN(INDEX('Vendor COIs'!$M$4:$M$503,(_calc!$E$432-500)))=0,"",INDEX('Vendor COIs'!$M$4:$M$503,(_calc!$E$432-500)))&amp;". ")&amp;IF(LEN(IF(LEN(INDEX('Vendor COIs'!$P$4:$P$503,(_calc!$E$432-500)))=0,"",INDEX('Vendor COIs'!$P$4:$P$503,(_calc!$E$432-500))))=0,"",IF(LEN(INDEX('Vendor COIs'!$P$4:$P$503,(_calc!$E$432-500)))=0,"",INDEX('Vendor COIs'!$P$4:$P$503,(_calc!$E$432-500)))))))</f>
        <v/>
      </c>
      <c r="G430" s="46">
        <f>IF(_calc!$E$432="","",IF(_calc!$E$432&lt;=500,IF(LEN(INDEX('Our policies'!$R$4:$R$503,_calc!$E$432))=0,"",INDEX('Our policies'!$R$4:$R$503,_calc!$E$432)),IF(LEN(INDEX('Vendor COIs'!$O$4:$O$503,(_calc!$E$432-500)))=0,"",INDEX('Vendor COIs'!$O$4:$O$503,(_calc!$E$432-500)))))</f>
        <v/>
      </c>
      <c r="H430" s="46">
        <f>IF(_calc!$E$432="","",IF(_calc!$E$432&lt;=500,IF(LEN(INDEX('Our policies'!$G$4:$G$503,_calc!$E$432))=0,"",INDEX('Our policies'!$G$4:$G$503,_calc!$E$432)),""))</f>
        <v/>
      </c>
      <c r="I430" s="46">
        <f>IF(_calc!$E$432="","",IF(_calc!$E$432&lt;=500,IF(LEN(INDEX('Our policies'!$H$4:$H$503,_calc!$E$432))=0,"",INDEX('Our policies'!$H$4:$H$503,_calc!$E$432)),""))</f>
        <v/>
      </c>
      <c r="K430" s="46">
        <f>IF(_calc!$E$432="","",IF(_calc!$E$432&lt;=500,IF(LEN(INDEX('Our policies'!$P$4:$P$503,_calc!$E$432))=0,"",INDEX('Our policies'!$P$4:$P$503,_calc!$E$432)),IF(LEN(INDEX('Vendor COIs'!$N$4:$N$503,(_calc!$E$432-500)))=0,"",INDEX('Vendor COIs'!$N$4:$N$503,(_calc!$E$432-500)))))</f>
        <v/>
      </c>
    </row>
    <row r="431">
      <c r="A431" s="46">
        <f>IF(_calc!$E$433="","",IF(_calc!$E$433&lt;=500,IF(LEN(INDEX('Our policies'!$A$4:$A$503,_calc!$E$433))=0,"",INDEX('Our policies'!$A$4:$A$503,_calc!$E$433)),"COI – "&amp;IF(LEN(INDEX('Vendor COIs'!$A$4:$A$503,(_calc!$E$433-500)))=0,"",INDEX('Vendor COIs'!$A$4:$A$503,(_calc!$E$433-500)))&amp;" – "&amp;IF(LEN(INDEX('Vendor COIs'!$B$4:$B$503,(_calc!$E$433-500)))=0,"",INDEX('Vendor COIs'!$B$4:$B$503,(_calc!$E$433-500)))))</f>
        <v/>
      </c>
      <c r="B431" s="46">
        <f>IF(_calc!$E$433="","",IF(_calc!$E$433&lt;=500,IF(ISNUMBER(INDEX('Our policies'!$J$4:$J$503,_calc!$E$433)),TEXT(INDEX('Our policies'!$J$4:$J$503,_calc!$E$433),"yyyy-mm-dd"),""),IF(ISNUMBER(INDEX('Vendor COIs'!$H$4:$H$503,(_calc!$E$433-500))),TEXT(INDEX('Vendor COIs'!$H$4:$H$503,(_calc!$E$433-500)),"yyyy-mm-dd"),"")))</f>
        <v/>
      </c>
      <c r="C431" s="46">
        <f>IF(_calc!$E$433="","",IF(_calc!$E$433&lt;=500,"Insurance","Certificate of insurance"))</f>
        <v/>
      </c>
      <c r="D431" s="46">
        <f>IF(_calc!$E$433="","",IF(_calc!$E$433&lt;=500,IF(ISNUMBER(INDEX('Our policies'!$I$4:$I$503,_calc!$E$433)),TEXT(INDEX('Our policies'!$I$4:$I$503,_calc!$E$433),"yyyy-mm-dd"),""),""))</f>
        <v/>
      </c>
      <c r="E431" s="46">
        <f>IF(_calc!$E$433="","",IF(_calc!$E$433&lt;=500,IF(LEN(INDEX('Our policies'!$Q$4:$Q$503,_calc!$E$433))=0,"",INDEX('Our policies'!$Q$4:$Q$503,_calc!$E$433)),"Medium"))</f>
        <v/>
      </c>
      <c r="F431" s="46">
        <f>IF(_calc!$E$433="","",IF(_calc!$E$433&lt;=500,TRIM(IF(LEN(IF(LEN(INDEX('Our policies'!$B$4:$B$503,_calc!$E$433))=0,"",INDEX('Our policies'!$B$4:$B$503,_calc!$E$433)))=0,"","Cover: "&amp;IF(LEN(INDEX('Our policies'!$B$4:$B$503,_calc!$E$433))=0,"",INDEX('Our policies'!$B$4:$B$503,_calc!$E$433))&amp;". ")&amp;IF(LEN(IF(LEN(INDEX('Our policies'!$C$4:$C$503,_calc!$E$433))=0,"",INDEX('Our policies'!$C$4:$C$503,_calc!$E$433)))=0,"","Insurer: "&amp;IF(LEN(INDEX('Our policies'!$C$4:$C$503,_calc!$E$433))=0,"",INDEX('Our policies'!$C$4:$C$503,_calc!$E$433))&amp;". ")&amp;IF(LEN(IF(LEN(INDEX('Our policies'!$D$4:$D$503,_calc!$E$433))=0,"",INDEX('Our policies'!$D$4:$D$503,_calc!$E$433)))=0,"","Broker: "&amp;IF(LEN(INDEX('Our policies'!$D$4:$D$503,_calc!$E$433))=0,"",INDEX('Our policies'!$D$4:$D$503,_calc!$E$433))&amp;". ")&amp;IF(LEN(IF(LEN(INDEX('Our policies'!$E$4:$E$503,_calc!$E$433))=0,"",INDEX('Our policies'!$E$4:$E$503,_calc!$E$433)))=0,"","Policy no.: "&amp;IF(LEN(INDEX('Our policies'!$E$4:$E$503,_calc!$E$433))=0,"",INDEX('Our policies'!$E$4:$E$503,_calc!$E$433))&amp;". ")&amp;IF(LEN(IF(LEN(INDEX('Our policies'!$S$4:$S$503,_calc!$E$433))=0,"",INDEX('Our policies'!$S$4:$S$503,_calc!$E$433)))=0,"",IF(LEN(INDEX('Our policies'!$S$4:$S$503,_calc!$E$433))=0,"",INDEX('Our policies'!$S$4:$S$503,_calc!$E$433)))),TRIM(IF(LEN(IF(LEN(INDEX('Vendor COIs'!$C$4:$C$503,(_calc!$E$433-500)))=0,"",INDEX('Vendor COIs'!$C$4:$C$503,(_calc!$E$433-500))))=0,"","Insurer: "&amp;IF(LEN(INDEX('Vendor COIs'!$C$4:$C$503,(_calc!$E$433-500)))=0,"",INDEX('Vendor COIs'!$C$4:$C$503,(_calc!$E$433-500)))&amp;". ")&amp;IF(LEN(IF(LEN(INDEX('Vendor COIs'!$D$4:$D$503,(_calc!$E$433-500)))=0,"",INDEX('Vendor COIs'!$D$4:$D$503,(_calc!$E$433-500))))=0,"","Policy no.: "&amp;IF(LEN(INDEX('Vendor COIs'!$D$4:$D$503,(_calc!$E$433-500)))=0,"",INDEX('Vendor COIs'!$D$4:$D$503,(_calc!$E$433-500)))&amp;". ")&amp;IF(LEN(IF(LEN(INDEX('Vendor COIs'!$F$4:$F$503,(_calc!$E$433-500)))=0,"",INDEX('Vendor COIs'!$F$4:$F$503,(_calc!$E$433-500))))=0,"","Meets minimum: "&amp;IF(LEN(INDEX('Vendor COIs'!$F$4:$F$503,(_calc!$E$433-500)))=0,"",INDEX('Vendor COIs'!$F$4:$F$503,(_calc!$E$433-500)))&amp;". ")&amp;IF(LEN(IF(LEN(INDEX('Vendor COIs'!$G$4:$G$503,(_calc!$E$433-500)))=0,"",INDEX('Vendor COIs'!$G$4:$G$503,(_calc!$E$433-500))))=0,"","Additional insured: "&amp;IF(LEN(INDEX('Vendor COIs'!$G$4:$G$503,(_calc!$E$433-500)))=0,"",INDEX('Vendor COIs'!$G$4:$G$503,(_calc!$E$433-500)))&amp;". ")&amp;IF(LEN(IF(LEN(INDEX('Vendor COIs'!$M$4:$M$503,(_calc!$E$433-500)))=0,"",INDEX('Vendor COIs'!$M$4:$M$503,(_calc!$E$433-500))))=0,"","Vendor contact: "&amp;IF(LEN(INDEX('Vendor COIs'!$M$4:$M$503,(_calc!$E$433-500)))=0,"",INDEX('Vendor COIs'!$M$4:$M$503,(_calc!$E$433-500)))&amp;". ")&amp;IF(LEN(IF(LEN(INDEX('Vendor COIs'!$P$4:$P$503,(_calc!$E$433-500)))=0,"",INDEX('Vendor COIs'!$P$4:$P$503,(_calc!$E$433-500))))=0,"",IF(LEN(INDEX('Vendor COIs'!$P$4:$P$503,(_calc!$E$433-500)))=0,"",INDEX('Vendor COIs'!$P$4:$P$503,(_calc!$E$433-500)))))))</f>
        <v/>
      </c>
      <c r="G431" s="46">
        <f>IF(_calc!$E$433="","",IF(_calc!$E$433&lt;=500,IF(LEN(INDEX('Our policies'!$R$4:$R$503,_calc!$E$433))=0,"",INDEX('Our policies'!$R$4:$R$503,_calc!$E$433)),IF(LEN(INDEX('Vendor COIs'!$O$4:$O$503,(_calc!$E$433-500)))=0,"",INDEX('Vendor COIs'!$O$4:$O$503,(_calc!$E$433-500)))))</f>
        <v/>
      </c>
      <c r="H431" s="46">
        <f>IF(_calc!$E$433="","",IF(_calc!$E$433&lt;=500,IF(LEN(INDEX('Our policies'!$G$4:$G$503,_calc!$E$433))=0,"",INDEX('Our policies'!$G$4:$G$503,_calc!$E$433)),""))</f>
        <v/>
      </c>
      <c r="I431" s="46">
        <f>IF(_calc!$E$433="","",IF(_calc!$E$433&lt;=500,IF(LEN(INDEX('Our policies'!$H$4:$H$503,_calc!$E$433))=0,"",INDEX('Our policies'!$H$4:$H$503,_calc!$E$433)),""))</f>
        <v/>
      </c>
      <c r="K431" s="46">
        <f>IF(_calc!$E$433="","",IF(_calc!$E$433&lt;=500,IF(LEN(INDEX('Our policies'!$P$4:$P$503,_calc!$E$433))=0,"",INDEX('Our policies'!$P$4:$P$503,_calc!$E$433)),IF(LEN(INDEX('Vendor COIs'!$N$4:$N$503,(_calc!$E$433-500)))=0,"",INDEX('Vendor COIs'!$N$4:$N$503,(_calc!$E$433-500)))))</f>
        <v/>
      </c>
    </row>
    <row r="432">
      <c r="A432" s="46">
        <f>IF(_calc!$E$434="","",IF(_calc!$E$434&lt;=500,IF(LEN(INDEX('Our policies'!$A$4:$A$503,_calc!$E$434))=0,"",INDEX('Our policies'!$A$4:$A$503,_calc!$E$434)),"COI – "&amp;IF(LEN(INDEX('Vendor COIs'!$A$4:$A$503,(_calc!$E$434-500)))=0,"",INDEX('Vendor COIs'!$A$4:$A$503,(_calc!$E$434-500)))&amp;" – "&amp;IF(LEN(INDEX('Vendor COIs'!$B$4:$B$503,(_calc!$E$434-500)))=0,"",INDEX('Vendor COIs'!$B$4:$B$503,(_calc!$E$434-500)))))</f>
        <v/>
      </c>
      <c r="B432" s="46">
        <f>IF(_calc!$E$434="","",IF(_calc!$E$434&lt;=500,IF(ISNUMBER(INDEX('Our policies'!$J$4:$J$503,_calc!$E$434)),TEXT(INDEX('Our policies'!$J$4:$J$503,_calc!$E$434),"yyyy-mm-dd"),""),IF(ISNUMBER(INDEX('Vendor COIs'!$H$4:$H$503,(_calc!$E$434-500))),TEXT(INDEX('Vendor COIs'!$H$4:$H$503,(_calc!$E$434-500)),"yyyy-mm-dd"),"")))</f>
        <v/>
      </c>
      <c r="C432" s="46">
        <f>IF(_calc!$E$434="","",IF(_calc!$E$434&lt;=500,"Insurance","Certificate of insurance"))</f>
        <v/>
      </c>
      <c r="D432" s="46">
        <f>IF(_calc!$E$434="","",IF(_calc!$E$434&lt;=500,IF(ISNUMBER(INDEX('Our policies'!$I$4:$I$503,_calc!$E$434)),TEXT(INDEX('Our policies'!$I$4:$I$503,_calc!$E$434),"yyyy-mm-dd"),""),""))</f>
        <v/>
      </c>
      <c r="E432" s="46">
        <f>IF(_calc!$E$434="","",IF(_calc!$E$434&lt;=500,IF(LEN(INDEX('Our policies'!$Q$4:$Q$503,_calc!$E$434))=0,"",INDEX('Our policies'!$Q$4:$Q$503,_calc!$E$434)),"Medium"))</f>
        <v/>
      </c>
      <c r="F432" s="46">
        <f>IF(_calc!$E$434="","",IF(_calc!$E$434&lt;=500,TRIM(IF(LEN(IF(LEN(INDEX('Our policies'!$B$4:$B$503,_calc!$E$434))=0,"",INDEX('Our policies'!$B$4:$B$503,_calc!$E$434)))=0,"","Cover: "&amp;IF(LEN(INDEX('Our policies'!$B$4:$B$503,_calc!$E$434))=0,"",INDEX('Our policies'!$B$4:$B$503,_calc!$E$434))&amp;". ")&amp;IF(LEN(IF(LEN(INDEX('Our policies'!$C$4:$C$503,_calc!$E$434))=0,"",INDEX('Our policies'!$C$4:$C$503,_calc!$E$434)))=0,"","Insurer: "&amp;IF(LEN(INDEX('Our policies'!$C$4:$C$503,_calc!$E$434))=0,"",INDEX('Our policies'!$C$4:$C$503,_calc!$E$434))&amp;". ")&amp;IF(LEN(IF(LEN(INDEX('Our policies'!$D$4:$D$503,_calc!$E$434))=0,"",INDEX('Our policies'!$D$4:$D$503,_calc!$E$434)))=0,"","Broker: "&amp;IF(LEN(INDEX('Our policies'!$D$4:$D$503,_calc!$E$434))=0,"",INDEX('Our policies'!$D$4:$D$503,_calc!$E$434))&amp;". ")&amp;IF(LEN(IF(LEN(INDEX('Our policies'!$E$4:$E$503,_calc!$E$434))=0,"",INDEX('Our policies'!$E$4:$E$503,_calc!$E$434)))=0,"","Policy no.: "&amp;IF(LEN(INDEX('Our policies'!$E$4:$E$503,_calc!$E$434))=0,"",INDEX('Our policies'!$E$4:$E$503,_calc!$E$434))&amp;". ")&amp;IF(LEN(IF(LEN(INDEX('Our policies'!$S$4:$S$503,_calc!$E$434))=0,"",INDEX('Our policies'!$S$4:$S$503,_calc!$E$434)))=0,"",IF(LEN(INDEX('Our policies'!$S$4:$S$503,_calc!$E$434))=0,"",INDEX('Our policies'!$S$4:$S$503,_calc!$E$434)))),TRIM(IF(LEN(IF(LEN(INDEX('Vendor COIs'!$C$4:$C$503,(_calc!$E$434-500)))=0,"",INDEX('Vendor COIs'!$C$4:$C$503,(_calc!$E$434-500))))=0,"","Insurer: "&amp;IF(LEN(INDEX('Vendor COIs'!$C$4:$C$503,(_calc!$E$434-500)))=0,"",INDEX('Vendor COIs'!$C$4:$C$503,(_calc!$E$434-500)))&amp;". ")&amp;IF(LEN(IF(LEN(INDEX('Vendor COIs'!$D$4:$D$503,(_calc!$E$434-500)))=0,"",INDEX('Vendor COIs'!$D$4:$D$503,(_calc!$E$434-500))))=0,"","Policy no.: "&amp;IF(LEN(INDEX('Vendor COIs'!$D$4:$D$503,(_calc!$E$434-500)))=0,"",INDEX('Vendor COIs'!$D$4:$D$503,(_calc!$E$434-500)))&amp;". ")&amp;IF(LEN(IF(LEN(INDEX('Vendor COIs'!$F$4:$F$503,(_calc!$E$434-500)))=0,"",INDEX('Vendor COIs'!$F$4:$F$503,(_calc!$E$434-500))))=0,"","Meets minimum: "&amp;IF(LEN(INDEX('Vendor COIs'!$F$4:$F$503,(_calc!$E$434-500)))=0,"",INDEX('Vendor COIs'!$F$4:$F$503,(_calc!$E$434-500)))&amp;". ")&amp;IF(LEN(IF(LEN(INDEX('Vendor COIs'!$G$4:$G$503,(_calc!$E$434-500)))=0,"",INDEX('Vendor COIs'!$G$4:$G$503,(_calc!$E$434-500))))=0,"","Additional insured: "&amp;IF(LEN(INDEX('Vendor COIs'!$G$4:$G$503,(_calc!$E$434-500)))=0,"",INDEX('Vendor COIs'!$G$4:$G$503,(_calc!$E$434-500)))&amp;". ")&amp;IF(LEN(IF(LEN(INDEX('Vendor COIs'!$M$4:$M$503,(_calc!$E$434-500)))=0,"",INDEX('Vendor COIs'!$M$4:$M$503,(_calc!$E$434-500))))=0,"","Vendor contact: "&amp;IF(LEN(INDEX('Vendor COIs'!$M$4:$M$503,(_calc!$E$434-500)))=0,"",INDEX('Vendor COIs'!$M$4:$M$503,(_calc!$E$434-500)))&amp;". ")&amp;IF(LEN(IF(LEN(INDEX('Vendor COIs'!$P$4:$P$503,(_calc!$E$434-500)))=0,"",INDEX('Vendor COIs'!$P$4:$P$503,(_calc!$E$434-500))))=0,"",IF(LEN(INDEX('Vendor COIs'!$P$4:$P$503,(_calc!$E$434-500)))=0,"",INDEX('Vendor COIs'!$P$4:$P$503,(_calc!$E$434-500)))))))</f>
        <v/>
      </c>
      <c r="G432" s="46">
        <f>IF(_calc!$E$434="","",IF(_calc!$E$434&lt;=500,IF(LEN(INDEX('Our policies'!$R$4:$R$503,_calc!$E$434))=0,"",INDEX('Our policies'!$R$4:$R$503,_calc!$E$434)),IF(LEN(INDEX('Vendor COIs'!$O$4:$O$503,(_calc!$E$434-500)))=0,"",INDEX('Vendor COIs'!$O$4:$O$503,(_calc!$E$434-500)))))</f>
        <v/>
      </c>
      <c r="H432" s="46">
        <f>IF(_calc!$E$434="","",IF(_calc!$E$434&lt;=500,IF(LEN(INDEX('Our policies'!$G$4:$G$503,_calc!$E$434))=0,"",INDEX('Our policies'!$G$4:$G$503,_calc!$E$434)),""))</f>
        <v/>
      </c>
      <c r="I432" s="46">
        <f>IF(_calc!$E$434="","",IF(_calc!$E$434&lt;=500,IF(LEN(INDEX('Our policies'!$H$4:$H$503,_calc!$E$434))=0,"",INDEX('Our policies'!$H$4:$H$503,_calc!$E$434)),""))</f>
        <v/>
      </c>
      <c r="K432" s="46">
        <f>IF(_calc!$E$434="","",IF(_calc!$E$434&lt;=500,IF(LEN(INDEX('Our policies'!$P$4:$P$503,_calc!$E$434))=0,"",INDEX('Our policies'!$P$4:$P$503,_calc!$E$434)),IF(LEN(INDEX('Vendor COIs'!$N$4:$N$503,(_calc!$E$434-500)))=0,"",INDEX('Vendor COIs'!$N$4:$N$503,(_calc!$E$434-500)))))</f>
        <v/>
      </c>
    </row>
    <row r="433">
      <c r="A433" s="46">
        <f>IF(_calc!$E$435="","",IF(_calc!$E$435&lt;=500,IF(LEN(INDEX('Our policies'!$A$4:$A$503,_calc!$E$435))=0,"",INDEX('Our policies'!$A$4:$A$503,_calc!$E$435)),"COI – "&amp;IF(LEN(INDEX('Vendor COIs'!$A$4:$A$503,(_calc!$E$435-500)))=0,"",INDEX('Vendor COIs'!$A$4:$A$503,(_calc!$E$435-500)))&amp;" – "&amp;IF(LEN(INDEX('Vendor COIs'!$B$4:$B$503,(_calc!$E$435-500)))=0,"",INDEX('Vendor COIs'!$B$4:$B$503,(_calc!$E$435-500)))))</f>
        <v/>
      </c>
      <c r="B433" s="46">
        <f>IF(_calc!$E$435="","",IF(_calc!$E$435&lt;=500,IF(ISNUMBER(INDEX('Our policies'!$J$4:$J$503,_calc!$E$435)),TEXT(INDEX('Our policies'!$J$4:$J$503,_calc!$E$435),"yyyy-mm-dd"),""),IF(ISNUMBER(INDEX('Vendor COIs'!$H$4:$H$503,(_calc!$E$435-500))),TEXT(INDEX('Vendor COIs'!$H$4:$H$503,(_calc!$E$435-500)),"yyyy-mm-dd"),"")))</f>
        <v/>
      </c>
      <c r="C433" s="46">
        <f>IF(_calc!$E$435="","",IF(_calc!$E$435&lt;=500,"Insurance","Certificate of insurance"))</f>
        <v/>
      </c>
      <c r="D433" s="46">
        <f>IF(_calc!$E$435="","",IF(_calc!$E$435&lt;=500,IF(ISNUMBER(INDEX('Our policies'!$I$4:$I$503,_calc!$E$435)),TEXT(INDEX('Our policies'!$I$4:$I$503,_calc!$E$435),"yyyy-mm-dd"),""),""))</f>
        <v/>
      </c>
      <c r="E433" s="46">
        <f>IF(_calc!$E$435="","",IF(_calc!$E$435&lt;=500,IF(LEN(INDEX('Our policies'!$Q$4:$Q$503,_calc!$E$435))=0,"",INDEX('Our policies'!$Q$4:$Q$503,_calc!$E$435)),"Medium"))</f>
        <v/>
      </c>
      <c r="F433" s="46">
        <f>IF(_calc!$E$435="","",IF(_calc!$E$435&lt;=500,TRIM(IF(LEN(IF(LEN(INDEX('Our policies'!$B$4:$B$503,_calc!$E$435))=0,"",INDEX('Our policies'!$B$4:$B$503,_calc!$E$435)))=0,"","Cover: "&amp;IF(LEN(INDEX('Our policies'!$B$4:$B$503,_calc!$E$435))=0,"",INDEX('Our policies'!$B$4:$B$503,_calc!$E$435))&amp;". ")&amp;IF(LEN(IF(LEN(INDEX('Our policies'!$C$4:$C$503,_calc!$E$435))=0,"",INDEX('Our policies'!$C$4:$C$503,_calc!$E$435)))=0,"","Insurer: "&amp;IF(LEN(INDEX('Our policies'!$C$4:$C$503,_calc!$E$435))=0,"",INDEX('Our policies'!$C$4:$C$503,_calc!$E$435))&amp;". ")&amp;IF(LEN(IF(LEN(INDEX('Our policies'!$D$4:$D$503,_calc!$E$435))=0,"",INDEX('Our policies'!$D$4:$D$503,_calc!$E$435)))=0,"","Broker: "&amp;IF(LEN(INDEX('Our policies'!$D$4:$D$503,_calc!$E$435))=0,"",INDEX('Our policies'!$D$4:$D$503,_calc!$E$435))&amp;". ")&amp;IF(LEN(IF(LEN(INDEX('Our policies'!$E$4:$E$503,_calc!$E$435))=0,"",INDEX('Our policies'!$E$4:$E$503,_calc!$E$435)))=0,"","Policy no.: "&amp;IF(LEN(INDEX('Our policies'!$E$4:$E$503,_calc!$E$435))=0,"",INDEX('Our policies'!$E$4:$E$503,_calc!$E$435))&amp;". ")&amp;IF(LEN(IF(LEN(INDEX('Our policies'!$S$4:$S$503,_calc!$E$435))=0,"",INDEX('Our policies'!$S$4:$S$503,_calc!$E$435)))=0,"",IF(LEN(INDEX('Our policies'!$S$4:$S$503,_calc!$E$435))=0,"",INDEX('Our policies'!$S$4:$S$503,_calc!$E$435)))),TRIM(IF(LEN(IF(LEN(INDEX('Vendor COIs'!$C$4:$C$503,(_calc!$E$435-500)))=0,"",INDEX('Vendor COIs'!$C$4:$C$503,(_calc!$E$435-500))))=0,"","Insurer: "&amp;IF(LEN(INDEX('Vendor COIs'!$C$4:$C$503,(_calc!$E$435-500)))=0,"",INDEX('Vendor COIs'!$C$4:$C$503,(_calc!$E$435-500)))&amp;". ")&amp;IF(LEN(IF(LEN(INDEX('Vendor COIs'!$D$4:$D$503,(_calc!$E$435-500)))=0,"",INDEX('Vendor COIs'!$D$4:$D$503,(_calc!$E$435-500))))=0,"","Policy no.: "&amp;IF(LEN(INDEX('Vendor COIs'!$D$4:$D$503,(_calc!$E$435-500)))=0,"",INDEX('Vendor COIs'!$D$4:$D$503,(_calc!$E$435-500)))&amp;". ")&amp;IF(LEN(IF(LEN(INDEX('Vendor COIs'!$F$4:$F$503,(_calc!$E$435-500)))=0,"",INDEX('Vendor COIs'!$F$4:$F$503,(_calc!$E$435-500))))=0,"","Meets minimum: "&amp;IF(LEN(INDEX('Vendor COIs'!$F$4:$F$503,(_calc!$E$435-500)))=0,"",INDEX('Vendor COIs'!$F$4:$F$503,(_calc!$E$435-500)))&amp;". ")&amp;IF(LEN(IF(LEN(INDEX('Vendor COIs'!$G$4:$G$503,(_calc!$E$435-500)))=0,"",INDEX('Vendor COIs'!$G$4:$G$503,(_calc!$E$435-500))))=0,"","Additional insured: "&amp;IF(LEN(INDEX('Vendor COIs'!$G$4:$G$503,(_calc!$E$435-500)))=0,"",INDEX('Vendor COIs'!$G$4:$G$503,(_calc!$E$435-500)))&amp;". ")&amp;IF(LEN(IF(LEN(INDEX('Vendor COIs'!$M$4:$M$503,(_calc!$E$435-500)))=0,"",INDEX('Vendor COIs'!$M$4:$M$503,(_calc!$E$435-500))))=0,"","Vendor contact: "&amp;IF(LEN(INDEX('Vendor COIs'!$M$4:$M$503,(_calc!$E$435-500)))=0,"",INDEX('Vendor COIs'!$M$4:$M$503,(_calc!$E$435-500)))&amp;". ")&amp;IF(LEN(IF(LEN(INDEX('Vendor COIs'!$P$4:$P$503,(_calc!$E$435-500)))=0,"",INDEX('Vendor COIs'!$P$4:$P$503,(_calc!$E$435-500))))=0,"",IF(LEN(INDEX('Vendor COIs'!$P$4:$P$503,(_calc!$E$435-500)))=0,"",INDEX('Vendor COIs'!$P$4:$P$503,(_calc!$E$435-500)))))))</f>
        <v/>
      </c>
      <c r="G433" s="46">
        <f>IF(_calc!$E$435="","",IF(_calc!$E$435&lt;=500,IF(LEN(INDEX('Our policies'!$R$4:$R$503,_calc!$E$435))=0,"",INDEX('Our policies'!$R$4:$R$503,_calc!$E$435)),IF(LEN(INDEX('Vendor COIs'!$O$4:$O$503,(_calc!$E$435-500)))=0,"",INDEX('Vendor COIs'!$O$4:$O$503,(_calc!$E$435-500)))))</f>
        <v/>
      </c>
      <c r="H433" s="46">
        <f>IF(_calc!$E$435="","",IF(_calc!$E$435&lt;=500,IF(LEN(INDEX('Our policies'!$G$4:$G$503,_calc!$E$435))=0,"",INDEX('Our policies'!$G$4:$G$503,_calc!$E$435)),""))</f>
        <v/>
      </c>
      <c r="I433" s="46">
        <f>IF(_calc!$E$435="","",IF(_calc!$E$435&lt;=500,IF(LEN(INDEX('Our policies'!$H$4:$H$503,_calc!$E$435))=0,"",INDEX('Our policies'!$H$4:$H$503,_calc!$E$435)),""))</f>
        <v/>
      </c>
      <c r="K433" s="46">
        <f>IF(_calc!$E$435="","",IF(_calc!$E$435&lt;=500,IF(LEN(INDEX('Our policies'!$P$4:$P$503,_calc!$E$435))=0,"",INDEX('Our policies'!$P$4:$P$503,_calc!$E$435)),IF(LEN(INDEX('Vendor COIs'!$N$4:$N$503,(_calc!$E$435-500)))=0,"",INDEX('Vendor COIs'!$N$4:$N$503,(_calc!$E$435-500)))))</f>
        <v/>
      </c>
    </row>
    <row r="434">
      <c r="A434" s="46">
        <f>IF(_calc!$E$436="","",IF(_calc!$E$436&lt;=500,IF(LEN(INDEX('Our policies'!$A$4:$A$503,_calc!$E$436))=0,"",INDEX('Our policies'!$A$4:$A$503,_calc!$E$436)),"COI – "&amp;IF(LEN(INDEX('Vendor COIs'!$A$4:$A$503,(_calc!$E$436-500)))=0,"",INDEX('Vendor COIs'!$A$4:$A$503,(_calc!$E$436-500)))&amp;" – "&amp;IF(LEN(INDEX('Vendor COIs'!$B$4:$B$503,(_calc!$E$436-500)))=0,"",INDEX('Vendor COIs'!$B$4:$B$503,(_calc!$E$436-500)))))</f>
        <v/>
      </c>
      <c r="B434" s="46">
        <f>IF(_calc!$E$436="","",IF(_calc!$E$436&lt;=500,IF(ISNUMBER(INDEX('Our policies'!$J$4:$J$503,_calc!$E$436)),TEXT(INDEX('Our policies'!$J$4:$J$503,_calc!$E$436),"yyyy-mm-dd"),""),IF(ISNUMBER(INDEX('Vendor COIs'!$H$4:$H$503,(_calc!$E$436-500))),TEXT(INDEX('Vendor COIs'!$H$4:$H$503,(_calc!$E$436-500)),"yyyy-mm-dd"),"")))</f>
        <v/>
      </c>
      <c r="C434" s="46">
        <f>IF(_calc!$E$436="","",IF(_calc!$E$436&lt;=500,"Insurance","Certificate of insurance"))</f>
        <v/>
      </c>
      <c r="D434" s="46">
        <f>IF(_calc!$E$436="","",IF(_calc!$E$436&lt;=500,IF(ISNUMBER(INDEX('Our policies'!$I$4:$I$503,_calc!$E$436)),TEXT(INDEX('Our policies'!$I$4:$I$503,_calc!$E$436),"yyyy-mm-dd"),""),""))</f>
        <v/>
      </c>
      <c r="E434" s="46">
        <f>IF(_calc!$E$436="","",IF(_calc!$E$436&lt;=500,IF(LEN(INDEX('Our policies'!$Q$4:$Q$503,_calc!$E$436))=0,"",INDEX('Our policies'!$Q$4:$Q$503,_calc!$E$436)),"Medium"))</f>
        <v/>
      </c>
      <c r="F434" s="46">
        <f>IF(_calc!$E$436="","",IF(_calc!$E$436&lt;=500,TRIM(IF(LEN(IF(LEN(INDEX('Our policies'!$B$4:$B$503,_calc!$E$436))=0,"",INDEX('Our policies'!$B$4:$B$503,_calc!$E$436)))=0,"","Cover: "&amp;IF(LEN(INDEX('Our policies'!$B$4:$B$503,_calc!$E$436))=0,"",INDEX('Our policies'!$B$4:$B$503,_calc!$E$436))&amp;". ")&amp;IF(LEN(IF(LEN(INDEX('Our policies'!$C$4:$C$503,_calc!$E$436))=0,"",INDEX('Our policies'!$C$4:$C$503,_calc!$E$436)))=0,"","Insurer: "&amp;IF(LEN(INDEX('Our policies'!$C$4:$C$503,_calc!$E$436))=0,"",INDEX('Our policies'!$C$4:$C$503,_calc!$E$436))&amp;". ")&amp;IF(LEN(IF(LEN(INDEX('Our policies'!$D$4:$D$503,_calc!$E$436))=0,"",INDEX('Our policies'!$D$4:$D$503,_calc!$E$436)))=0,"","Broker: "&amp;IF(LEN(INDEX('Our policies'!$D$4:$D$503,_calc!$E$436))=0,"",INDEX('Our policies'!$D$4:$D$503,_calc!$E$436))&amp;". ")&amp;IF(LEN(IF(LEN(INDEX('Our policies'!$E$4:$E$503,_calc!$E$436))=0,"",INDEX('Our policies'!$E$4:$E$503,_calc!$E$436)))=0,"","Policy no.: "&amp;IF(LEN(INDEX('Our policies'!$E$4:$E$503,_calc!$E$436))=0,"",INDEX('Our policies'!$E$4:$E$503,_calc!$E$436))&amp;". ")&amp;IF(LEN(IF(LEN(INDEX('Our policies'!$S$4:$S$503,_calc!$E$436))=0,"",INDEX('Our policies'!$S$4:$S$503,_calc!$E$436)))=0,"",IF(LEN(INDEX('Our policies'!$S$4:$S$503,_calc!$E$436))=0,"",INDEX('Our policies'!$S$4:$S$503,_calc!$E$436)))),TRIM(IF(LEN(IF(LEN(INDEX('Vendor COIs'!$C$4:$C$503,(_calc!$E$436-500)))=0,"",INDEX('Vendor COIs'!$C$4:$C$503,(_calc!$E$436-500))))=0,"","Insurer: "&amp;IF(LEN(INDEX('Vendor COIs'!$C$4:$C$503,(_calc!$E$436-500)))=0,"",INDEX('Vendor COIs'!$C$4:$C$503,(_calc!$E$436-500)))&amp;". ")&amp;IF(LEN(IF(LEN(INDEX('Vendor COIs'!$D$4:$D$503,(_calc!$E$436-500)))=0,"",INDEX('Vendor COIs'!$D$4:$D$503,(_calc!$E$436-500))))=0,"","Policy no.: "&amp;IF(LEN(INDEX('Vendor COIs'!$D$4:$D$503,(_calc!$E$436-500)))=0,"",INDEX('Vendor COIs'!$D$4:$D$503,(_calc!$E$436-500)))&amp;". ")&amp;IF(LEN(IF(LEN(INDEX('Vendor COIs'!$F$4:$F$503,(_calc!$E$436-500)))=0,"",INDEX('Vendor COIs'!$F$4:$F$503,(_calc!$E$436-500))))=0,"","Meets minimum: "&amp;IF(LEN(INDEX('Vendor COIs'!$F$4:$F$503,(_calc!$E$436-500)))=0,"",INDEX('Vendor COIs'!$F$4:$F$503,(_calc!$E$436-500)))&amp;". ")&amp;IF(LEN(IF(LEN(INDEX('Vendor COIs'!$G$4:$G$503,(_calc!$E$436-500)))=0,"",INDEX('Vendor COIs'!$G$4:$G$503,(_calc!$E$436-500))))=0,"","Additional insured: "&amp;IF(LEN(INDEX('Vendor COIs'!$G$4:$G$503,(_calc!$E$436-500)))=0,"",INDEX('Vendor COIs'!$G$4:$G$503,(_calc!$E$436-500)))&amp;". ")&amp;IF(LEN(IF(LEN(INDEX('Vendor COIs'!$M$4:$M$503,(_calc!$E$436-500)))=0,"",INDEX('Vendor COIs'!$M$4:$M$503,(_calc!$E$436-500))))=0,"","Vendor contact: "&amp;IF(LEN(INDEX('Vendor COIs'!$M$4:$M$503,(_calc!$E$436-500)))=0,"",INDEX('Vendor COIs'!$M$4:$M$503,(_calc!$E$436-500)))&amp;". ")&amp;IF(LEN(IF(LEN(INDEX('Vendor COIs'!$P$4:$P$503,(_calc!$E$436-500)))=0,"",INDEX('Vendor COIs'!$P$4:$P$503,(_calc!$E$436-500))))=0,"",IF(LEN(INDEX('Vendor COIs'!$P$4:$P$503,(_calc!$E$436-500)))=0,"",INDEX('Vendor COIs'!$P$4:$P$503,(_calc!$E$436-500)))))))</f>
        <v/>
      </c>
      <c r="G434" s="46">
        <f>IF(_calc!$E$436="","",IF(_calc!$E$436&lt;=500,IF(LEN(INDEX('Our policies'!$R$4:$R$503,_calc!$E$436))=0,"",INDEX('Our policies'!$R$4:$R$503,_calc!$E$436)),IF(LEN(INDEX('Vendor COIs'!$O$4:$O$503,(_calc!$E$436-500)))=0,"",INDEX('Vendor COIs'!$O$4:$O$503,(_calc!$E$436-500)))))</f>
        <v/>
      </c>
      <c r="H434" s="46">
        <f>IF(_calc!$E$436="","",IF(_calc!$E$436&lt;=500,IF(LEN(INDEX('Our policies'!$G$4:$G$503,_calc!$E$436))=0,"",INDEX('Our policies'!$G$4:$G$503,_calc!$E$436)),""))</f>
        <v/>
      </c>
      <c r="I434" s="46">
        <f>IF(_calc!$E$436="","",IF(_calc!$E$436&lt;=500,IF(LEN(INDEX('Our policies'!$H$4:$H$503,_calc!$E$436))=0,"",INDEX('Our policies'!$H$4:$H$503,_calc!$E$436)),""))</f>
        <v/>
      </c>
      <c r="K434" s="46">
        <f>IF(_calc!$E$436="","",IF(_calc!$E$436&lt;=500,IF(LEN(INDEX('Our policies'!$P$4:$P$503,_calc!$E$436))=0,"",INDEX('Our policies'!$P$4:$P$503,_calc!$E$436)),IF(LEN(INDEX('Vendor COIs'!$N$4:$N$503,(_calc!$E$436-500)))=0,"",INDEX('Vendor COIs'!$N$4:$N$503,(_calc!$E$436-500)))))</f>
        <v/>
      </c>
    </row>
    <row r="435">
      <c r="A435" s="46">
        <f>IF(_calc!$E$437="","",IF(_calc!$E$437&lt;=500,IF(LEN(INDEX('Our policies'!$A$4:$A$503,_calc!$E$437))=0,"",INDEX('Our policies'!$A$4:$A$503,_calc!$E$437)),"COI – "&amp;IF(LEN(INDEX('Vendor COIs'!$A$4:$A$503,(_calc!$E$437-500)))=0,"",INDEX('Vendor COIs'!$A$4:$A$503,(_calc!$E$437-500)))&amp;" – "&amp;IF(LEN(INDEX('Vendor COIs'!$B$4:$B$503,(_calc!$E$437-500)))=0,"",INDEX('Vendor COIs'!$B$4:$B$503,(_calc!$E$437-500)))))</f>
        <v/>
      </c>
      <c r="B435" s="46">
        <f>IF(_calc!$E$437="","",IF(_calc!$E$437&lt;=500,IF(ISNUMBER(INDEX('Our policies'!$J$4:$J$503,_calc!$E$437)),TEXT(INDEX('Our policies'!$J$4:$J$503,_calc!$E$437),"yyyy-mm-dd"),""),IF(ISNUMBER(INDEX('Vendor COIs'!$H$4:$H$503,(_calc!$E$437-500))),TEXT(INDEX('Vendor COIs'!$H$4:$H$503,(_calc!$E$437-500)),"yyyy-mm-dd"),"")))</f>
        <v/>
      </c>
      <c r="C435" s="46">
        <f>IF(_calc!$E$437="","",IF(_calc!$E$437&lt;=500,"Insurance","Certificate of insurance"))</f>
        <v/>
      </c>
      <c r="D435" s="46">
        <f>IF(_calc!$E$437="","",IF(_calc!$E$437&lt;=500,IF(ISNUMBER(INDEX('Our policies'!$I$4:$I$503,_calc!$E$437)),TEXT(INDEX('Our policies'!$I$4:$I$503,_calc!$E$437),"yyyy-mm-dd"),""),""))</f>
        <v/>
      </c>
      <c r="E435" s="46">
        <f>IF(_calc!$E$437="","",IF(_calc!$E$437&lt;=500,IF(LEN(INDEX('Our policies'!$Q$4:$Q$503,_calc!$E$437))=0,"",INDEX('Our policies'!$Q$4:$Q$503,_calc!$E$437)),"Medium"))</f>
        <v/>
      </c>
      <c r="F435" s="46">
        <f>IF(_calc!$E$437="","",IF(_calc!$E$437&lt;=500,TRIM(IF(LEN(IF(LEN(INDEX('Our policies'!$B$4:$B$503,_calc!$E$437))=0,"",INDEX('Our policies'!$B$4:$B$503,_calc!$E$437)))=0,"","Cover: "&amp;IF(LEN(INDEX('Our policies'!$B$4:$B$503,_calc!$E$437))=0,"",INDEX('Our policies'!$B$4:$B$503,_calc!$E$437))&amp;". ")&amp;IF(LEN(IF(LEN(INDEX('Our policies'!$C$4:$C$503,_calc!$E$437))=0,"",INDEX('Our policies'!$C$4:$C$503,_calc!$E$437)))=0,"","Insurer: "&amp;IF(LEN(INDEX('Our policies'!$C$4:$C$503,_calc!$E$437))=0,"",INDEX('Our policies'!$C$4:$C$503,_calc!$E$437))&amp;". ")&amp;IF(LEN(IF(LEN(INDEX('Our policies'!$D$4:$D$503,_calc!$E$437))=0,"",INDEX('Our policies'!$D$4:$D$503,_calc!$E$437)))=0,"","Broker: "&amp;IF(LEN(INDEX('Our policies'!$D$4:$D$503,_calc!$E$437))=0,"",INDEX('Our policies'!$D$4:$D$503,_calc!$E$437))&amp;". ")&amp;IF(LEN(IF(LEN(INDEX('Our policies'!$E$4:$E$503,_calc!$E$437))=0,"",INDEX('Our policies'!$E$4:$E$503,_calc!$E$437)))=0,"","Policy no.: "&amp;IF(LEN(INDEX('Our policies'!$E$4:$E$503,_calc!$E$437))=0,"",INDEX('Our policies'!$E$4:$E$503,_calc!$E$437))&amp;". ")&amp;IF(LEN(IF(LEN(INDEX('Our policies'!$S$4:$S$503,_calc!$E$437))=0,"",INDEX('Our policies'!$S$4:$S$503,_calc!$E$437)))=0,"",IF(LEN(INDEX('Our policies'!$S$4:$S$503,_calc!$E$437))=0,"",INDEX('Our policies'!$S$4:$S$503,_calc!$E$437)))),TRIM(IF(LEN(IF(LEN(INDEX('Vendor COIs'!$C$4:$C$503,(_calc!$E$437-500)))=0,"",INDEX('Vendor COIs'!$C$4:$C$503,(_calc!$E$437-500))))=0,"","Insurer: "&amp;IF(LEN(INDEX('Vendor COIs'!$C$4:$C$503,(_calc!$E$437-500)))=0,"",INDEX('Vendor COIs'!$C$4:$C$503,(_calc!$E$437-500)))&amp;". ")&amp;IF(LEN(IF(LEN(INDEX('Vendor COIs'!$D$4:$D$503,(_calc!$E$437-500)))=0,"",INDEX('Vendor COIs'!$D$4:$D$503,(_calc!$E$437-500))))=0,"","Policy no.: "&amp;IF(LEN(INDEX('Vendor COIs'!$D$4:$D$503,(_calc!$E$437-500)))=0,"",INDEX('Vendor COIs'!$D$4:$D$503,(_calc!$E$437-500)))&amp;". ")&amp;IF(LEN(IF(LEN(INDEX('Vendor COIs'!$F$4:$F$503,(_calc!$E$437-500)))=0,"",INDEX('Vendor COIs'!$F$4:$F$503,(_calc!$E$437-500))))=0,"","Meets minimum: "&amp;IF(LEN(INDEX('Vendor COIs'!$F$4:$F$503,(_calc!$E$437-500)))=0,"",INDEX('Vendor COIs'!$F$4:$F$503,(_calc!$E$437-500)))&amp;". ")&amp;IF(LEN(IF(LEN(INDEX('Vendor COIs'!$G$4:$G$503,(_calc!$E$437-500)))=0,"",INDEX('Vendor COIs'!$G$4:$G$503,(_calc!$E$437-500))))=0,"","Additional insured: "&amp;IF(LEN(INDEX('Vendor COIs'!$G$4:$G$503,(_calc!$E$437-500)))=0,"",INDEX('Vendor COIs'!$G$4:$G$503,(_calc!$E$437-500)))&amp;". ")&amp;IF(LEN(IF(LEN(INDEX('Vendor COIs'!$M$4:$M$503,(_calc!$E$437-500)))=0,"",INDEX('Vendor COIs'!$M$4:$M$503,(_calc!$E$437-500))))=0,"","Vendor contact: "&amp;IF(LEN(INDEX('Vendor COIs'!$M$4:$M$503,(_calc!$E$437-500)))=0,"",INDEX('Vendor COIs'!$M$4:$M$503,(_calc!$E$437-500)))&amp;". ")&amp;IF(LEN(IF(LEN(INDEX('Vendor COIs'!$P$4:$P$503,(_calc!$E$437-500)))=0,"",INDEX('Vendor COIs'!$P$4:$P$503,(_calc!$E$437-500))))=0,"",IF(LEN(INDEX('Vendor COIs'!$P$4:$P$503,(_calc!$E$437-500)))=0,"",INDEX('Vendor COIs'!$P$4:$P$503,(_calc!$E$437-500)))))))</f>
        <v/>
      </c>
      <c r="G435" s="46">
        <f>IF(_calc!$E$437="","",IF(_calc!$E$437&lt;=500,IF(LEN(INDEX('Our policies'!$R$4:$R$503,_calc!$E$437))=0,"",INDEX('Our policies'!$R$4:$R$503,_calc!$E$437)),IF(LEN(INDEX('Vendor COIs'!$O$4:$O$503,(_calc!$E$437-500)))=0,"",INDEX('Vendor COIs'!$O$4:$O$503,(_calc!$E$437-500)))))</f>
        <v/>
      </c>
      <c r="H435" s="46">
        <f>IF(_calc!$E$437="","",IF(_calc!$E$437&lt;=500,IF(LEN(INDEX('Our policies'!$G$4:$G$503,_calc!$E$437))=0,"",INDEX('Our policies'!$G$4:$G$503,_calc!$E$437)),""))</f>
        <v/>
      </c>
      <c r="I435" s="46">
        <f>IF(_calc!$E$437="","",IF(_calc!$E$437&lt;=500,IF(LEN(INDEX('Our policies'!$H$4:$H$503,_calc!$E$437))=0,"",INDEX('Our policies'!$H$4:$H$503,_calc!$E$437)),""))</f>
        <v/>
      </c>
      <c r="K435" s="46">
        <f>IF(_calc!$E$437="","",IF(_calc!$E$437&lt;=500,IF(LEN(INDEX('Our policies'!$P$4:$P$503,_calc!$E$437))=0,"",INDEX('Our policies'!$P$4:$P$503,_calc!$E$437)),IF(LEN(INDEX('Vendor COIs'!$N$4:$N$503,(_calc!$E$437-500)))=0,"",INDEX('Vendor COIs'!$N$4:$N$503,(_calc!$E$437-500)))))</f>
        <v/>
      </c>
    </row>
    <row r="436">
      <c r="A436" s="46">
        <f>IF(_calc!$E$438="","",IF(_calc!$E$438&lt;=500,IF(LEN(INDEX('Our policies'!$A$4:$A$503,_calc!$E$438))=0,"",INDEX('Our policies'!$A$4:$A$503,_calc!$E$438)),"COI – "&amp;IF(LEN(INDEX('Vendor COIs'!$A$4:$A$503,(_calc!$E$438-500)))=0,"",INDEX('Vendor COIs'!$A$4:$A$503,(_calc!$E$438-500)))&amp;" – "&amp;IF(LEN(INDEX('Vendor COIs'!$B$4:$B$503,(_calc!$E$438-500)))=0,"",INDEX('Vendor COIs'!$B$4:$B$503,(_calc!$E$438-500)))))</f>
        <v/>
      </c>
      <c r="B436" s="46">
        <f>IF(_calc!$E$438="","",IF(_calc!$E$438&lt;=500,IF(ISNUMBER(INDEX('Our policies'!$J$4:$J$503,_calc!$E$438)),TEXT(INDEX('Our policies'!$J$4:$J$503,_calc!$E$438),"yyyy-mm-dd"),""),IF(ISNUMBER(INDEX('Vendor COIs'!$H$4:$H$503,(_calc!$E$438-500))),TEXT(INDEX('Vendor COIs'!$H$4:$H$503,(_calc!$E$438-500)),"yyyy-mm-dd"),"")))</f>
        <v/>
      </c>
      <c r="C436" s="46">
        <f>IF(_calc!$E$438="","",IF(_calc!$E$438&lt;=500,"Insurance","Certificate of insurance"))</f>
        <v/>
      </c>
      <c r="D436" s="46">
        <f>IF(_calc!$E$438="","",IF(_calc!$E$438&lt;=500,IF(ISNUMBER(INDEX('Our policies'!$I$4:$I$503,_calc!$E$438)),TEXT(INDEX('Our policies'!$I$4:$I$503,_calc!$E$438),"yyyy-mm-dd"),""),""))</f>
        <v/>
      </c>
      <c r="E436" s="46">
        <f>IF(_calc!$E$438="","",IF(_calc!$E$438&lt;=500,IF(LEN(INDEX('Our policies'!$Q$4:$Q$503,_calc!$E$438))=0,"",INDEX('Our policies'!$Q$4:$Q$503,_calc!$E$438)),"Medium"))</f>
        <v/>
      </c>
      <c r="F436" s="46">
        <f>IF(_calc!$E$438="","",IF(_calc!$E$438&lt;=500,TRIM(IF(LEN(IF(LEN(INDEX('Our policies'!$B$4:$B$503,_calc!$E$438))=0,"",INDEX('Our policies'!$B$4:$B$503,_calc!$E$438)))=0,"","Cover: "&amp;IF(LEN(INDEX('Our policies'!$B$4:$B$503,_calc!$E$438))=0,"",INDEX('Our policies'!$B$4:$B$503,_calc!$E$438))&amp;". ")&amp;IF(LEN(IF(LEN(INDEX('Our policies'!$C$4:$C$503,_calc!$E$438))=0,"",INDEX('Our policies'!$C$4:$C$503,_calc!$E$438)))=0,"","Insurer: "&amp;IF(LEN(INDEX('Our policies'!$C$4:$C$503,_calc!$E$438))=0,"",INDEX('Our policies'!$C$4:$C$503,_calc!$E$438))&amp;". ")&amp;IF(LEN(IF(LEN(INDEX('Our policies'!$D$4:$D$503,_calc!$E$438))=0,"",INDEX('Our policies'!$D$4:$D$503,_calc!$E$438)))=0,"","Broker: "&amp;IF(LEN(INDEX('Our policies'!$D$4:$D$503,_calc!$E$438))=0,"",INDEX('Our policies'!$D$4:$D$503,_calc!$E$438))&amp;". ")&amp;IF(LEN(IF(LEN(INDEX('Our policies'!$E$4:$E$503,_calc!$E$438))=0,"",INDEX('Our policies'!$E$4:$E$503,_calc!$E$438)))=0,"","Policy no.: "&amp;IF(LEN(INDEX('Our policies'!$E$4:$E$503,_calc!$E$438))=0,"",INDEX('Our policies'!$E$4:$E$503,_calc!$E$438))&amp;". ")&amp;IF(LEN(IF(LEN(INDEX('Our policies'!$S$4:$S$503,_calc!$E$438))=0,"",INDEX('Our policies'!$S$4:$S$503,_calc!$E$438)))=0,"",IF(LEN(INDEX('Our policies'!$S$4:$S$503,_calc!$E$438))=0,"",INDEX('Our policies'!$S$4:$S$503,_calc!$E$438)))),TRIM(IF(LEN(IF(LEN(INDEX('Vendor COIs'!$C$4:$C$503,(_calc!$E$438-500)))=0,"",INDEX('Vendor COIs'!$C$4:$C$503,(_calc!$E$438-500))))=0,"","Insurer: "&amp;IF(LEN(INDEX('Vendor COIs'!$C$4:$C$503,(_calc!$E$438-500)))=0,"",INDEX('Vendor COIs'!$C$4:$C$503,(_calc!$E$438-500)))&amp;". ")&amp;IF(LEN(IF(LEN(INDEX('Vendor COIs'!$D$4:$D$503,(_calc!$E$438-500)))=0,"",INDEX('Vendor COIs'!$D$4:$D$503,(_calc!$E$438-500))))=0,"","Policy no.: "&amp;IF(LEN(INDEX('Vendor COIs'!$D$4:$D$503,(_calc!$E$438-500)))=0,"",INDEX('Vendor COIs'!$D$4:$D$503,(_calc!$E$438-500)))&amp;". ")&amp;IF(LEN(IF(LEN(INDEX('Vendor COIs'!$F$4:$F$503,(_calc!$E$438-500)))=0,"",INDEX('Vendor COIs'!$F$4:$F$503,(_calc!$E$438-500))))=0,"","Meets minimum: "&amp;IF(LEN(INDEX('Vendor COIs'!$F$4:$F$503,(_calc!$E$438-500)))=0,"",INDEX('Vendor COIs'!$F$4:$F$503,(_calc!$E$438-500)))&amp;". ")&amp;IF(LEN(IF(LEN(INDEX('Vendor COIs'!$G$4:$G$503,(_calc!$E$438-500)))=0,"",INDEX('Vendor COIs'!$G$4:$G$503,(_calc!$E$438-500))))=0,"","Additional insured: "&amp;IF(LEN(INDEX('Vendor COIs'!$G$4:$G$503,(_calc!$E$438-500)))=0,"",INDEX('Vendor COIs'!$G$4:$G$503,(_calc!$E$438-500)))&amp;". ")&amp;IF(LEN(IF(LEN(INDEX('Vendor COIs'!$M$4:$M$503,(_calc!$E$438-500)))=0,"",INDEX('Vendor COIs'!$M$4:$M$503,(_calc!$E$438-500))))=0,"","Vendor contact: "&amp;IF(LEN(INDEX('Vendor COIs'!$M$4:$M$503,(_calc!$E$438-500)))=0,"",INDEX('Vendor COIs'!$M$4:$M$503,(_calc!$E$438-500)))&amp;". ")&amp;IF(LEN(IF(LEN(INDEX('Vendor COIs'!$P$4:$P$503,(_calc!$E$438-500)))=0,"",INDEX('Vendor COIs'!$P$4:$P$503,(_calc!$E$438-500))))=0,"",IF(LEN(INDEX('Vendor COIs'!$P$4:$P$503,(_calc!$E$438-500)))=0,"",INDEX('Vendor COIs'!$P$4:$P$503,(_calc!$E$438-500)))))))</f>
        <v/>
      </c>
      <c r="G436" s="46">
        <f>IF(_calc!$E$438="","",IF(_calc!$E$438&lt;=500,IF(LEN(INDEX('Our policies'!$R$4:$R$503,_calc!$E$438))=0,"",INDEX('Our policies'!$R$4:$R$503,_calc!$E$438)),IF(LEN(INDEX('Vendor COIs'!$O$4:$O$503,(_calc!$E$438-500)))=0,"",INDEX('Vendor COIs'!$O$4:$O$503,(_calc!$E$438-500)))))</f>
        <v/>
      </c>
      <c r="H436" s="46">
        <f>IF(_calc!$E$438="","",IF(_calc!$E$438&lt;=500,IF(LEN(INDEX('Our policies'!$G$4:$G$503,_calc!$E$438))=0,"",INDEX('Our policies'!$G$4:$G$503,_calc!$E$438)),""))</f>
        <v/>
      </c>
      <c r="I436" s="46">
        <f>IF(_calc!$E$438="","",IF(_calc!$E$438&lt;=500,IF(LEN(INDEX('Our policies'!$H$4:$H$503,_calc!$E$438))=0,"",INDEX('Our policies'!$H$4:$H$503,_calc!$E$438)),""))</f>
        <v/>
      </c>
      <c r="K436" s="46">
        <f>IF(_calc!$E$438="","",IF(_calc!$E$438&lt;=500,IF(LEN(INDEX('Our policies'!$P$4:$P$503,_calc!$E$438))=0,"",INDEX('Our policies'!$P$4:$P$503,_calc!$E$438)),IF(LEN(INDEX('Vendor COIs'!$N$4:$N$503,(_calc!$E$438-500)))=0,"",INDEX('Vendor COIs'!$N$4:$N$503,(_calc!$E$438-500)))))</f>
        <v/>
      </c>
    </row>
    <row r="437">
      <c r="A437" s="46">
        <f>IF(_calc!$E$439="","",IF(_calc!$E$439&lt;=500,IF(LEN(INDEX('Our policies'!$A$4:$A$503,_calc!$E$439))=0,"",INDEX('Our policies'!$A$4:$A$503,_calc!$E$439)),"COI – "&amp;IF(LEN(INDEX('Vendor COIs'!$A$4:$A$503,(_calc!$E$439-500)))=0,"",INDEX('Vendor COIs'!$A$4:$A$503,(_calc!$E$439-500)))&amp;" – "&amp;IF(LEN(INDEX('Vendor COIs'!$B$4:$B$503,(_calc!$E$439-500)))=0,"",INDEX('Vendor COIs'!$B$4:$B$503,(_calc!$E$439-500)))))</f>
        <v/>
      </c>
      <c r="B437" s="46">
        <f>IF(_calc!$E$439="","",IF(_calc!$E$439&lt;=500,IF(ISNUMBER(INDEX('Our policies'!$J$4:$J$503,_calc!$E$439)),TEXT(INDEX('Our policies'!$J$4:$J$503,_calc!$E$439),"yyyy-mm-dd"),""),IF(ISNUMBER(INDEX('Vendor COIs'!$H$4:$H$503,(_calc!$E$439-500))),TEXT(INDEX('Vendor COIs'!$H$4:$H$503,(_calc!$E$439-500)),"yyyy-mm-dd"),"")))</f>
        <v/>
      </c>
      <c r="C437" s="46">
        <f>IF(_calc!$E$439="","",IF(_calc!$E$439&lt;=500,"Insurance","Certificate of insurance"))</f>
        <v/>
      </c>
      <c r="D437" s="46">
        <f>IF(_calc!$E$439="","",IF(_calc!$E$439&lt;=500,IF(ISNUMBER(INDEX('Our policies'!$I$4:$I$503,_calc!$E$439)),TEXT(INDEX('Our policies'!$I$4:$I$503,_calc!$E$439),"yyyy-mm-dd"),""),""))</f>
        <v/>
      </c>
      <c r="E437" s="46">
        <f>IF(_calc!$E$439="","",IF(_calc!$E$439&lt;=500,IF(LEN(INDEX('Our policies'!$Q$4:$Q$503,_calc!$E$439))=0,"",INDEX('Our policies'!$Q$4:$Q$503,_calc!$E$439)),"Medium"))</f>
        <v/>
      </c>
      <c r="F437" s="46">
        <f>IF(_calc!$E$439="","",IF(_calc!$E$439&lt;=500,TRIM(IF(LEN(IF(LEN(INDEX('Our policies'!$B$4:$B$503,_calc!$E$439))=0,"",INDEX('Our policies'!$B$4:$B$503,_calc!$E$439)))=0,"","Cover: "&amp;IF(LEN(INDEX('Our policies'!$B$4:$B$503,_calc!$E$439))=0,"",INDEX('Our policies'!$B$4:$B$503,_calc!$E$439))&amp;". ")&amp;IF(LEN(IF(LEN(INDEX('Our policies'!$C$4:$C$503,_calc!$E$439))=0,"",INDEX('Our policies'!$C$4:$C$503,_calc!$E$439)))=0,"","Insurer: "&amp;IF(LEN(INDEX('Our policies'!$C$4:$C$503,_calc!$E$439))=0,"",INDEX('Our policies'!$C$4:$C$503,_calc!$E$439))&amp;". ")&amp;IF(LEN(IF(LEN(INDEX('Our policies'!$D$4:$D$503,_calc!$E$439))=0,"",INDEX('Our policies'!$D$4:$D$503,_calc!$E$439)))=0,"","Broker: "&amp;IF(LEN(INDEX('Our policies'!$D$4:$D$503,_calc!$E$439))=0,"",INDEX('Our policies'!$D$4:$D$503,_calc!$E$439))&amp;". ")&amp;IF(LEN(IF(LEN(INDEX('Our policies'!$E$4:$E$503,_calc!$E$439))=0,"",INDEX('Our policies'!$E$4:$E$503,_calc!$E$439)))=0,"","Policy no.: "&amp;IF(LEN(INDEX('Our policies'!$E$4:$E$503,_calc!$E$439))=0,"",INDEX('Our policies'!$E$4:$E$503,_calc!$E$439))&amp;". ")&amp;IF(LEN(IF(LEN(INDEX('Our policies'!$S$4:$S$503,_calc!$E$439))=0,"",INDEX('Our policies'!$S$4:$S$503,_calc!$E$439)))=0,"",IF(LEN(INDEX('Our policies'!$S$4:$S$503,_calc!$E$439))=0,"",INDEX('Our policies'!$S$4:$S$503,_calc!$E$439)))),TRIM(IF(LEN(IF(LEN(INDEX('Vendor COIs'!$C$4:$C$503,(_calc!$E$439-500)))=0,"",INDEX('Vendor COIs'!$C$4:$C$503,(_calc!$E$439-500))))=0,"","Insurer: "&amp;IF(LEN(INDEX('Vendor COIs'!$C$4:$C$503,(_calc!$E$439-500)))=0,"",INDEX('Vendor COIs'!$C$4:$C$503,(_calc!$E$439-500)))&amp;". ")&amp;IF(LEN(IF(LEN(INDEX('Vendor COIs'!$D$4:$D$503,(_calc!$E$439-500)))=0,"",INDEX('Vendor COIs'!$D$4:$D$503,(_calc!$E$439-500))))=0,"","Policy no.: "&amp;IF(LEN(INDEX('Vendor COIs'!$D$4:$D$503,(_calc!$E$439-500)))=0,"",INDEX('Vendor COIs'!$D$4:$D$503,(_calc!$E$439-500)))&amp;". ")&amp;IF(LEN(IF(LEN(INDEX('Vendor COIs'!$F$4:$F$503,(_calc!$E$439-500)))=0,"",INDEX('Vendor COIs'!$F$4:$F$503,(_calc!$E$439-500))))=0,"","Meets minimum: "&amp;IF(LEN(INDEX('Vendor COIs'!$F$4:$F$503,(_calc!$E$439-500)))=0,"",INDEX('Vendor COIs'!$F$4:$F$503,(_calc!$E$439-500)))&amp;". ")&amp;IF(LEN(IF(LEN(INDEX('Vendor COIs'!$G$4:$G$503,(_calc!$E$439-500)))=0,"",INDEX('Vendor COIs'!$G$4:$G$503,(_calc!$E$439-500))))=0,"","Additional insured: "&amp;IF(LEN(INDEX('Vendor COIs'!$G$4:$G$503,(_calc!$E$439-500)))=0,"",INDEX('Vendor COIs'!$G$4:$G$503,(_calc!$E$439-500)))&amp;". ")&amp;IF(LEN(IF(LEN(INDEX('Vendor COIs'!$M$4:$M$503,(_calc!$E$439-500)))=0,"",INDEX('Vendor COIs'!$M$4:$M$503,(_calc!$E$439-500))))=0,"","Vendor contact: "&amp;IF(LEN(INDEX('Vendor COIs'!$M$4:$M$503,(_calc!$E$439-500)))=0,"",INDEX('Vendor COIs'!$M$4:$M$503,(_calc!$E$439-500)))&amp;". ")&amp;IF(LEN(IF(LEN(INDEX('Vendor COIs'!$P$4:$P$503,(_calc!$E$439-500)))=0,"",INDEX('Vendor COIs'!$P$4:$P$503,(_calc!$E$439-500))))=0,"",IF(LEN(INDEX('Vendor COIs'!$P$4:$P$503,(_calc!$E$439-500)))=0,"",INDEX('Vendor COIs'!$P$4:$P$503,(_calc!$E$439-500)))))))</f>
        <v/>
      </c>
      <c r="G437" s="46">
        <f>IF(_calc!$E$439="","",IF(_calc!$E$439&lt;=500,IF(LEN(INDEX('Our policies'!$R$4:$R$503,_calc!$E$439))=0,"",INDEX('Our policies'!$R$4:$R$503,_calc!$E$439)),IF(LEN(INDEX('Vendor COIs'!$O$4:$O$503,(_calc!$E$439-500)))=0,"",INDEX('Vendor COIs'!$O$4:$O$503,(_calc!$E$439-500)))))</f>
        <v/>
      </c>
      <c r="H437" s="46">
        <f>IF(_calc!$E$439="","",IF(_calc!$E$439&lt;=500,IF(LEN(INDEX('Our policies'!$G$4:$G$503,_calc!$E$439))=0,"",INDEX('Our policies'!$G$4:$G$503,_calc!$E$439)),""))</f>
        <v/>
      </c>
      <c r="I437" s="46">
        <f>IF(_calc!$E$439="","",IF(_calc!$E$439&lt;=500,IF(LEN(INDEX('Our policies'!$H$4:$H$503,_calc!$E$439))=0,"",INDEX('Our policies'!$H$4:$H$503,_calc!$E$439)),""))</f>
        <v/>
      </c>
      <c r="K437" s="46">
        <f>IF(_calc!$E$439="","",IF(_calc!$E$439&lt;=500,IF(LEN(INDEX('Our policies'!$P$4:$P$503,_calc!$E$439))=0,"",INDEX('Our policies'!$P$4:$P$503,_calc!$E$439)),IF(LEN(INDEX('Vendor COIs'!$N$4:$N$503,(_calc!$E$439-500)))=0,"",INDEX('Vendor COIs'!$N$4:$N$503,(_calc!$E$439-500)))))</f>
        <v/>
      </c>
    </row>
    <row r="438">
      <c r="A438" s="46">
        <f>IF(_calc!$E$440="","",IF(_calc!$E$440&lt;=500,IF(LEN(INDEX('Our policies'!$A$4:$A$503,_calc!$E$440))=0,"",INDEX('Our policies'!$A$4:$A$503,_calc!$E$440)),"COI – "&amp;IF(LEN(INDEX('Vendor COIs'!$A$4:$A$503,(_calc!$E$440-500)))=0,"",INDEX('Vendor COIs'!$A$4:$A$503,(_calc!$E$440-500)))&amp;" – "&amp;IF(LEN(INDEX('Vendor COIs'!$B$4:$B$503,(_calc!$E$440-500)))=0,"",INDEX('Vendor COIs'!$B$4:$B$503,(_calc!$E$440-500)))))</f>
        <v/>
      </c>
      <c r="B438" s="46">
        <f>IF(_calc!$E$440="","",IF(_calc!$E$440&lt;=500,IF(ISNUMBER(INDEX('Our policies'!$J$4:$J$503,_calc!$E$440)),TEXT(INDEX('Our policies'!$J$4:$J$503,_calc!$E$440),"yyyy-mm-dd"),""),IF(ISNUMBER(INDEX('Vendor COIs'!$H$4:$H$503,(_calc!$E$440-500))),TEXT(INDEX('Vendor COIs'!$H$4:$H$503,(_calc!$E$440-500)),"yyyy-mm-dd"),"")))</f>
        <v/>
      </c>
      <c r="C438" s="46">
        <f>IF(_calc!$E$440="","",IF(_calc!$E$440&lt;=500,"Insurance","Certificate of insurance"))</f>
        <v/>
      </c>
      <c r="D438" s="46">
        <f>IF(_calc!$E$440="","",IF(_calc!$E$440&lt;=500,IF(ISNUMBER(INDEX('Our policies'!$I$4:$I$503,_calc!$E$440)),TEXT(INDEX('Our policies'!$I$4:$I$503,_calc!$E$440),"yyyy-mm-dd"),""),""))</f>
        <v/>
      </c>
      <c r="E438" s="46">
        <f>IF(_calc!$E$440="","",IF(_calc!$E$440&lt;=500,IF(LEN(INDEX('Our policies'!$Q$4:$Q$503,_calc!$E$440))=0,"",INDEX('Our policies'!$Q$4:$Q$503,_calc!$E$440)),"Medium"))</f>
        <v/>
      </c>
      <c r="F438" s="46">
        <f>IF(_calc!$E$440="","",IF(_calc!$E$440&lt;=500,TRIM(IF(LEN(IF(LEN(INDEX('Our policies'!$B$4:$B$503,_calc!$E$440))=0,"",INDEX('Our policies'!$B$4:$B$503,_calc!$E$440)))=0,"","Cover: "&amp;IF(LEN(INDEX('Our policies'!$B$4:$B$503,_calc!$E$440))=0,"",INDEX('Our policies'!$B$4:$B$503,_calc!$E$440))&amp;". ")&amp;IF(LEN(IF(LEN(INDEX('Our policies'!$C$4:$C$503,_calc!$E$440))=0,"",INDEX('Our policies'!$C$4:$C$503,_calc!$E$440)))=0,"","Insurer: "&amp;IF(LEN(INDEX('Our policies'!$C$4:$C$503,_calc!$E$440))=0,"",INDEX('Our policies'!$C$4:$C$503,_calc!$E$440))&amp;". ")&amp;IF(LEN(IF(LEN(INDEX('Our policies'!$D$4:$D$503,_calc!$E$440))=0,"",INDEX('Our policies'!$D$4:$D$503,_calc!$E$440)))=0,"","Broker: "&amp;IF(LEN(INDEX('Our policies'!$D$4:$D$503,_calc!$E$440))=0,"",INDEX('Our policies'!$D$4:$D$503,_calc!$E$440))&amp;". ")&amp;IF(LEN(IF(LEN(INDEX('Our policies'!$E$4:$E$503,_calc!$E$440))=0,"",INDEX('Our policies'!$E$4:$E$503,_calc!$E$440)))=0,"","Policy no.: "&amp;IF(LEN(INDEX('Our policies'!$E$4:$E$503,_calc!$E$440))=0,"",INDEX('Our policies'!$E$4:$E$503,_calc!$E$440))&amp;". ")&amp;IF(LEN(IF(LEN(INDEX('Our policies'!$S$4:$S$503,_calc!$E$440))=0,"",INDEX('Our policies'!$S$4:$S$503,_calc!$E$440)))=0,"",IF(LEN(INDEX('Our policies'!$S$4:$S$503,_calc!$E$440))=0,"",INDEX('Our policies'!$S$4:$S$503,_calc!$E$440)))),TRIM(IF(LEN(IF(LEN(INDEX('Vendor COIs'!$C$4:$C$503,(_calc!$E$440-500)))=0,"",INDEX('Vendor COIs'!$C$4:$C$503,(_calc!$E$440-500))))=0,"","Insurer: "&amp;IF(LEN(INDEX('Vendor COIs'!$C$4:$C$503,(_calc!$E$440-500)))=0,"",INDEX('Vendor COIs'!$C$4:$C$503,(_calc!$E$440-500)))&amp;". ")&amp;IF(LEN(IF(LEN(INDEX('Vendor COIs'!$D$4:$D$503,(_calc!$E$440-500)))=0,"",INDEX('Vendor COIs'!$D$4:$D$503,(_calc!$E$440-500))))=0,"","Policy no.: "&amp;IF(LEN(INDEX('Vendor COIs'!$D$4:$D$503,(_calc!$E$440-500)))=0,"",INDEX('Vendor COIs'!$D$4:$D$503,(_calc!$E$440-500)))&amp;". ")&amp;IF(LEN(IF(LEN(INDEX('Vendor COIs'!$F$4:$F$503,(_calc!$E$440-500)))=0,"",INDEX('Vendor COIs'!$F$4:$F$503,(_calc!$E$440-500))))=0,"","Meets minimum: "&amp;IF(LEN(INDEX('Vendor COIs'!$F$4:$F$503,(_calc!$E$440-500)))=0,"",INDEX('Vendor COIs'!$F$4:$F$503,(_calc!$E$440-500)))&amp;". ")&amp;IF(LEN(IF(LEN(INDEX('Vendor COIs'!$G$4:$G$503,(_calc!$E$440-500)))=0,"",INDEX('Vendor COIs'!$G$4:$G$503,(_calc!$E$440-500))))=0,"","Additional insured: "&amp;IF(LEN(INDEX('Vendor COIs'!$G$4:$G$503,(_calc!$E$440-500)))=0,"",INDEX('Vendor COIs'!$G$4:$G$503,(_calc!$E$440-500)))&amp;". ")&amp;IF(LEN(IF(LEN(INDEX('Vendor COIs'!$M$4:$M$503,(_calc!$E$440-500)))=0,"",INDEX('Vendor COIs'!$M$4:$M$503,(_calc!$E$440-500))))=0,"","Vendor contact: "&amp;IF(LEN(INDEX('Vendor COIs'!$M$4:$M$503,(_calc!$E$440-500)))=0,"",INDEX('Vendor COIs'!$M$4:$M$503,(_calc!$E$440-500)))&amp;". ")&amp;IF(LEN(IF(LEN(INDEX('Vendor COIs'!$P$4:$P$503,(_calc!$E$440-500)))=0,"",INDEX('Vendor COIs'!$P$4:$P$503,(_calc!$E$440-500))))=0,"",IF(LEN(INDEX('Vendor COIs'!$P$4:$P$503,(_calc!$E$440-500)))=0,"",INDEX('Vendor COIs'!$P$4:$P$503,(_calc!$E$440-500)))))))</f>
        <v/>
      </c>
      <c r="G438" s="46">
        <f>IF(_calc!$E$440="","",IF(_calc!$E$440&lt;=500,IF(LEN(INDEX('Our policies'!$R$4:$R$503,_calc!$E$440))=0,"",INDEX('Our policies'!$R$4:$R$503,_calc!$E$440)),IF(LEN(INDEX('Vendor COIs'!$O$4:$O$503,(_calc!$E$440-500)))=0,"",INDEX('Vendor COIs'!$O$4:$O$503,(_calc!$E$440-500)))))</f>
        <v/>
      </c>
      <c r="H438" s="46">
        <f>IF(_calc!$E$440="","",IF(_calc!$E$440&lt;=500,IF(LEN(INDEX('Our policies'!$G$4:$G$503,_calc!$E$440))=0,"",INDEX('Our policies'!$G$4:$G$503,_calc!$E$440)),""))</f>
        <v/>
      </c>
      <c r="I438" s="46">
        <f>IF(_calc!$E$440="","",IF(_calc!$E$440&lt;=500,IF(LEN(INDEX('Our policies'!$H$4:$H$503,_calc!$E$440))=0,"",INDEX('Our policies'!$H$4:$H$503,_calc!$E$440)),""))</f>
        <v/>
      </c>
      <c r="K438" s="46">
        <f>IF(_calc!$E$440="","",IF(_calc!$E$440&lt;=500,IF(LEN(INDEX('Our policies'!$P$4:$P$503,_calc!$E$440))=0,"",INDEX('Our policies'!$P$4:$P$503,_calc!$E$440)),IF(LEN(INDEX('Vendor COIs'!$N$4:$N$503,(_calc!$E$440-500)))=0,"",INDEX('Vendor COIs'!$N$4:$N$503,(_calc!$E$440-500)))))</f>
        <v/>
      </c>
    </row>
    <row r="439">
      <c r="A439" s="46">
        <f>IF(_calc!$E$441="","",IF(_calc!$E$441&lt;=500,IF(LEN(INDEX('Our policies'!$A$4:$A$503,_calc!$E$441))=0,"",INDEX('Our policies'!$A$4:$A$503,_calc!$E$441)),"COI – "&amp;IF(LEN(INDEX('Vendor COIs'!$A$4:$A$503,(_calc!$E$441-500)))=0,"",INDEX('Vendor COIs'!$A$4:$A$503,(_calc!$E$441-500)))&amp;" – "&amp;IF(LEN(INDEX('Vendor COIs'!$B$4:$B$503,(_calc!$E$441-500)))=0,"",INDEX('Vendor COIs'!$B$4:$B$503,(_calc!$E$441-500)))))</f>
        <v/>
      </c>
      <c r="B439" s="46">
        <f>IF(_calc!$E$441="","",IF(_calc!$E$441&lt;=500,IF(ISNUMBER(INDEX('Our policies'!$J$4:$J$503,_calc!$E$441)),TEXT(INDEX('Our policies'!$J$4:$J$503,_calc!$E$441),"yyyy-mm-dd"),""),IF(ISNUMBER(INDEX('Vendor COIs'!$H$4:$H$503,(_calc!$E$441-500))),TEXT(INDEX('Vendor COIs'!$H$4:$H$503,(_calc!$E$441-500)),"yyyy-mm-dd"),"")))</f>
        <v/>
      </c>
      <c r="C439" s="46">
        <f>IF(_calc!$E$441="","",IF(_calc!$E$441&lt;=500,"Insurance","Certificate of insurance"))</f>
        <v/>
      </c>
      <c r="D439" s="46">
        <f>IF(_calc!$E$441="","",IF(_calc!$E$441&lt;=500,IF(ISNUMBER(INDEX('Our policies'!$I$4:$I$503,_calc!$E$441)),TEXT(INDEX('Our policies'!$I$4:$I$503,_calc!$E$441),"yyyy-mm-dd"),""),""))</f>
        <v/>
      </c>
      <c r="E439" s="46">
        <f>IF(_calc!$E$441="","",IF(_calc!$E$441&lt;=500,IF(LEN(INDEX('Our policies'!$Q$4:$Q$503,_calc!$E$441))=0,"",INDEX('Our policies'!$Q$4:$Q$503,_calc!$E$441)),"Medium"))</f>
        <v/>
      </c>
      <c r="F439" s="46">
        <f>IF(_calc!$E$441="","",IF(_calc!$E$441&lt;=500,TRIM(IF(LEN(IF(LEN(INDEX('Our policies'!$B$4:$B$503,_calc!$E$441))=0,"",INDEX('Our policies'!$B$4:$B$503,_calc!$E$441)))=0,"","Cover: "&amp;IF(LEN(INDEX('Our policies'!$B$4:$B$503,_calc!$E$441))=0,"",INDEX('Our policies'!$B$4:$B$503,_calc!$E$441))&amp;". ")&amp;IF(LEN(IF(LEN(INDEX('Our policies'!$C$4:$C$503,_calc!$E$441))=0,"",INDEX('Our policies'!$C$4:$C$503,_calc!$E$441)))=0,"","Insurer: "&amp;IF(LEN(INDEX('Our policies'!$C$4:$C$503,_calc!$E$441))=0,"",INDEX('Our policies'!$C$4:$C$503,_calc!$E$441))&amp;". ")&amp;IF(LEN(IF(LEN(INDEX('Our policies'!$D$4:$D$503,_calc!$E$441))=0,"",INDEX('Our policies'!$D$4:$D$503,_calc!$E$441)))=0,"","Broker: "&amp;IF(LEN(INDEX('Our policies'!$D$4:$D$503,_calc!$E$441))=0,"",INDEX('Our policies'!$D$4:$D$503,_calc!$E$441))&amp;". ")&amp;IF(LEN(IF(LEN(INDEX('Our policies'!$E$4:$E$503,_calc!$E$441))=0,"",INDEX('Our policies'!$E$4:$E$503,_calc!$E$441)))=0,"","Policy no.: "&amp;IF(LEN(INDEX('Our policies'!$E$4:$E$503,_calc!$E$441))=0,"",INDEX('Our policies'!$E$4:$E$503,_calc!$E$441))&amp;". ")&amp;IF(LEN(IF(LEN(INDEX('Our policies'!$S$4:$S$503,_calc!$E$441))=0,"",INDEX('Our policies'!$S$4:$S$503,_calc!$E$441)))=0,"",IF(LEN(INDEX('Our policies'!$S$4:$S$503,_calc!$E$441))=0,"",INDEX('Our policies'!$S$4:$S$503,_calc!$E$441)))),TRIM(IF(LEN(IF(LEN(INDEX('Vendor COIs'!$C$4:$C$503,(_calc!$E$441-500)))=0,"",INDEX('Vendor COIs'!$C$4:$C$503,(_calc!$E$441-500))))=0,"","Insurer: "&amp;IF(LEN(INDEX('Vendor COIs'!$C$4:$C$503,(_calc!$E$441-500)))=0,"",INDEX('Vendor COIs'!$C$4:$C$503,(_calc!$E$441-500)))&amp;". ")&amp;IF(LEN(IF(LEN(INDEX('Vendor COIs'!$D$4:$D$503,(_calc!$E$441-500)))=0,"",INDEX('Vendor COIs'!$D$4:$D$503,(_calc!$E$441-500))))=0,"","Policy no.: "&amp;IF(LEN(INDEX('Vendor COIs'!$D$4:$D$503,(_calc!$E$441-500)))=0,"",INDEX('Vendor COIs'!$D$4:$D$503,(_calc!$E$441-500)))&amp;". ")&amp;IF(LEN(IF(LEN(INDEX('Vendor COIs'!$F$4:$F$503,(_calc!$E$441-500)))=0,"",INDEX('Vendor COIs'!$F$4:$F$503,(_calc!$E$441-500))))=0,"","Meets minimum: "&amp;IF(LEN(INDEX('Vendor COIs'!$F$4:$F$503,(_calc!$E$441-500)))=0,"",INDEX('Vendor COIs'!$F$4:$F$503,(_calc!$E$441-500)))&amp;". ")&amp;IF(LEN(IF(LEN(INDEX('Vendor COIs'!$G$4:$G$503,(_calc!$E$441-500)))=0,"",INDEX('Vendor COIs'!$G$4:$G$503,(_calc!$E$441-500))))=0,"","Additional insured: "&amp;IF(LEN(INDEX('Vendor COIs'!$G$4:$G$503,(_calc!$E$441-500)))=0,"",INDEX('Vendor COIs'!$G$4:$G$503,(_calc!$E$441-500)))&amp;". ")&amp;IF(LEN(IF(LEN(INDEX('Vendor COIs'!$M$4:$M$503,(_calc!$E$441-500)))=0,"",INDEX('Vendor COIs'!$M$4:$M$503,(_calc!$E$441-500))))=0,"","Vendor contact: "&amp;IF(LEN(INDEX('Vendor COIs'!$M$4:$M$503,(_calc!$E$441-500)))=0,"",INDEX('Vendor COIs'!$M$4:$M$503,(_calc!$E$441-500)))&amp;". ")&amp;IF(LEN(IF(LEN(INDEX('Vendor COIs'!$P$4:$P$503,(_calc!$E$441-500)))=0,"",INDEX('Vendor COIs'!$P$4:$P$503,(_calc!$E$441-500))))=0,"",IF(LEN(INDEX('Vendor COIs'!$P$4:$P$503,(_calc!$E$441-500)))=0,"",INDEX('Vendor COIs'!$P$4:$P$503,(_calc!$E$441-500)))))))</f>
        <v/>
      </c>
      <c r="G439" s="46">
        <f>IF(_calc!$E$441="","",IF(_calc!$E$441&lt;=500,IF(LEN(INDEX('Our policies'!$R$4:$R$503,_calc!$E$441))=0,"",INDEX('Our policies'!$R$4:$R$503,_calc!$E$441)),IF(LEN(INDEX('Vendor COIs'!$O$4:$O$503,(_calc!$E$441-500)))=0,"",INDEX('Vendor COIs'!$O$4:$O$503,(_calc!$E$441-500)))))</f>
        <v/>
      </c>
      <c r="H439" s="46">
        <f>IF(_calc!$E$441="","",IF(_calc!$E$441&lt;=500,IF(LEN(INDEX('Our policies'!$G$4:$G$503,_calc!$E$441))=0,"",INDEX('Our policies'!$G$4:$G$503,_calc!$E$441)),""))</f>
        <v/>
      </c>
      <c r="I439" s="46">
        <f>IF(_calc!$E$441="","",IF(_calc!$E$441&lt;=500,IF(LEN(INDEX('Our policies'!$H$4:$H$503,_calc!$E$441))=0,"",INDEX('Our policies'!$H$4:$H$503,_calc!$E$441)),""))</f>
        <v/>
      </c>
      <c r="K439" s="46">
        <f>IF(_calc!$E$441="","",IF(_calc!$E$441&lt;=500,IF(LEN(INDEX('Our policies'!$P$4:$P$503,_calc!$E$441))=0,"",INDEX('Our policies'!$P$4:$P$503,_calc!$E$441)),IF(LEN(INDEX('Vendor COIs'!$N$4:$N$503,(_calc!$E$441-500)))=0,"",INDEX('Vendor COIs'!$N$4:$N$503,(_calc!$E$441-500)))))</f>
        <v/>
      </c>
    </row>
    <row r="440">
      <c r="A440" s="46">
        <f>IF(_calc!$E$442="","",IF(_calc!$E$442&lt;=500,IF(LEN(INDEX('Our policies'!$A$4:$A$503,_calc!$E$442))=0,"",INDEX('Our policies'!$A$4:$A$503,_calc!$E$442)),"COI – "&amp;IF(LEN(INDEX('Vendor COIs'!$A$4:$A$503,(_calc!$E$442-500)))=0,"",INDEX('Vendor COIs'!$A$4:$A$503,(_calc!$E$442-500)))&amp;" – "&amp;IF(LEN(INDEX('Vendor COIs'!$B$4:$B$503,(_calc!$E$442-500)))=0,"",INDEX('Vendor COIs'!$B$4:$B$503,(_calc!$E$442-500)))))</f>
        <v/>
      </c>
      <c r="B440" s="46">
        <f>IF(_calc!$E$442="","",IF(_calc!$E$442&lt;=500,IF(ISNUMBER(INDEX('Our policies'!$J$4:$J$503,_calc!$E$442)),TEXT(INDEX('Our policies'!$J$4:$J$503,_calc!$E$442),"yyyy-mm-dd"),""),IF(ISNUMBER(INDEX('Vendor COIs'!$H$4:$H$503,(_calc!$E$442-500))),TEXT(INDEX('Vendor COIs'!$H$4:$H$503,(_calc!$E$442-500)),"yyyy-mm-dd"),"")))</f>
        <v/>
      </c>
      <c r="C440" s="46">
        <f>IF(_calc!$E$442="","",IF(_calc!$E$442&lt;=500,"Insurance","Certificate of insurance"))</f>
        <v/>
      </c>
      <c r="D440" s="46">
        <f>IF(_calc!$E$442="","",IF(_calc!$E$442&lt;=500,IF(ISNUMBER(INDEX('Our policies'!$I$4:$I$503,_calc!$E$442)),TEXT(INDEX('Our policies'!$I$4:$I$503,_calc!$E$442),"yyyy-mm-dd"),""),""))</f>
        <v/>
      </c>
      <c r="E440" s="46">
        <f>IF(_calc!$E$442="","",IF(_calc!$E$442&lt;=500,IF(LEN(INDEX('Our policies'!$Q$4:$Q$503,_calc!$E$442))=0,"",INDEX('Our policies'!$Q$4:$Q$503,_calc!$E$442)),"Medium"))</f>
        <v/>
      </c>
      <c r="F440" s="46">
        <f>IF(_calc!$E$442="","",IF(_calc!$E$442&lt;=500,TRIM(IF(LEN(IF(LEN(INDEX('Our policies'!$B$4:$B$503,_calc!$E$442))=0,"",INDEX('Our policies'!$B$4:$B$503,_calc!$E$442)))=0,"","Cover: "&amp;IF(LEN(INDEX('Our policies'!$B$4:$B$503,_calc!$E$442))=0,"",INDEX('Our policies'!$B$4:$B$503,_calc!$E$442))&amp;". ")&amp;IF(LEN(IF(LEN(INDEX('Our policies'!$C$4:$C$503,_calc!$E$442))=0,"",INDEX('Our policies'!$C$4:$C$503,_calc!$E$442)))=0,"","Insurer: "&amp;IF(LEN(INDEX('Our policies'!$C$4:$C$503,_calc!$E$442))=0,"",INDEX('Our policies'!$C$4:$C$503,_calc!$E$442))&amp;". ")&amp;IF(LEN(IF(LEN(INDEX('Our policies'!$D$4:$D$503,_calc!$E$442))=0,"",INDEX('Our policies'!$D$4:$D$503,_calc!$E$442)))=0,"","Broker: "&amp;IF(LEN(INDEX('Our policies'!$D$4:$D$503,_calc!$E$442))=0,"",INDEX('Our policies'!$D$4:$D$503,_calc!$E$442))&amp;". ")&amp;IF(LEN(IF(LEN(INDEX('Our policies'!$E$4:$E$503,_calc!$E$442))=0,"",INDEX('Our policies'!$E$4:$E$503,_calc!$E$442)))=0,"","Policy no.: "&amp;IF(LEN(INDEX('Our policies'!$E$4:$E$503,_calc!$E$442))=0,"",INDEX('Our policies'!$E$4:$E$503,_calc!$E$442))&amp;". ")&amp;IF(LEN(IF(LEN(INDEX('Our policies'!$S$4:$S$503,_calc!$E$442))=0,"",INDEX('Our policies'!$S$4:$S$503,_calc!$E$442)))=0,"",IF(LEN(INDEX('Our policies'!$S$4:$S$503,_calc!$E$442))=0,"",INDEX('Our policies'!$S$4:$S$503,_calc!$E$442)))),TRIM(IF(LEN(IF(LEN(INDEX('Vendor COIs'!$C$4:$C$503,(_calc!$E$442-500)))=0,"",INDEX('Vendor COIs'!$C$4:$C$503,(_calc!$E$442-500))))=0,"","Insurer: "&amp;IF(LEN(INDEX('Vendor COIs'!$C$4:$C$503,(_calc!$E$442-500)))=0,"",INDEX('Vendor COIs'!$C$4:$C$503,(_calc!$E$442-500)))&amp;". ")&amp;IF(LEN(IF(LEN(INDEX('Vendor COIs'!$D$4:$D$503,(_calc!$E$442-500)))=0,"",INDEX('Vendor COIs'!$D$4:$D$503,(_calc!$E$442-500))))=0,"","Policy no.: "&amp;IF(LEN(INDEX('Vendor COIs'!$D$4:$D$503,(_calc!$E$442-500)))=0,"",INDEX('Vendor COIs'!$D$4:$D$503,(_calc!$E$442-500)))&amp;". ")&amp;IF(LEN(IF(LEN(INDEX('Vendor COIs'!$F$4:$F$503,(_calc!$E$442-500)))=0,"",INDEX('Vendor COIs'!$F$4:$F$503,(_calc!$E$442-500))))=0,"","Meets minimum: "&amp;IF(LEN(INDEX('Vendor COIs'!$F$4:$F$503,(_calc!$E$442-500)))=0,"",INDEX('Vendor COIs'!$F$4:$F$503,(_calc!$E$442-500)))&amp;". ")&amp;IF(LEN(IF(LEN(INDEX('Vendor COIs'!$G$4:$G$503,(_calc!$E$442-500)))=0,"",INDEX('Vendor COIs'!$G$4:$G$503,(_calc!$E$442-500))))=0,"","Additional insured: "&amp;IF(LEN(INDEX('Vendor COIs'!$G$4:$G$503,(_calc!$E$442-500)))=0,"",INDEX('Vendor COIs'!$G$4:$G$503,(_calc!$E$442-500)))&amp;". ")&amp;IF(LEN(IF(LEN(INDEX('Vendor COIs'!$M$4:$M$503,(_calc!$E$442-500)))=0,"",INDEX('Vendor COIs'!$M$4:$M$503,(_calc!$E$442-500))))=0,"","Vendor contact: "&amp;IF(LEN(INDEX('Vendor COIs'!$M$4:$M$503,(_calc!$E$442-500)))=0,"",INDEX('Vendor COIs'!$M$4:$M$503,(_calc!$E$442-500)))&amp;". ")&amp;IF(LEN(IF(LEN(INDEX('Vendor COIs'!$P$4:$P$503,(_calc!$E$442-500)))=0,"",INDEX('Vendor COIs'!$P$4:$P$503,(_calc!$E$442-500))))=0,"",IF(LEN(INDEX('Vendor COIs'!$P$4:$P$503,(_calc!$E$442-500)))=0,"",INDEX('Vendor COIs'!$P$4:$P$503,(_calc!$E$442-500)))))))</f>
        <v/>
      </c>
      <c r="G440" s="46">
        <f>IF(_calc!$E$442="","",IF(_calc!$E$442&lt;=500,IF(LEN(INDEX('Our policies'!$R$4:$R$503,_calc!$E$442))=0,"",INDEX('Our policies'!$R$4:$R$503,_calc!$E$442)),IF(LEN(INDEX('Vendor COIs'!$O$4:$O$503,(_calc!$E$442-500)))=0,"",INDEX('Vendor COIs'!$O$4:$O$503,(_calc!$E$442-500)))))</f>
        <v/>
      </c>
      <c r="H440" s="46">
        <f>IF(_calc!$E$442="","",IF(_calc!$E$442&lt;=500,IF(LEN(INDEX('Our policies'!$G$4:$G$503,_calc!$E$442))=0,"",INDEX('Our policies'!$G$4:$G$503,_calc!$E$442)),""))</f>
        <v/>
      </c>
      <c r="I440" s="46">
        <f>IF(_calc!$E$442="","",IF(_calc!$E$442&lt;=500,IF(LEN(INDEX('Our policies'!$H$4:$H$503,_calc!$E$442))=0,"",INDEX('Our policies'!$H$4:$H$503,_calc!$E$442)),""))</f>
        <v/>
      </c>
      <c r="K440" s="46">
        <f>IF(_calc!$E$442="","",IF(_calc!$E$442&lt;=500,IF(LEN(INDEX('Our policies'!$P$4:$P$503,_calc!$E$442))=0,"",INDEX('Our policies'!$P$4:$P$503,_calc!$E$442)),IF(LEN(INDEX('Vendor COIs'!$N$4:$N$503,(_calc!$E$442-500)))=0,"",INDEX('Vendor COIs'!$N$4:$N$503,(_calc!$E$442-500)))))</f>
        <v/>
      </c>
    </row>
    <row r="441">
      <c r="A441" s="46">
        <f>IF(_calc!$E$443="","",IF(_calc!$E$443&lt;=500,IF(LEN(INDEX('Our policies'!$A$4:$A$503,_calc!$E$443))=0,"",INDEX('Our policies'!$A$4:$A$503,_calc!$E$443)),"COI – "&amp;IF(LEN(INDEX('Vendor COIs'!$A$4:$A$503,(_calc!$E$443-500)))=0,"",INDEX('Vendor COIs'!$A$4:$A$503,(_calc!$E$443-500)))&amp;" – "&amp;IF(LEN(INDEX('Vendor COIs'!$B$4:$B$503,(_calc!$E$443-500)))=0,"",INDEX('Vendor COIs'!$B$4:$B$503,(_calc!$E$443-500)))))</f>
        <v/>
      </c>
      <c r="B441" s="46">
        <f>IF(_calc!$E$443="","",IF(_calc!$E$443&lt;=500,IF(ISNUMBER(INDEX('Our policies'!$J$4:$J$503,_calc!$E$443)),TEXT(INDEX('Our policies'!$J$4:$J$503,_calc!$E$443),"yyyy-mm-dd"),""),IF(ISNUMBER(INDEX('Vendor COIs'!$H$4:$H$503,(_calc!$E$443-500))),TEXT(INDEX('Vendor COIs'!$H$4:$H$503,(_calc!$E$443-500)),"yyyy-mm-dd"),"")))</f>
        <v/>
      </c>
      <c r="C441" s="46">
        <f>IF(_calc!$E$443="","",IF(_calc!$E$443&lt;=500,"Insurance","Certificate of insurance"))</f>
        <v/>
      </c>
      <c r="D441" s="46">
        <f>IF(_calc!$E$443="","",IF(_calc!$E$443&lt;=500,IF(ISNUMBER(INDEX('Our policies'!$I$4:$I$503,_calc!$E$443)),TEXT(INDEX('Our policies'!$I$4:$I$503,_calc!$E$443),"yyyy-mm-dd"),""),""))</f>
        <v/>
      </c>
      <c r="E441" s="46">
        <f>IF(_calc!$E$443="","",IF(_calc!$E$443&lt;=500,IF(LEN(INDEX('Our policies'!$Q$4:$Q$503,_calc!$E$443))=0,"",INDEX('Our policies'!$Q$4:$Q$503,_calc!$E$443)),"Medium"))</f>
        <v/>
      </c>
      <c r="F441" s="46">
        <f>IF(_calc!$E$443="","",IF(_calc!$E$443&lt;=500,TRIM(IF(LEN(IF(LEN(INDEX('Our policies'!$B$4:$B$503,_calc!$E$443))=0,"",INDEX('Our policies'!$B$4:$B$503,_calc!$E$443)))=0,"","Cover: "&amp;IF(LEN(INDEX('Our policies'!$B$4:$B$503,_calc!$E$443))=0,"",INDEX('Our policies'!$B$4:$B$503,_calc!$E$443))&amp;". ")&amp;IF(LEN(IF(LEN(INDEX('Our policies'!$C$4:$C$503,_calc!$E$443))=0,"",INDEX('Our policies'!$C$4:$C$503,_calc!$E$443)))=0,"","Insurer: "&amp;IF(LEN(INDEX('Our policies'!$C$4:$C$503,_calc!$E$443))=0,"",INDEX('Our policies'!$C$4:$C$503,_calc!$E$443))&amp;". ")&amp;IF(LEN(IF(LEN(INDEX('Our policies'!$D$4:$D$503,_calc!$E$443))=0,"",INDEX('Our policies'!$D$4:$D$503,_calc!$E$443)))=0,"","Broker: "&amp;IF(LEN(INDEX('Our policies'!$D$4:$D$503,_calc!$E$443))=0,"",INDEX('Our policies'!$D$4:$D$503,_calc!$E$443))&amp;". ")&amp;IF(LEN(IF(LEN(INDEX('Our policies'!$E$4:$E$503,_calc!$E$443))=0,"",INDEX('Our policies'!$E$4:$E$503,_calc!$E$443)))=0,"","Policy no.: "&amp;IF(LEN(INDEX('Our policies'!$E$4:$E$503,_calc!$E$443))=0,"",INDEX('Our policies'!$E$4:$E$503,_calc!$E$443))&amp;". ")&amp;IF(LEN(IF(LEN(INDEX('Our policies'!$S$4:$S$503,_calc!$E$443))=0,"",INDEX('Our policies'!$S$4:$S$503,_calc!$E$443)))=0,"",IF(LEN(INDEX('Our policies'!$S$4:$S$503,_calc!$E$443))=0,"",INDEX('Our policies'!$S$4:$S$503,_calc!$E$443)))),TRIM(IF(LEN(IF(LEN(INDEX('Vendor COIs'!$C$4:$C$503,(_calc!$E$443-500)))=0,"",INDEX('Vendor COIs'!$C$4:$C$503,(_calc!$E$443-500))))=0,"","Insurer: "&amp;IF(LEN(INDEX('Vendor COIs'!$C$4:$C$503,(_calc!$E$443-500)))=0,"",INDEX('Vendor COIs'!$C$4:$C$503,(_calc!$E$443-500)))&amp;". ")&amp;IF(LEN(IF(LEN(INDEX('Vendor COIs'!$D$4:$D$503,(_calc!$E$443-500)))=0,"",INDEX('Vendor COIs'!$D$4:$D$503,(_calc!$E$443-500))))=0,"","Policy no.: "&amp;IF(LEN(INDEX('Vendor COIs'!$D$4:$D$503,(_calc!$E$443-500)))=0,"",INDEX('Vendor COIs'!$D$4:$D$503,(_calc!$E$443-500)))&amp;". ")&amp;IF(LEN(IF(LEN(INDEX('Vendor COIs'!$F$4:$F$503,(_calc!$E$443-500)))=0,"",INDEX('Vendor COIs'!$F$4:$F$503,(_calc!$E$443-500))))=0,"","Meets minimum: "&amp;IF(LEN(INDEX('Vendor COIs'!$F$4:$F$503,(_calc!$E$443-500)))=0,"",INDEX('Vendor COIs'!$F$4:$F$503,(_calc!$E$443-500)))&amp;". ")&amp;IF(LEN(IF(LEN(INDEX('Vendor COIs'!$G$4:$G$503,(_calc!$E$443-500)))=0,"",INDEX('Vendor COIs'!$G$4:$G$503,(_calc!$E$443-500))))=0,"","Additional insured: "&amp;IF(LEN(INDEX('Vendor COIs'!$G$4:$G$503,(_calc!$E$443-500)))=0,"",INDEX('Vendor COIs'!$G$4:$G$503,(_calc!$E$443-500)))&amp;". ")&amp;IF(LEN(IF(LEN(INDEX('Vendor COIs'!$M$4:$M$503,(_calc!$E$443-500)))=0,"",INDEX('Vendor COIs'!$M$4:$M$503,(_calc!$E$443-500))))=0,"","Vendor contact: "&amp;IF(LEN(INDEX('Vendor COIs'!$M$4:$M$503,(_calc!$E$443-500)))=0,"",INDEX('Vendor COIs'!$M$4:$M$503,(_calc!$E$443-500)))&amp;". ")&amp;IF(LEN(IF(LEN(INDEX('Vendor COIs'!$P$4:$P$503,(_calc!$E$443-500)))=0,"",INDEX('Vendor COIs'!$P$4:$P$503,(_calc!$E$443-500))))=0,"",IF(LEN(INDEX('Vendor COIs'!$P$4:$P$503,(_calc!$E$443-500)))=0,"",INDEX('Vendor COIs'!$P$4:$P$503,(_calc!$E$443-500)))))))</f>
        <v/>
      </c>
      <c r="G441" s="46">
        <f>IF(_calc!$E$443="","",IF(_calc!$E$443&lt;=500,IF(LEN(INDEX('Our policies'!$R$4:$R$503,_calc!$E$443))=0,"",INDEX('Our policies'!$R$4:$R$503,_calc!$E$443)),IF(LEN(INDEX('Vendor COIs'!$O$4:$O$503,(_calc!$E$443-500)))=0,"",INDEX('Vendor COIs'!$O$4:$O$503,(_calc!$E$443-500)))))</f>
        <v/>
      </c>
      <c r="H441" s="46">
        <f>IF(_calc!$E$443="","",IF(_calc!$E$443&lt;=500,IF(LEN(INDEX('Our policies'!$G$4:$G$503,_calc!$E$443))=0,"",INDEX('Our policies'!$G$4:$G$503,_calc!$E$443)),""))</f>
        <v/>
      </c>
      <c r="I441" s="46">
        <f>IF(_calc!$E$443="","",IF(_calc!$E$443&lt;=500,IF(LEN(INDEX('Our policies'!$H$4:$H$503,_calc!$E$443))=0,"",INDEX('Our policies'!$H$4:$H$503,_calc!$E$443)),""))</f>
        <v/>
      </c>
      <c r="K441" s="46">
        <f>IF(_calc!$E$443="","",IF(_calc!$E$443&lt;=500,IF(LEN(INDEX('Our policies'!$P$4:$P$503,_calc!$E$443))=0,"",INDEX('Our policies'!$P$4:$P$503,_calc!$E$443)),IF(LEN(INDEX('Vendor COIs'!$N$4:$N$503,(_calc!$E$443-500)))=0,"",INDEX('Vendor COIs'!$N$4:$N$503,(_calc!$E$443-500)))))</f>
        <v/>
      </c>
    </row>
    <row r="442">
      <c r="A442" s="46">
        <f>IF(_calc!$E$444="","",IF(_calc!$E$444&lt;=500,IF(LEN(INDEX('Our policies'!$A$4:$A$503,_calc!$E$444))=0,"",INDEX('Our policies'!$A$4:$A$503,_calc!$E$444)),"COI – "&amp;IF(LEN(INDEX('Vendor COIs'!$A$4:$A$503,(_calc!$E$444-500)))=0,"",INDEX('Vendor COIs'!$A$4:$A$503,(_calc!$E$444-500)))&amp;" – "&amp;IF(LEN(INDEX('Vendor COIs'!$B$4:$B$503,(_calc!$E$444-500)))=0,"",INDEX('Vendor COIs'!$B$4:$B$503,(_calc!$E$444-500)))))</f>
        <v/>
      </c>
      <c r="B442" s="46">
        <f>IF(_calc!$E$444="","",IF(_calc!$E$444&lt;=500,IF(ISNUMBER(INDEX('Our policies'!$J$4:$J$503,_calc!$E$444)),TEXT(INDEX('Our policies'!$J$4:$J$503,_calc!$E$444),"yyyy-mm-dd"),""),IF(ISNUMBER(INDEX('Vendor COIs'!$H$4:$H$503,(_calc!$E$444-500))),TEXT(INDEX('Vendor COIs'!$H$4:$H$503,(_calc!$E$444-500)),"yyyy-mm-dd"),"")))</f>
        <v/>
      </c>
      <c r="C442" s="46">
        <f>IF(_calc!$E$444="","",IF(_calc!$E$444&lt;=500,"Insurance","Certificate of insurance"))</f>
        <v/>
      </c>
      <c r="D442" s="46">
        <f>IF(_calc!$E$444="","",IF(_calc!$E$444&lt;=500,IF(ISNUMBER(INDEX('Our policies'!$I$4:$I$503,_calc!$E$444)),TEXT(INDEX('Our policies'!$I$4:$I$503,_calc!$E$444),"yyyy-mm-dd"),""),""))</f>
        <v/>
      </c>
      <c r="E442" s="46">
        <f>IF(_calc!$E$444="","",IF(_calc!$E$444&lt;=500,IF(LEN(INDEX('Our policies'!$Q$4:$Q$503,_calc!$E$444))=0,"",INDEX('Our policies'!$Q$4:$Q$503,_calc!$E$444)),"Medium"))</f>
        <v/>
      </c>
      <c r="F442" s="46">
        <f>IF(_calc!$E$444="","",IF(_calc!$E$444&lt;=500,TRIM(IF(LEN(IF(LEN(INDEX('Our policies'!$B$4:$B$503,_calc!$E$444))=0,"",INDEX('Our policies'!$B$4:$B$503,_calc!$E$444)))=0,"","Cover: "&amp;IF(LEN(INDEX('Our policies'!$B$4:$B$503,_calc!$E$444))=0,"",INDEX('Our policies'!$B$4:$B$503,_calc!$E$444))&amp;". ")&amp;IF(LEN(IF(LEN(INDEX('Our policies'!$C$4:$C$503,_calc!$E$444))=0,"",INDEX('Our policies'!$C$4:$C$503,_calc!$E$444)))=0,"","Insurer: "&amp;IF(LEN(INDEX('Our policies'!$C$4:$C$503,_calc!$E$444))=0,"",INDEX('Our policies'!$C$4:$C$503,_calc!$E$444))&amp;". ")&amp;IF(LEN(IF(LEN(INDEX('Our policies'!$D$4:$D$503,_calc!$E$444))=0,"",INDEX('Our policies'!$D$4:$D$503,_calc!$E$444)))=0,"","Broker: "&amp;IF(LEN(INDEX('Our policies'!$D$4:$D$503,_calc!$E$444))=0,"",INDEX('Our policies'!$D$4:$D$503,_calc!$E$444))&amp;". ")&amp;IF(LEN(IF(LEN(INDEX('Our policies'!$E$4:$E$503,_calc!$E$444))=0,"",INDEX('Our policies'!$E$4:$E$503,_calc!$E$444)))=0,"","Policy no.: "&amp;IF(LEN(INDEX('Our policies'!$E$4:$E$503,_calc!$E$444))=0,"",INDEX('Our policies'!$E$4:$E$503,_calc!$E$444))&amp;". ")&amp;IF(LEN(IF(LEN(INDEX('Our policies'!$S$4:$S$503,_calc!$E$444))=0,"",INDEX('Our policies'!$S$4:$S$503,_calc!$E$444)))=0,"",IF(LEN(INDEX('Our policies'!$S$4:$S$503,_calc!$E$444))=0,"",INDEX('Our policies'!$S$4:$S$503,_calc!$E$444)))),TRIM(IF(LEN(IF(LEN(INDEX('Vendor COIs'!$C$4:$C$503,(_calc!$E$444-500)))=0,"",INDEX('Vendor COIs'!$C$4:$C$503,(_calc!$E$444-500))))=0,"","Insurer: "&amp;IF(LEN(INDEX('Vendor COIs'!$C$4:$C$503,(_calc!$E$444-500)))=0,"",INDEX('Vendor COIs'!$C$4:$C$503,(_calc!$E$444-500)))&amp;". ")&amp;IF(LEN(IF(LEN(INDEX('Vendor COIs'!$D$4:$D$503,(_calc!$E$444-500)))=0,"",INDEX('Vendor COIs'!$D$4:$D$503,(_calc!$E$444-500))))=0,"","Policy no.: "&amp;IF(LEN(INDEX('Vendor COIs'!$D$4:$D$503,(_calc!$E$444-500)))=0,"",INDEX('Vendor COIs'!$D$4:$D$503,(_calc!$E$444-500)))&amp;". ")&amp;IF(LEN(IF(LEN(INDEX('Vendor COIs'!$F$4:$F$503,(_calc!$E$444-500)))=0,"",INDEX('Vendor COIs'!$F$4:$F$503,(_calc!$E$444-500))))=0,"","Meets minimum: "&amp;IF(LEN(INDEX('Vendor COIs'!$F$4:$F$503,(_calc!$E$444-500)))=0,"",INDEX('Vendor COIs'!$F$4:$F$503,(_calc!$E$444-500)))&amp;". ")&amp;IF(LEN(IF(LEN(INDEX('Vendor COIs'!$G$4:$G$503,(_calc!$E$444-500)))=0,"",INDEX('Vendor COIs'!$G$4:$G$503,(_calc!$E$444-500))))=0,"","Additional insured: "&amp;IF(LEN(INDEX('Vendor COIs'!$G$4:$G$503,(_calc!$E$444-500)))=0,"",INDEX('Vendor COIs'!$G$4:$G$503,(_calc!$E$444-500)))&amp;". ")&amp;IF(LEN(IF(LEN(INDEX('Vendor COIs'!$M$4:$M$503,(_calc!$E$444-500)))=0,"",INDEX('Vendor COIs'!$M$4:$M$503,(_calc!$E$444-500))))=0,"","Vendor contact: "&amp;IF(LEN(INDEX('Vendor COIs'!$M$4:$M$503,(_calc!$E$444-500)))=0,"",INDEX('Vendor COIs'!$M$4:$M$503,(_calc!$E$444-500)))&amp;". ")&amp;IF(LEN(IF(LEN(INDEX('Vendor COIs'!$P$4:$P$503,(_calc!$E$444-500)))=0,"",INDEX('Vendor COIs'!$P$4:$P$503,(_calc!$E$444-500))))=0,"",IF(LEN(INDEX('Vendor COIs'!$P$4:$P$503,(_calc!$E$444-500)))=0,"",INDEX('Vendor COIs'!$P$4:$P$503,(_calc!$E$444-500)))))))</f>
        <v/>
      </c>
      <c r="G442" s="46">
        <f>IF(_calc!$E$444="","",IF(_calc!$E$444&lt;=500,IF(LEN(INDEX('Our policies'!$R$4:$R$503,_calc!$E$444))=0,"",INDEX('Our policies'!$R$4:$R$503,_calc!$E$444)),IF(LEN(INDEX('Vendor COIs'!$O$4:$O$503,(_calc!$E$444-500)))=0,"",INDEX('Vendor COIs'!$O$4:$O$503,(_calc!$E$444-500)))))</f>
        <v/>
      </c>
      <c r="H442" s="46">
        <f>IF(_calc!$E$444="","",IF(_calc!$E$444&lt;=500,IF(LEN(INDEX('Our policies'!$G$4:$G$503,_calc!$E$444))=0,"",INDEX('Our policies'!$G$4:$G$503,_calc!$E$444)),""))</f>
        <v/>
      </c>
      <c r="I442" s="46">
        <f>IF(_calc!$E$444="","",IF(_calc!$E$444&lt;=500,IF(LEN(INDEX('Our policies'!$H$4:$H$503,_calc!$E$444))=0,"",INDEX('Our policies'!$H$4:$H$503,_calc!$E$444)),""))</f>
        <v/>
      </c>
      <c r="K442" s="46">
        <f>IF(_calc!$E$444="","",IF(_calc!$E$444&lt;=500,IF(LEN(INDEX('Our policies'!$P$4:$P$503,_calc!$E$444))=0,"",INDEX('Our policies'!$P$4:$P$503,_calc!$E$444)),IF(LEN(INDEX('Vendor COIs'!$N$4:$N$503,(_calc!$E$444-500)))=0,"",INDEX('Vendor COIs'!$N$4:$N$503,(_calc!$E$444-500)))))</f>
        <v/>
      </c>
    </row>
    <row r="443">
      <c r="A443" s="46">
        <f>IF(_calc!$E$445="","",IF(_calc!$E$445&lt;=500,IF(LEN(INDEX('Our policies'!$A$4:$A$503,_calc!$E$445))=0,"",INDEX('Our policies'!$A$4:$A$503,_calc!$E$445)),"COI – "&amp;IF(LEN(INDEX('Vendor COIs'!$A$4:$A$503,(_calc!$E$445-500)))=0,"",INDEX('Vendor COIs'!$A$4:$A$503,(_calc!$E$445-500)))&amp;" – "&amp;IF(LEN(INDEX('Vendor COIs'!$B$4:$B$503,(_calc!$E$445-500)))=0,"",INDEX('Vendor COIs'!$B$4:$B$503,(_calc!$E$445-500)))))</f>
        <v/>
      </c>
      <c r="B443" s="46">
        <f>IF(_calc!$E$445="","",IF(_calc!$E$445&lt;=500,IF(ISNUMBER(INDEX('Our policies'!$J$4:$J$503,_calc!$E$445)),TEXT(INDEX('Our policies'!$J$4:$J$503,_calc!$E$445),"yyyy-mm-dd"),""),IF(ISNUMBER(INDEX('Vendor COIs'!$H$4:$H$503,(_calc!$E$445-500))),TEXT(INDEX('Vendor COIs'!$H$4:$H$503,(_calc!$E$445-500)),"yyyy-mm-dd"),"")))</f>
        <v/>
      </c>
      <c r="C443" s="46">
        <f>IF(_calc!$E$445="","",IF(_calc!$E$445&lt;=500,"Insurance","Certificate of insurance"))</f>
        <v/>
      </c>
      <c r="D443" s="46">
        <f>IF(_calc!$E$445="","",IF(_calc!$E$445&lt;=500,IF(ISNUMBER(INDEX('Our policies'!$I$4:$I$503,_calc!$E$445)),TEXT(INDEX('Our policies'!$I$4:$I$503,_calc!$E$445),"yyyy-mm-dd"),""),""))</f>
        <v/>
      </c>
      <c r="E443" s="46">
        <f>IF(_calc!$E$445="","",IF(_calc!$E$445&lt;=500,IF(LEN(INDEX('Our policies'!$Q$4:$Q$503,_calc!$E$445))=0,"",INDEX('Our policies'!$Q$4:$Q$503,_calc!$E$445)),"Medium"))</f>
        <v/>
      </c>
      <c r="F443" s="46">
        <f>IF(_calc!$E$445="","",IF(_calc!$E$445&lt;=500,TRIM(IF(LEN(IF(LEN(INDEX('Our policies'!$B$4:$B$503,_calc!$E$445))=0,"",INDEX('Our policies'!$B$4:$B$503,_calc!$E$445)))=0,"","Cover: "&amp;IF(LEN(INDEX('Our policies'!$B$4:$B$503,_calc!$E$445))=0,"",INDEX('Our policies'!$B$4:$B$503,_calc!$E$445))&amp;". ")&amp;IF(LEN(IF(LEN(INDEX('Our policies'!$C$4:$C$503,_calc!$E$445))=0,"",INDEX('Our policies'!$C$4:$C$503,_calc!$E$445)))=0,"","Insurer: "&amp;IF(LEN(INDEX('Our policies'!$C$4:$C$503,_calc!$E$445))=0,"",INDEX('Our policies'!$C$4:$C$503,_calc!$E$445))&amp;". ")&amp;IF(LEN(IF(LEN(INDEX('Our policies'!$D$4:$D$503,_calc!$E$445))=0,"",INDEX('Our policies'!$D$4:$D$503,_calc!$E$445)))=0,"","Broker: "&amp;IF(LEN(INDEX('Our policies'!$D$4:$D$503,_calc!$E$445))=0,"",INDEX('Our policies'!$D$4:$D$503,_calc!$E$445))&amp;". ")&amp;IF(LEN(IF(LEN(INDEX('Our policies'!$E$4:$E$503,_calc!$E$445))=0,"",INDEX('Our policies'!$E$4:$E$503,_calc!$E$445)))=0,"","Policy no.: "&amp;IF(LEN(INDEX('Our policies'!$E$4:$E$503,_calc!$E$445))=0,"",INDEX('Our policies'!$E$4:$E$503,_calc!$E$445))&amp;". ")&amp;IF(LEN(IF(LEN(INDEX('Our policies'!$S$4:$S$503,_calc!$E$445))=0,"",INDEX('Our policies'!$S$4:$S$503,_calc!$E$445)))=0,"",IF(LEN(INDEX('Our policies'!$S$4:$S$503,_calc!$E$445))=0,"",INDEX('Our policies'!$S$4:$S$503,_calc!$E$445)))),TRIM(IF(LEN(IF(LEN(INDEX('Vendor COIs'!$C$4:$C$503,(_calc!$E$445-500)))=0,"",INDEX('Vendor COIs'!$C$4:$C$503,(_calc!$E$445-500))))=0,"","Insurer: "&amp;IF(LEN(INDEX('Vendor COIs'!$C$4:$C$503,(_calc!$E$445-500)))=0,"",INDEX('Vendor COIs'!$C$4:$C$503,(_calc!$E$445-500)))&amp;". ")&amp;IF(LEN(IF(LEN(INDEX('Vendor COIs'!$D$4:$D$503,(_calc!$E$445-500)))=0,"",INDEX('Vendor COIs'!$D$4:$D$503,(_calc!$E$445-500))))=0,"","Policy no.: "&amp;IF(LEN(INDEX('Vendor COIs'!$D$4:$D$503,(_calc!$E$445-500)))=0,"",INDEX('Vendor COIs'!$D$4:$D$503,(_calc!$E$445-500)))&amp;". ")&amp;IF(LEN(IF(LEN(INDEX('Vendor COIs'!$F$4:$F$503,(_calc!$E$445-500)))=0,"",INDEX('Vendor COIs'!$F$4:$F$503,(_calc!$E$445-500))))=0,"","Meets minimum: "&amp;IF(LEN(INDEX('Vendor COIs'!$F$4:$F$503,(_calc!$E$445-500)))=0,"",INDEX('Vendor COIs'!$F$4:$F$503,(_calc!$E$445-500)))&amp;". ")&amp;IF(LEN(IF(LEN(INDEX('Vendor COIs'!$G$4:$G$503,(_calc!$E$445-500)))=0,"",INDEX('Vendor COIs'!$G$4:$G$503,(_calc!$E$445-500))))=0,"","Additional insured: "&amp;IF(LEN(INDEX('Vendor COIs'!$G$4:$G$503,(_calc!$E$445-500)))=0,"",INDEX('Vendor COIs'!$G$4:$G$503,(_calc!$E$445-500)))&amp;". ")&amp;IF(LEN(IF(LEN(INDEX('Vendor COIs'!$M$4:$M$503,(_calc!$E$445-500)))=0,"",INDEX('Vendor COIs'!$M$4:$M$503,(_calc!$E$445-500))))=0,"","Vendor contact: "&amp;IF(LEN(INDEX('Vendor COIs'!$M$4:$M$503,(_calc!$E$445-500)))=0,"",INDEX('Vendor COIs'!$M$4:$M$503,(_calc!$E$445-500)))&amp;". ")&amp;IF(LEN(IF(LEN(INDEX('Vendor COIs'!$P$4:$P$503,(_calc!$E$445-500)))=0,"",INDEX('Vendor COIs'!$P$4:$P$503,(_calc!$E$445-500))))=0,"",IF(LEN(INDEX('Vendor COIs'!$P$4:$P$503,(_calc!$E$445-500)))=0,"",INDEX('Vendor COIs'!$P$4:$P$503,(_calc!$E$445-500)))))))</f>
        <v/>
      </c>
      <c r="G443" s="46">
        <f>IF(_calc!$E$445="","",IF(_calc!$E$445&lt;=500,IF(LEN(INDEX('Our policies'!$R$4:$R$503,_calc!$E$445))=0,"",INDEX('Our policies'!$R$4:$R$503,_calc!$E$445)),IF(LEN(INDEX('Vendor COIs'!$O$4:$O$503,(_calc!$E$445-500)))=0,"",INDEX('Vendor COIs'!$O$4:$O$503,(_calc!$E$445-500)))))</f>
        <v/>
      </c>
      <c r="H443" s="46">
        <f>IF(_calc!$E$445="","",IF(_calc!$E$445&lt;=500,IF(LEN(INDEX('Our policies'!$G$4:$G$503,_calc!$E$445))=0,"",INDEX('Our policies'!$G$4:$G$503,_calc!$E$445)),""))</f>
        <v/>
      </c>
      <c r="I443" s="46">
        <f>IF(_calc!$E$445="","",IF(_calc!$E$445&lt;=500,IF(LEN(INDEX('Our policies'!$H$4:$H$503,_calc!$E$445))=0,"",INDEX('Our policies'!$H$4:$H$503,_calc!$E$445)),""))</f>
        <v/>
      </c>
      <c r="K443" s="46">
        <f>IF(_calc!$E$445="","",IF(_calc!$E$445&lt;=500,IF(LEN(INDEX('Our policies'!$P$4:$P$503,_calc!$E$445))=0,"",INDEX('Our policies'!$P$4:$P$503,_calc!$E$445)),IF(LEN(INDEX('Vendor COIs'!$N$4:$N$503,(_calc!$E$445-500)))=0,"",INDEX('Vendor COIs'!$N$4:$N$503,(_calc!$E$445-500)))))</f>
        <v/>
      </c>
    </row>
    <row r="444">
      <c r="A444" s="46">
        <f>IF(_calc!$E$446="","",IF(_calc!$E$446&lt;=500,IF(LEN(INDEX('Our policies'!$A$4:$A$503,_calc!$E$446))=0,"",INDEX('Our policies'!$A$4:$A$503,_calc!$E$446)),"COI – "&amp;IF(LEN(INDEX('Vendor COIs'!$A$4:$A$503,(_calc!$E$446-500)))=0,"",INDEX('Vendor COIs'!$A$4:$A$503,(_calc!$E$446-500)))&amp;" – "&amp;IF(LEN(INDEX('Vendor COIs'!$B$4:$B$503,(_calc!$E$446-500)))=0,"",INDEX('Vendor COIs'!$B$4:$B$503,(_calc!$E$446-500)))))</f>
        <v/>
      </c>
      <c r="B444" s="46">
        <f>IF(_calc!$E$446="","",IF(_calc!$E$446&lt;=500,IF(ISNUMBER(INDEX('Our policies'!$J$4:$J$503,_calc!$E$446)),TEXT(INDEX('Our policies'!$J$4:$J$503,_calc!$E$446),"yyyy-mm-dd"),""),IF(ISNUMBER(INDEX('Vendor COIs'!$H$4:$H$503,(_calc!$E$446-500))),TEXT(INDEX('Vendor COIs'!$H$4:$H$503,(_calc!$E$446-500)),"yyyy-mm-dd"),"")))</f>
        <v/>
      </c>
      <c r="C444" s="46">
        <f>IF(_calc!$E$446="","",IF(_calc!$E$446&lt;=500,"Insurance","Certificate of insurance"))</f>
        <v/>
      </c>
      <c r="D444" s="46">
        <f>IF(_calc!$E$446="","",IF(_calc!$E$446&lt;=500,IF(ISNUMBER(INDEX('Our policies'!$I$4:$I$503,_calc!$E$446)),TEXT(INDEX('Our policies'!$I$4:$I$503,_calc!$E$446),"yyyy-mm-dd"),""),""))</f>
        <v/>
      </c>
      <c r="E444" s="46">
        <f>IF(_calc!$E$446="","",IF(_calc!$E$446&lt;=500,IF(LEN(INDEX('Our policies'!$Q$4:$Q$503,_calc!$E$446))=0,"",INDEX('Our policies'!$Q$4:$Q$503,_calc!$E$446)),"Medium"))</f>
        <v/>
      </c>
      <c r="F444" s="46">
        <f>IF(_calc!$E$446="","",IF(_calc!$E$446&lt;=500,TRIM(IF(LEN(IF(LEN(INDEX('Our policies'!$B$4:$B$503,_calc!$E$446))=0,"",INDEX('Our policies'!$B$4:$B$503,_calc!$E$446)))=0,"","Cover: "&amp;IF(LEN(INDEX('Our policies'!$B$4:$B$503,_calc!$E$446))=0,"",INDEX('Our policies'!$B$4:$B$503,_calc!$E$446))&amp;". ")&amp;IF(LEN(IF(LEN(INDEX('Our policies'!$C$4:$C$503,_calc!$E$446))=0,"",INDEX('Our policies'!$C$4:$C$503,_calc!$E$446)))=0,"","Insurer: "&amp;IF(LEN(INDEX('Our policies'!$C$4:$C$503,_calc!$E$446))=0,"",INDEX('Our policies'!$C$4:$C$503,_calc!$E$446))&amp;". ")&amp;IF(LEN(IF(LEN(INDEX('Our policies'!$D$4:$D$503,_calc!$E$446))=0,"",INDEX('Our policies'!$D$4:$D$503,_calc!$E$446)))=0,"","Broker: "&amp;IF(LEN(INDEX('Our policies'!$D$4:$D$503,_calc!$E$446))=0,"",INDEX('Our policies'!$D$4:$D$503,_calc!$E$446))&amp;". ")&amp;IF(LEN(IF(LEN(INDEX('Our policies'!$E$4:$E$503,_calc!$E$446))=0,"",INDEX('Our policies'!$E$4:$E$503,_calc!$E$446)))=0,"","Policy no.: "&amp;IF(LEN(INDEX('Our policies'!$E$4:$E$503,_calc!$E$446))=0,"",INDEX('Our policies'!$E$4:$E$503,_calc!$E$446))&amp;". ")&amp;IF(LEN(IF(LEN(INDEX('Our policies'!$S$4:$S$503,_calc!$E$446))=0,"",INDEX('Our policies'!$S$4:$S$503,_calc!$E$446)))=0,"",IF(LEN(INDEX('Our policies'!$S$4:$S$503,_calc!$E$446))=0,"",INDEX('Our policies'!$S$4:$S$503,_calc!$E$446)))),TRIM(IF(LEN(IF(LEN(INDEX('Vendor COIs'!$C$4:$C$503,(_calc!$E$446-500)))=0,"",INDEX('Vendor COIs'!$C$4:$C$503,(_calc!$E$446-500))))=0,"","Insurer: "&amp;IF(LEN(INDEX('Vendor COIs'!$C$4:$C$503,(_calc!$E$446-500)))=0,"",INDEX('Vendor COIs'!$C$4:$C$503,(_calc!$E$446-500)))&amp;". ")&amp;IF(LEN(IF(LEN(INDEX('Vendor COIs'!$D$4:$D$503,(_calc!$E$446-500)))=0,"",INDEX('Vendor COIs'!$D$4:$D$503,(_calc!$E$446-500))))=0,"","Policy no.: "&amp;IF(LEN(INDEX('Vendor COIs'!$D$4:$D$503,(_calc!$E$446-500)))=0,"",INDEX('Vendor COIs'!$D$4:$D$503,(_calc!$E$446-500)))&amp;". ")&amp;IF(LEN(IF(LEN(INDEX('Vendor COIs'!$F$4:$F$503,(_calc!$E$446-500)))=0,"",INDEX('Vendor COIs'!$F$4:$F$503,(_calc!$E$446-500))))=0,"","Meets minimum: "&amp;IF(LEN(INDEX('Vendor COIs'!$F$4:$F$503,(_calc!$E$446-500)))=0,"",INDEX('Vendor COIs'!$F$4:$F$503,(_calc!$E$446-500)))&amp;". ")&amp;IF(LEN(IF(LEN(INDEX('Vendor COIs'!$G$4:$G$503,(_calc!$E$446-500)))=0,"",INDEX('Vendor COIs'!$G$4:$G$503,(_calc!$E$446-500))))=0,"","Additional insured: "&amp;IF(LEN(INDEX('Vendor COIs'!$G$4:$G$503,(_calc!$E$446-500)))=0,"",INDEX('Vendor COIs'!$G$4:$G$503,(_calc!$E$446-500)))&amp;". ")&amp;IF(LEN(IF(LEN(INDEX('Vendor COIs'!$M$4:$M$503,(_calc!$E$446-500)))=0,"",INDEX('Vendor COIs'!$M$4:$M$503,(_calc!$E$446-500))))=0,"","Vendor contact: "&amp;IF(LEN(INDEX('Vendor COIs'!$M$4:$M$503,(_calc!$E$446-500)))=0,"",INDEX('Vendor COIs'!$M$4:$M$503,(_calc!$E$446-500)))&amp;". ")&amp;IF(LEN(IF(LEN(INDEX('Vendor COIs'!$P$4:$P$503,(_calc!$E$446-500)))=0,"",INDEX('Vendor COIs'!$P$4:$P$503,(_calc!$E$446-500))))=0,"",IF(LEN(INDEX('Vendor COIs'!$P$4:$P$503,(_calc!$E$446-500)))=0,"",INDEX('Vendor COIs'!$P$4:$P$503,(_calc!$E$446-500)))))))</f>
        <v/>
      </c>
      <c r="G444" s="46">
        <f>IF(_calc!$E$446="","",IF(_calc!$E$446&lt;=500,IF(LEN(INDEX('Our policies'!$R$4:$R$503,_calc!$E$446))=0,"",INDEX('Our policies'!$R$4:$R$503,_calc!$E$446)),IF(LEN(INDEX('Vendor COIs'!$O$4:$O$503,(_calc!$E$446-500)))=0,"",INDEX('Vendor COIs'!$O$4:$O$503,(_calc!$E$446-500)))))</f>
        <v/>
      </c>
      <c r="H444" s="46">
        <f>IF(_calc!$E$446="","",IF(_calc!$E$446&lt;=500,IF(LEN(INDEX('Our policies'!$G$4:$G$503,_calc!$E$446))=0,"",INDEX('Our policies'!$G$4:$G$503,_calc!$E$446)),""))</f>
        <v/>
      </c>
      <c r="I444" s="46">
        <f>IF(_calc!$E$446="","",IF(_calc!$E$446&lt;=500,IF(LEN(INDEX('Our policies'!$H$4:$H$503,_calc!$E$446))=0,"",INDEX('Our policies'!$H$4:$H$503,_calc!$E$446)),""))</f>
        <v/>
      </c>
      <c r="K444" s="46">
        <f>IF(_calc!$E$446="","",IF(_calc!$E$446&lt;=500,IF(LEN(INDEX('Our policies'!$P$4:$P$503,_calc!$E$446))=0,"",INDEX('Our policies'!$P$4:$P$503,_calc!$E$446)),IF(LEN(INDEX('Vendor COIs'!$N$4:$N$503,(_calc!$E$446-500)))=0,"",INDEX('Vendor COIs'!$N$4:$N$503,(_calc!$E$446-500)))))</f>
        <v/>
      </c>
    </row>
    <row r="445">
      <c r="A445" s="46">
        <f>IF(_calc!$E$447="","",IF(_calc!$E$447&lt;=500,IF(LEN(INDEX('Our policies'!$A$4:$A$503,_calc!$E$447))=0,"",INDEX('Our policies'!$A$4:$A$503,_calc!$E$447)),"COI – "&amp;IF(LEN(INDEX('Vendor COIs'!$A$4:$A$503,(_calc!$E$447-500)))=0,"",INDEX('Vendor COIs'!$A$4:$A$503,(_calc!$E$447-500)))&amp;" – "&amp;IF(LEN(INDEX('Vendor COIs'!$B$4:$B$503,(_calc!$E$447-500)))=0,"",INDEX('Vendor COIs'!$B$4:$B$503,(_calc!$E$447-500)))))</f>
        <v/>
      </c>
      <c r="B445" s="46">
        <f>IF(_calc!$E$447="","",IF(_calc!$E$447&lt;=500,IF(ISNUMBER(INDEX('Our policies'!$J$4:$J$503,_calc!$E$447)),TEXT(INDEX('Our policies'!$J$4:$J$503,_calc!$E$447),"yyyy-mm-dd"),""),IF(ISNUMBER(INDEX('Vendor COIs'!$H$4:$H$503,(_calc!$E$447-500))),TEXT(INDEX('Vendor COIs'!$H$4:$H$503,(_calc!$E$447-500)),"yyyy-mm-dd"),"")))</f>
        <v/>
      </c>
      <c r="C445" s="46">
        <f>IF(_calc!$E$447="","",IF(_calc!$E$447&lt;=500,"Insurance","Certificate of insurance"))</f>
        <v/>
      </c>
      <c r="D445" s="46">
        <f>IF(_calc!$E$447="","",IF(_calc!$E$447&lt;=500,IF(ISNUMBER(INDEX('Our policies'!$I$4:$I$503,_calc!$E$447)),TEXT(INDEX('Our policies'!$I$4:$I$503,_calc!$E$447),"yyyy-mm-dd"),""),""))</f>
        <v/>
      </c>
      <c r="E445" s="46">
        <f>IF(_calc!$E$447="","",IF(_calc!$E$447&lt;=500,IF(LEN(INDEX('Our policies'!$Q$4:$Q$503,_calc!$E$447))=0,"",INDEX('Our policies'!$Q$4:$Q$503,_calc!$E$447)),"Medium"))</f>
        <v/>
      </c>
      <c r="F445" s="46">
        <f>IF(_calc!$E$447="","",IF(_calc!$E$447&lt;=500,TRIM(IF(LEN(IF(LEN(INDEX('Our policies'!$B$4:$B$503,_calc!$E$447))=0,"",INDEX('Our policies'!$B$4:$B$503,_calc!$E$447)))=0,"","Cover: "&amp;IF(LEN(INDEX('Our policies'!$B$4:$B$503,_calc!$E$447))=0,"",INDEX('Our policies'!$B$4:$B$503,_calc!$E$447))&amp;". ")&amp;IF(LEN(IF(LEN(INDEX('Our policies'!$C$4:$C$503,_calc!$E$447))=0,"",INDEX('Our policies'!$C$4:$C$503,_calc!$E$447)))=0,"","Insurer: "&amp;IF(LEN(INDEX('Our policies'!$C$4:$C$503,_calc!$E$447))=0,"",INDEX('Our policies'!$C$4:$C$503,_calc!$E$447))&amp;". ")&amp;IF(LEN(IF(LEN(INDEX('Our policies'!$D$4:$D$503,_calc!$E$447))=0,"",INDEX('Our policies'!$D$4:$D$503,_calc!$E$447)))=0,"","Broker: "&amp;IF(LEN(INDEX('Our policies'!$D$4:$D$503,_calc!$E$447))=0,"",INDEX('Our policies'!$D$4:$D$503,_calc!$E$447))&amp;". ")&amp;IF(LEN(IF(LEN(INDEX('Our policies'!$E$4:$E$503,_calc!$E$447))=0,"",INDEX('Our policies'!$E$4:$E$503,_calc!$E$447)))=0,"","Policy no.: "&amp;IF(LEN(INDEX('Our policies'!$E$4:$E$503,_calc!$E$447))=0,"",INDEX('Our policies'!$E$4:$E$503,_calc!$E$447))&amp;". ")&amp;IF(LEN(IF(LEN(INDEX('Our policies'!$S$4:$S$503,_calc!$E$447))=0,"",INDEX('Our policies'!$S$4:$S$503,_calc!$E$447)))=0,"",IF(LEN(INDEX('Our policies'!$S$4:$S$503,_calc!$E$447))=0,"",INDEX('Our policies'!$S$4:$S$503,_calc!$E$447)))),TRIM(IF(LEN(IF(LEN(INDEX('Vendor COIs'!$C$4:$C$503,(_calc!$E$447-500)))=0,"",INDEX('Vendor COIs'!$C$4:$C$503,(_calc!$E$447-500))))=0,"","Insurer: "&amp;IF(LEN(INDEX('Vendor COIs'!$C$4:$C$503,(_calc!$E$447-500)))=0,"",INDEX('Vendor COIs'!$C$4:$C$503,(_calc!$E$447-500)))&amp;". ")&amp;IF(LEN(IF(LEN(INDEX('Vendor COIs'!$D$4:$D$503,(_calc!$E$447-500)))=0,"",INDEX('Vendor COIs'!$D$4:$D$503,(_calc!$E$447-500))))=0,"","Policy no.: "&amp;IF(LEN(INDEX('Vendor COIs'!$D$4:$D$503,(_calc!$E$447-500)))=0,"",INDEX('Vendor COIs'!$D$4:$D$503,(_calc!$E$447-500)))&amp;". ")&amp;IF(LEN(IF(LEN(INDEX('Vendor COIs'!$F$4:$F$503,(_calc!$E$447-500)))=0,"",INDEX('Vendor COIs'!$F$4:$F$503,(_calc!$E$447-500))))=0,"","Meets minimum: "&amp;IF(LEN(INDEX('Vendor COIs'!$F$4:$F$503,(_calc!$E$447-500)))=0,"",INDEX('Vendor COIs'!$F$4:$F$503,(_calc!$E$447-500)))&amp;". ")&amp;IF(LEN(IF(LEN(INDEX('Vendor COIs'!$G$4:$G$503,(_calc!$E$447-500)))=0,"",INDEX('Vendor COIs'!$G$4:$G$503,(_calc!$E$447-500))))=0,"","Additional insured: "&amp;IF(LEN(INDEX('Vendor COIs'!$G$4:$G$503,(_calc!$E$447-500)))=0,"",INDEX('Vendor COIs'!$G$4:$G$503,(_calc!$E$447-500)))&amp;". ")&amp;IF(LEN(IF(LEN(INDEX('Vendor COIs'!$M$4:$M$503,(_calc!$E$447-500)))=0,"",INDEX('Vendor COIs'!$M$4:$M$503,(_calc!$E$447-500))))=0,"","Vendor contact: "&amp;IF(LEN(INDEX('Vendor COIs'!$M$4:$M$503,(_calc!$E$447-500)))=0,"",INDEX('Vendor COIs'!$M$4:$M$503,(_calc!$E$447-500)))&amp;". ")&amp;IF(LEN(IF(LEN(INDEX('Vendor COIs'!$P$4:$P$503,(_calc!$E$447-500)))=0,"",INDEX('Vendor COIs'!$P$4:$P$503,(_calc!$E$447-500))))=0,"",IF(LEN(INDEX('Vendor COIs'!$P$4:$P$503,(_calc!$E$447-500)))=0,"",INDEX('Vendor COIs'!$P$4:$P$503,(_calc!$E$447-500)))))))</f>
        <v/>
      </c>
      <c r="G445" s="46">
        <f>IF(_calc!$E$447="","",IF(_calc!$E$447&lt;=500,IF(LEN(INDEX('Our policies'!$R$4:$R$503,_calc!$E$447))=0,"",INDEX('Our policies'!$R$4:$R$503,_calc!$E$447)),IF(LEN(INDEX('Vendor COIs'!$O$4:$O$503,(_calc!$E$447-500)))=0,"",INDEX('Vendor COIs'!$O$4:$O$503,(_calc!$E$447-500)))))</f>
        <v/>
      </c>
      <c r="H445" s="46">
        <f>IF(_calc!$E$447="","",IF(_calc!$E$447&lt;=500,IF(LEN(INDEX('Our policies'!$G$4:$G$503,_calc!$E$447))=0,"",INDEX('Our policies'!$G$4:$G$503,_calc!$E$447)),""))</f>
        <v/>
      </c>
      <c r="I445" s="46">
        <f>IF(_calc!$E$447="","",IF(_calc!$E$447&lt;=500,IF(LEN(INDEX('Our policies'!$H$4:$H$503,_calc!$E$447))=0,"",INDEX('Our policies'!$H$4:$H$503,_calc!$E$447)),""))</f>
        <v/>
      </c>
      <c r="K445" s="46">
        <f>IF(_calc!$E$447="","",IF(_calc!$E$447&lt;=500,IF(LEN(INDEX('Our policies'!$P$4:$P$503,_calc!$E$447))=0,"",INDEX('Our policies'!$P$4:$P$503,_calc!$E$447)),IF(LEN(INDEX('Vendor COIs'!$N$4:$N$503,(_calc!$E$447-500)))=0,"",INDEX('Vendor COIs'!$N$4:$N$503,(_calc!$E$447-500)))))</f>
        <v/>
      </c>
    </row>
    <row r="446">
      <c r="A446" s="46">
        <f>IF(_calc!$E$448="","",IF(_calc!$E$448&lt;=500,IF(LEN(INDEX('Our policies'!$A$4:$A$503,_calc!$E$448))=0,"",INDEX('Our policies'!$A$4:$A$503,_calc!$E$448)),"COI – "&amp;IF(LEN(INDEX('Vendor COIs'!$A$4:$A$503,(_calc!$E$448-500)))=0,"",INDEX('Vendor COIs'!$A$4:$A$503,(_calc!$E$448-500)))&amp;" – "&amp;IF(LEN(INDEX('Vendor COIs'!$B$4:$B$503,(_calc!$E$448-500)))=0,"",INDEX('Vendor COIs'!$B$4:$B$503,(_calc!$E$448-500)))))</f>
        <v/>
      </c>
      <c r="B446" s="46">
        <f>IF(_calc!$E$448="","",IF(_calc!$E$448&lt;=500,IF(ISNUMBER(INDEX('Our policies'!$J$4:$J$503,_calc!$E$448)),TEXT(INDEX('Our policies'!$J$4:$J$503,_calc!$E$448),"yyyy-mm-dd"),""),IF(ISNUMBER(INDEX('Vendor COIs'!$H$4:$H$503,(_calc!$E$448-500))),TEXT(INDEX('Vendor COIs'!$H$4:$H$503,(_calc!$E$448-500)),"yyyy-mm-dd"),"")))</f>
        <v/>
      </c>
      <c r="C446" s="46">
        <f>IF(_calc!$E$448="","",IF(_calc!$E$448&lt;=500,"Insurance","Certificate of insurance"))</f>
        <v/>
      </c>
      <c r="D446" s="46">
        <f>IF(_calc!$E$448="","",IF(_calc!$E$448&lt;=500,IF(ISNUMBER(INDEX('Our policies'!$I$4:$I$503,_calc!$E$448)),TEXT(INDEX('Our policies'!$I$4:$I$503,_calc!$E$448),"yyyy-mm-dd"),""),""))</f>
        <v/>
      </c>
      <c r="E446" s="46">
        <f>IF(_calc!$E$448="","",IF(_calc!$E$448&lt;=500,IF(LEN(INDEX('Our policies'!$Q$4:$Q$503,_calc!$E$448))=0,"",INDEX('Our policies'!$Q$4:$Q$503,_calc!$E$448)),"Medium"))</f>
        <v/>
      </c>
      <c r="F446" s="46">
        <f>IF(_calc!$E$448="","",IF(_calc!$E$448&lt;=500,TRIM(IF(LEN(IF(LEN(INDEX('Our policies'!$B$4:$B$503,_calc!$E$448))=0,"",INDEX('Our policies'!$B$4:$B$503,_calc!$E$448)))=0,"","Cover: "&amp;IF(LEN(INDEX('Our policies'!$B$4:$B$503,_calc!$E$448))=0,"",INDEX('Our policies'!$B$4:$B$503,_calc!$E$448))&amp;". ")&amp;IF(LEN(IF(LEN(INDEX('Our policies'!$C$4:$C$503,_calc!$E$448))=0,"",INDEX('Our policies'!$C$4:$C$503,_calc!$E$448)))=0,"","Insurer: "&amp;IF(LEN(INDEX('Our policies'!$C$4:$C$503,_calc!$E$448))=0,"",INDEX('Our policies'!$C$4:$C$503,_calc!$E$448))&amp;". ")&amp;IF(LEN(IF(LEN(INDEX('Our policies'!$D$4:$D$503,_calc!$E$448))=0,"",INDEX('Our policies'!$D$4:$D$503,_calc!$E$448)))=0,"","Broker: "&amp;IF(LEN(INDEX('Our policies'!$D$4:$D$503,_calc!$E$448))=0,"",INDEX('Our policies'!$D$4:$D$503,_calc!$E$448))&amp;". ")&amp;IF(LEN(IF(LEN(INDEX('Our policies'!$E$4:$E$503,_calc!$E$448))=0,"",INDEX('Our policies'!$E$4:$E$503,_calc!$E$448)))=0,"","Policy no.: "&amp;IF(LEN(INDEX('Our policies'!$E$4:$E$503,_calc!$E$448))=0,"",INDEX('Our policies'!$E$4:$E$503,_calc!$E$448))&amp;". ")&amp;IF(LEN(IF(LEN(INDEX('Our policies'!$S$4:$S$503,_calc!$E$448))=0,"",INDEX('Our policies'!$S$4:$S$503,_calc!$E$448)))=0,"",IF(LEN(INDEX('Our policies'!$S$4:$S$503,_calc!$E$448))=0,"",INDEX('Our policies'!$S$4:$S$503,_calc!$E$448)))),TRIM(IF(LEN(IF(LEN(INDEX('Vendor COIs'!$C$4:$C$503,(_calc!$E$448-500)))=0,"",INDEX('Vendor COIs'!$C$4:$C$503,(_calc!$E$448-500))))=0,"","Insurer: "&amp;IF(LEN(INDEX('Vendor COIs'!$C$4:$C$503,(_calc!$E$448-500)))=0,"",INDEX('Vendor COIs'!$C$4:$C$503,(_calc!$E$448-500)))&amp;". ")&amp;IF(LEN(IF(LEN(INDEX('Vendor COIs'!$D$4:$D$503,(_calc!$E$448-500)))=0,"",INDEX('Vendor COIs'!$D$4:$D$503,(_calc!$E$448-500))))=0,"","Policy no.: "&amp;IF(LEN(INDEX('Vendor COIs'!$D$4:$D$503,(_calc!$E$448-500)))=0,"",INDEX('Vendor COIs'!$D$4:$D$503,(_calc!$E$448-500)))&amp;". ")&amp;IF(LEN(IF(LEN(INDEX('Vendor COIs'!$F$4:$F$503,(_calc!$E$448-500)))=0,"",INDEX('Vendor COIs'!$F$4:$F$503,(_calc!$E$448-500))))=0,"","Meets minimum: "&amp;IF(LEN(INDEX('Vendor COIs'!$F$4:$F$503,(_calc!$E$448-500)))=0,"",INDEX('Vendor COIs'!$F$4:$F$503,(_calc!$E$448-500)))&amp;". ")&amp;IF(LEN(IF(LEN(INDEX('Vendor COIs'!$G$4:$G$503,(_calc!$E$448-500)))=0,"",INDEX('Vendor COIs'!$G$4:$G$503,(_calc!$E$448-500))))=0,"","Additional insured: "&amp;IF(LEN(INDEX('Vendor COIs'!$G$4:$G$503,(_calc!$E$448-500)))=0,"",INDEX('Vendor COIs'!$G$4:$G$503,(_calc!$E$448-500)))&amp;". ")&amp;IF(LEN(IF(LEN(INDEX('Vendor COIs'!$M$4:$M$503,(_calc!$E$448-500)))=0,"",INDEX('Vendor COIs'!$M$4:$M$503,(_calc!$E$448-500))))=0,"","Vendor contact: "&amp;IF(LEN(INDEX('Vendor COIs'!$M$4:$M$503,(_calc!$E$448-500)))=0,"",INDEX('Vendor COIs'!$M$4:$M$503,(_calc!$E$448-500)))&amp;". ")&amp;IF(LEN(IF(LEN(INDEX('Vendor COIs'!$P$4:$P$503,(_calc!$E$448-500)))=0,"",INDEX('Vendor COIs'!$P$4:$P$503,(_calc!$E$448-500))))=0,"",IF(LEN(INDEX('Vendor COIs'!$P$4:$P$503,(_calc!$E$448-500)))=0,"",INDEX('Vendor COIs'!$P$4:$P$503,(_calc!$E$448-500)))))))</f>
        <v/>
      </c>
      <c r="G446" s="46">
        <f>IF(_calc!$E$448="","",IF(_calc!$E$448&lt;=500,IF(LEN(INDEX('Our policies'!$R$4:$R$503,_calc!$E$448))=0,"",INDEX('Our policies'!$R$4:$R$503,_calc!$E$448)),IF(LEN(INDEX('Vendor COIs'!$O$4:$O$503,(_calc!$E$448-500)))=0,"",INDEX('Vendor COIs'!$O$4:$O$503,(_calc!$E$448-500)))))</f>
        <v/>
      </c>
      <c r="H446" s="46">
        <f>IF(_calc!$E$448="","",IF(_calc!$E$448&lt;=500,IF(LEN(INDEX('Our policies'!$G$4:$G$503,_calc!$E$448))=0,"",INDEX('Our policies'!$G$4:$G$503,_calc!$E$448)),""))</f>
        <v/>
      </c>
      <c r="I446" s="46">
        <f>IF(_calc!$E$448="","",IF(_calc!$E$448&lt;=500,IF(LEN(INDEX('Our policies'!$H$4:$H$503,_calc!$E$448))=0,"",INDEX('Our policies'!$H$4:$H$503,_calc!$E$448)),""))</f>
        <v/>
      </c>
      <c r="K446" s="46">
        <f>IF(_calc!$E$448="","",IF(_calc!$E$448&lt;=500,IF(LEN(INDEX('Our policies'!$P$4:$P$503,_calc!$E$448))=0,"",INDEX('Our policies'!$P$4:$P$503,_calc!$E$448)),IF(LEN(INDEX('Vendor COIs'!$N$4:$N$503,(_calc!$E$448-500)))=0,"",INDEX('Vendor COIs'!$N$4:$N$503,(_calc!$E$448-500)))))</f>
        <v/>
      </c>
    </row>
    <row r="447">
      <c r="A447" s="46">
        <f>IF(_calc!$E$449="","",IF(_calc!$E$449&lt;=500,IF(LEN(INDEX('Our policies'!$A$4:$A$503,_calc!$E$449))=0,"",INDEX('Our policies'!$A$4:$A$503,_calc!$E$449)),"COI – "&amp;IF(LEN(INDEX('Vendor COIs'!$A$4:$A$503,(_calc!$E$449-500)))=0,"",INDEX('Vendor COIs'!$A$4:$A$503,(_calc!$E$449-500)))&amp;" – "&amp;IF(LEN(INDEX('Vendor COIs'!$B$4:$B$503,(_calc!$E$449-500)))=0,"",INDEX('Vendor COIs'!$B$4:$B$503,(_calc!$E$449-500)))))</f>
        <v/>
      </c>
      <c r="B447" s="46">
        <f>IF(_calc!$E$449="","",IF(_calc!$E$449&lt;=500,IF(ISNUMBER(INDEX('Our policies'!$J$4:$J$503,_calc!$E$449)),TEXT(INDEX('Our policies'!$J$4:$J$503,_calc!$E$449),"yyyy-mm-dd"),""),IF(ISNUMBER(INDEX('Vendor COIs'!$H$4:$H$503,(_calc!$E$449-500))),TEXT(INDEX('Vendor COIs'!$H$4:$H$503,(_calc!$E$449-500)),"yyyy-mm-dd"),"")))</f>
        <v/>
      </c>
      <c r="C447" s="46">
        <f>IF(_calc!$E$449="","",IF(_calc!$E$449&lt;=500,"Insurance","Certificate of insurance"))</f>
        <v/>
      </c>
      <c r="D447" s="46">
        <f>IF(_calc!$E$449="","",IF(_calc!$E$449&lt;=500,IF(ISNUMBER(INDEX('Our policies'!$I$4:$I$503,_calc!$E$449)),TEXT(INDEX('Our policies'!$I$4:$I$503,_calc!$E$449),"yyyy-mm-dd"),""),""))</f>
        <v/>
      </c>
      <c r="E447" s="46">
        <f>IF(_calc!$E$449="","",IF(_calc!$E$449&lt;=500,IF(LEN(INDEX('Our policies'!$Q$4:$Q$503,_calc!$E$449))=0,"",INDEX('Our policies'!$Q$4:$Q$503,_calc!$E$449)),"Medium"))</f>
        <v/>
      </c>
      <c r="F447" s="46">
        <f>IF(_calc!$E$449="","",IF(_calc!$E$449&lt;=500,TRIM(IF(LEN(IF(LEN(INDEX('Our policies'!$B$4:$B$503,_calc!$E$449))=0,"",INDEX('Our policies'!$B$4:$B$503,_calc!$E$449)))=0,"","Cover: "&amp;IF(LEN(INDEX('Our policies'!$B$4:$B$503,_calc!$E$449))=0,"",INDEX('Our policies'!$B$4:$B$503,_calc!$E$449))&amp;". ")&amp;IF(LEN(IF(LEN(INDEX('Our policies'!$C$4:$C$503,_calc!$E$449))=0,"",INDEX('Our policies'!$C$4:$C$503,_calc!$E$449)))=0,"","Insurer: "&amp;IF(LEN(INDEX('Our policies'!$C$4:$C$503,_calc!$E$449))=0,"",INDEX('Our policies'!$C$4:$C$503,_calc!$E$449))&amp;". ")&amp;IF(LEN(IF(LEN(INDEX('Our policies'!$D$4:$D$503,_calc!$E$449))=0,"",INDEX('Our policies'!$D$4:$D$503,_calc!$E$449)))=0,"","Broker: "&amp;IF(LEN(INDEX('Our policies'!$D$4:$D$503,_calc!$E$449))=0,"",INDEX('Our policies'!$D$4:$D$503,_calc!$E$449))&amp;". ")&amp;IF(LEN(IF(LEN(INDEX('Our policies'!$E$4:$E$503,_calc!$E$449))=0,"",INDEX('Our policies'!$E$4:$E$503,_calc!$E$449)))=0,"","Policy no.: "&amp;IF(LEN(INDEX('Our policies'!$E$4:$E$503,_calc!$E$449))=0,"",INDEX('Our policies'!$E$4:$E$503,_calc!$E$449))&amp;". ")&amp;IF(LEN(IF(LEN(INDEX('Our policies'!$S$4:$S$503,_calc!$E$449))=0,"",INDEX('Our policies'!$S$4:$S$503,_calc!$E$449)))=0,"",IF(LEN(INDEX('Our policies'!$S$4:$S$503,_calc!$E$449))=0,"",INDEX('Our policies'!$S$4:$S$503,_calc!$E$449)))),TRIM(IF(LEN(IF(LEN(INDEX('Vendor COIs'!$C$4:$C$503,(_calc!$E$449-500)))=0,"",INDEX('Vendor COIs'!$C$4:$C$503,(_calc!$E$449-500))))=0,"","Insurer: "&amp;IF(LEN(INDEX('Vendor COIs'!$C$4:$C$503,(_calc!$E$449-500)))=0,"",INDEX('Vendor COIs'!$C$4:$C$503,(_calc!$E$449-500)))&amp;". ")&amp;IF(LEN(IF(LEN(INDEX('Vendor COIs'!$D$4:$D$503,(_calc!$E$449-500)))=0,"",INDEX('Vendor COIs'!$D$4:$D$503,(_calc!$E$449-500))))=0,"","Policy no.: "&amp;IF(LEN(INDEX('Vendor COIs'!$D$4:$D$503,(_calc!$E$449-500)))=0,"",INDEX('Vendor COIs'!$D$4:$D$503,(_calc!$E$449-500)))&amp;". ")&amp;IF(LEN(IF(LEN(INDEX('Vendor COIs'!$F$4:$F$503,(_calc!$E$449-500)))=0,"",INDEX('Vendor COIs'!$F$4:$F$503,(_calc!$E$449-500))))=0,"","Meets minimum: "&amp;IF(LEN(INDEX('Vendor COIs'!$F$4:$F$503,(_calc!$E$449-500)))=0,"",INDEX('Vendor COIs'!$F$4:$F$503,(_calc!$E$449-500)))&amp;". ")&amp;IF(LEN(IF(LEN(INDEX('Vendor COIs'!$G$4:$G$503,(_calc!$E$449-500)))=0,"",INDEX('Vendor COIs'!$G$4:$G$503,(_calc!$E$449-500))))=0,"","Additional insured: "&amp;IF(LEN(INDEX('Vendor COIs'!$G$4:$G$503,(_calc!$E$449-500)))=0,"",INDEX('Vendor COIs'!$G$4:$G$503,(_calc!$E$449-500)))&amp;". ")&amp;IF(LEN(IF(LEN(INDEX('Vendor COIs'!$M$4:$M$503,(_calc!$E$449-500)))=0,"",INDEX('Vendor COIs'!$M$4:$M$503,(_calc!$E$449-500))))=0,"","Vendor contact: "&amp;IF(LEN(INDEX('Vendor COIs'!$M$4:$M$503,(_calc!$E$449-500)))=0,"",INDEX('Vendor COIs'!$M$4:$M$503,(_calc!$E$449-500)))&amp;". ")&amp;IF(LEN(IF(LEN(INDEX('Vendor COIs'!$P$4:$P$503,(_calc!$E$449-500)))=0,"",INDEX('Vendor COIs'!$P$4:$P$503,(_calc!$E$449-500))))=0,"",IF(LEN(INDEX('Vendor COIs'!$P$4:$P$503,(_calc!$E$449-500)))=0,"",INDEX('Vendor COIs'!$P$4:$P$503,(_calc!$E$449-500)))))))</f>
        <v/>
      </c>
      <c r="G447" s="46">
        <f>IF(_calc!$E$449="","",IF(_calc!$E$449&lt;=500,IF(LEN(INDEX('Our policies'!$R$4:$R$503,_calc!$E$449))=0,"",INDEX('Our policies'!$R$4:$R$503,_calc!$E$449)),IF(LEN(INDEX('Vendor COIs'!$O$4:$O$503,(_calc!$E$449-500)))=0,"",INDEX('Vendor COIs'!$O$4:$O$503,(_calc!$E$449-500)))))</f>
        <v/>
      </c>
      <c r="H447" s="46">
        <f>IF(_calc!$E$449="","",IF(_calc!$E$449&lt;=500,IF(LEN(INDEX('Our policies'!$G$4:$G$503,_calc!$E$449))=0,"",INDEX('Our policies'!$G$4:$G$503,_calc!$E$449)),""))</f>
        <v/>
      </c>
      <c r="I447" s="46">
        <f>IF(_calc!$E$449="","",IF(_calc!$E$449&lt;=500,IF(LEN(INDEX('Our policies'!$H$4:$H$503,_calc!$E$449))=0,"",INDEX('Our policies'!$H$4:$H$503,_calc!$E$449)),""))</f>
        <v/>
      </c>
      <c r="K447" s="46">
        <f>IF(_calc!$E$449="","",IF(_calc!$E$449&lt;=500,IF(LEN(INDEX('Our policies'!$P$4:$P$503,_calc!$E$449))=0,"",INDEX('Our policies'!$P$4:$P$503,_calc!$E$449)),IF(LEN(INDEX('Vendor COIs'!$N$4:$N$503,(_calc!$E$449-500)))=0,"",INDEX('Vendor COIs'!$N$4:$N$503,(_calc!$E$449-500)))))</f>
        <v/>
      </c>
    </row>
    <row r="448">
      <c r="A448" s="46">
        <f>IF(_calc!$E$450="","",IF(_calc!$E$450&lt;=500,IF(LEN(INDEX('Our policies'!$A$4:$A$503,_calc!$E$450))=0,"",INDEX('Our policies'!$A$4:$A$503,_calc!$E$450)),"COI – "&amp;IF(LEN(INDEX('Vendor COIs'!$A$4:$A$503,(_calc!$E$450-500)))=0,"",INDEX('Vendor COIs'!$A$4:$A$503,(_calc!$E$450-500)))&amp;" – "&amp;IF(LEN(INDEX('Vendor COIs'!$B$4:$B$503,(_calc!$E$450-500)))=0,"",INDEX('Vendor COIs'!$B$4:$B$503,(_calc!$E$450-500)))))</f>
        <v/>
      </c>
      <c r="B448" s="46">
        <f>IF(_calc!$E$450="","",IF(_calc!$E$450&lt;=500,IF(ISNUMBER(INDEX('Our policies'!$J$4:$J$503,_calc!$E$450)),TEXT(INDEX('Our policies'!$J$4:$J$503,_calc!$E$450),"yyyy-mm-dd"),""),IF(ISNUMBER(INDEX('Vendor COIs'!$H$4:$H$503,(_calc!$E$450-500))),TEXT(INDEX('Vendor COIs'!$H$4:$H$503,(_calc!$E$450-500)),"yyyy-mm-dd"),"")))</f>
        <v/>
      </c>
      <c r="C448" s="46">
        <f>IF(_calc!$E$450="","",IF(_calc!$E$450&lt;=500,"Insurance","Certificate of insurance"))</f>
        <v/>
      </c>
      <c r="D448" s="46">
        <f>IF(_calc!$E$450="","",IF(_calc!$E$450&lt;=500,IF(ISNUMBER(INDEX('Our policies'!$I$4:$I$503,_calc!$E$450)),TEXT(INDEX('Our policies'!$I$4:$I$503,_calc!$E$450),"yyyy-mm-dd"),""),""))</f>
        <v/>
      </c>
      <c r="E448" s="46">
        <f>IF(_calc!$E$450="","",IF(_calc!$E$450&lt;=500,IF(LEN(INDEX('Our policies'!$Q$4:$Q$503,_calc!$E$450))=0,"",INDEX('Our policies'!$Q$4:$Q$503,_calc!$E$450)),"Medium"))</f>
        <v/>
      </c>
      <c r="F448" s="46">
        <f>IF(_calc!$E$450="","",IF(_calc!$E$450&lt;=500,TRIM(IF(LEN(IF(LEN(INDEX('Our policies'!$B$4:$B$503,_calc!$E$450))=0,"",INDEX('Our policies'!$B$4:$B$503,_calc!$E$450)))=0,"","Cover: "&amp;IF(LEN(INDEX('Our policies'!$B$4:$B$503,_calc!$E$450))=0,"",INDEX('Our policies'!$B$4:$B$503,_calc!$E$450))&amp;". ")&amp;IF(LEN(IF(LEN(INDEX('Our policies'!$C$4:$C$503,_calc!$E$450))=0,"",INDEX('Our policies'!$C$4:$C$503,_calc!$E$450)))=0,"","Insurer: "&amp;IF(LEN(INDEX('Our policies'!$C$4:$C$503,_calc!$E$450))=0,"",INDEX('Our policies'!$C$4:$C$503,_calc!$E$450))&amp;". ")&amp;IF(LEN(IF(LEN(INDEX('Our policies'!$D$4:$D$503,_calc!$E$450))=0,"",INDEX('Our policies'!$D$4:$D$503,_calc!$E$450)))=0,"","Broker: "&amp;IF(LEN(INDEX('Our policies'!$D$4:$D$503,_calc!$E$450))=0,"",INDEX('Our policies'!$D$4:$D$503,_calc!$E$450))&amp;". ")&amp;IF(LEN(IF(LEN(INDEX('Our policies'!$E$4:$E$503,_calc!$E$450))=0,"",INDEX('Our policies'!$E$4:$E$503,_calc!$E$450)))=0,"","Policy no.: "&amp;IF(LEN(INDEX('Our policies'!$E$4:$E$503,_calc!$E$450))=0,"",INDEX('Our policies'!$E$4:$E$503,_calc!$E$450))&amp;". ")&amp;IF(LEN(IF(LEN(INDEX('Our policies'!$S$4:$S$503,_calc!$E$450))=0,"",INDEX('Our policies'!$S$4:$S$503,_calc!$E$450)))=0,"",IF(LEN(INDEX('Our policies'!$S$4:$S$503,_calc!$E$450))=0,"",INDEX('Our policies'!$S$4:$S$503,_calc!$E$450)))),TRIM(IF(LEN(IF(LEN(INDEX('Vendor COIs'!$C$4:$C$503,(_calc!$E$450-500)))=0,"",INDEX('Vendor COIs'!$C$4:$C$503,(_calc!$E$450-500))))=0,"","Insurer: "&amp;IF(LEN(INDEX('Vendor COIs'!$C$4:$C$503,(_calc!$E$450-500)))=0,"",INDEX('Vendor COIs'!$C$4:$C$503,(_calc!$E$450-500)))&amp;". ")&amp;IF(LEN(IF(LEN(INDEX('Vendor COIs'!$D$4:$D$503,(_calc!$E$450-500)))=0,"",INDEX('Vendor COIs'!$D$4:$D$503,(_calc!$E$450-500))))=0,"","Policy no.: "&amp;IF(LEN(INDEX('Vendor COIs'!$D$4:$D$503,(_calc!$E$450-500)))=0,"",INDEX('Vendor COIs'!$D$4:$D$503,(_calc!$E$450-500)))&amp;". ")&amp;IF(LEN(IF(LEN(INDEX('Vendor COIs'!$F$4:$F$503,(_calc!$E$450-500)))=0,"",INDEX('Vendor COIs'!$F$4:$F$503,(_calc!$E$450-500))))=0,"","Meets minimum: "&amp;IF(LEN(INDEX('Vendor COIs'!$F$4:$F$503,(_calc!$E$450-500)))=0,"",INDEX('Vendor COIs'!$F$4:$F$503,(_calc!$E$450-500)))&amp;". ")&amp;IF(LEN(IF(LEN(INDEX('Vendor COIs'!$G$4:$G$503,(_calc!$E$450-500)))=0,"",INDEX('Vendor COIs'!$G$4:$G$503,(_calc!$E$450-500))))=0,"","Additional insured: "&amp;IF(LEN(INDEX('Vendor COIs'!$G$4:$G$503,(_calc!$E$450-500)))=0,"",INDEX('Vendor COIs'!$G$4:$G$503,(_calc!$E$450-500)))&amp;". ")&amp;IF(LEN(IF(LEN(INDEX('Vendor COIs'!$M$4:$M$503,(_calc!$E$450-500)))=0,"",INDEX('Vendor COIs'!$M$4:$M$503,(_calc!$E$450-500))))=0,"","Vendor contact: "&amp;IF(LEN(INDEX('Vendor COIs'!$M$4:$M$503,(_calc!$E$450-500)))=0,"",INDEX('Vendor COIs'!$M$4:$M$503,(_calc!$E$450-500)))&amp;". ")&amp;IF(LEN(IF(LEN(INDEX('Vendor COIs'!$P$4:$P$503,(_calc!$E$450-500)))=0,"",INDEX('Vendor COIs'!$P$4:$P$503,(_calc!$E$450-500))))=0,"",IF(LEN(INDEX('Vendor COIs'!$P$4:$P$503,(_calc!$E$450-500)))=0,"",INDEX('Vendor COIs'!$P$4:$P$503,(_calc!$E$450-500)))))))</f>
        <v/>
      </c>
      <c r="G448" s="46">
        <f>IF(_calc!$E$450="","",IF(_calc!$E$450&lt;=500,IF(LEN(INDEX('Our policies'!$R$4:$R$503,_calc!$E$450))=0,"",INDEX('Our policies'!$R$4:$R$503,_calc!$E$450)),IF(LEN(INDEX('Vendor COIs'!$O$4:$O$503,(_calc!$E$450-500)))=0,"",INDEX('Vendor COIs'!$O$4:$O$503,(_calc!$E$450-500)))))</f>
        <v/>
      </c>
      <c r="H448" s="46">
        <f>IF(_calc!$E$450="","",IF(_calc!$E$450&lt;=500,IF(LEN(INDEX('Our policies'!$G$4:$G$503,_calc!$E$450))=0,"",INDEX('Our policies'!$G$4:$G$503,_calc!$E$450)),""))</f>
        <v/>
      </c>
      <c r="I448" s="46">
        <f>IF(_calc!$E$450="","",IF(_calc!$E$450&lt;=500,IF(LEN(INDEX('Our policies'!$H$4:$H$503,_calc!$E$450))=0,"",INDEX('Our policies'!$H$4:$H$503,_calc!$E$450)),""))</f>
        <v/>
      </c>
      <c r="K448" s="46">
        <f>IF(_calc!$E$450="","",IF(_calc!$E$450&lt;=500,IF(LEN(INDEX('Our policies'!$P$4:$P$503,_calc!$E$450))=0,"",INDEX('Our policies'!$P$4:$P$503,_calc!$E$450)),IF(LEN(INDEX('Vendor COIs'!$N$4:$N$503,(_calc!$E$450-500)))=0,"",INDEX('Vendor COIs'!$N$4:$N$503,(_calc!$E$450-500)))))</f>
        <v/>
      </c>
    </row>
    <row r="449">
      <c r="A449" s="46">
        <f>IF(_calc!$E$451="","",IF(_calc!$E$451&lt;=500,IF(LEN(INDEX('Our policies'!$A$4:$A$503,_calc!$E$451))=0,"",INDEX('Our policies'!$A$4:$A$503,_calc!$E$451)),"COI – "&amp;IF(LEN(INDEX('Vendor COIs'!$A$4:$A$503,(_calc!$E$451-500)))=0,"",INDEX('Vendor COIs'!$A$4:$A$503,(_calc!$E$451-500)))&amp;" – "&amp;IF(LEN(INDEX('Vendor COIs'!$B$4:$B$503,(_calc!$E$451-500)))=0,"",INDEX('Vendor COIs'!$B$4:$B$503,(_calc!$E$451-500)))))</f>
        <v/>
      </c>
      <c r="B449" s="46">
        <f>IF(_calc!$E$451="","",IF(_calc!$E$451&lt;=500,IF(ISNUMBER(INDEX('Our policies'!$J$4:$J$503,_calc!$E$451)),TEXT(INDEX('Our policies'!$J$4:$J$503,_calc!$E$451),"yyyy-mm-dd"),""),IF(ISNUMBER(INDEX('Vendor COIs'!$H$4:$H$503,(_calc!$E$451-500))),TEXT(INDEX('Vendor COIs'!$H$4:$H$503,(_calc!$E$451-500)),"yyyy-mm-dd"),"")))</f>
        <v/>
      </c>
      <c r="C449" s="46">
        <f>IF(_calc!$E$451="","",IF(_calc!$E$451&lt;=500,"Insurance","Certificate of insurance"))</f>
        <v/>
      </c>
      <c r="D449" s="46">
        <f>IF(_calc!$E$451="","",IF(_calc!$E$451&lt;=500,IF(ISNUMBER(INDEX('Our policies'!$I$4:$I$503,_calc!$E$451)),TEXT(INDEX('Our policies'!$I$4:$I$503,_calc!$E$451),"yyyy-mm-dd"),""),""))</f>
        <v/>
      </c>
      <c r="E449" s="46">
        <f>IF(_calc!$E$451="","",IF(_calc!$E$451&lt;=500,IF(LEN(INDEX('Our policies'!$Q$4:$Q$503,_calc!$E$451))=0,"",INDEX('Our policies'!$Q$4:$Q$503,_calc!$E$451)),"Medium"))</f>
        <v/>
      </c>
      <c r="F449" s="46">
        <f>IF(_calc!$E$451="","",IF(_calc!$E$451&lt;=500,TRIM(IF(LEN(IF(LEN(INDEX('Our policies'!$B$4:$B$503,_calc!$E$451))=0,"",INDEX('Our policies'!$B$4:$B$503,_calc!$E$451)))=0,"","Cover: "&amp;IF(LEN(INDEX('Our policies'!$B$4:$B$503,_calc!$E$451))=0,"",INDEX('Our policies'!$B$4:$B$503,_calc!$E$451))&amp;". ")&amp;IF(LEN(IF(LEN(INDEX('Our policies'!$C$4:$C$503,_calc!$E$451))=0,"",INDEX('Our policies'!$C$4:$C$503,_calc!$E$451)))=0,"","Insurer: "&amp;IF(LEN(INDEX('Our policies'!$C$4:$C$503,_calc!$E$451))=0,"",INDEX('Our policies'!$C$4:$C$503,_calc!$E$451))&amp;". ")&amp;IF(LEN(IF(LEN(INDEX('Our policies'!$D$4:$D$503,_calc!$E$451))=0,"",INDEX('Our policies'!$D$4:$D$503,_calc!$E$451)))=0,"","Broker: "&amp;IF(LEN(INDEX('Our policies'!$D$4:$D$503,_calc!$E$451))=0,"",INDEX('Our policies'!$D$4:$D$503,_calc!$E$451))&amp;". ")&amp;IF(LEN(IF(LEN(INDEX('Our policies'!$E$4:$E$503,_calc!$E$451))=0,"",INDEX('Our policies'!$E$4:$E$503,_calc!$E$451)))=0,"","Policy no.: "&amp;IF(LEN(INDEX('Our policies'!$E$4:$E$503,_calc!$E$451))=0,"",INDEX('Our policies'!$E$4:$E$503,_calc!$E$451))&amp;". ")&amp;IF(LEN(IF(LEN(INDEX('Our policies'!$S$4:$S$503,_calc!$E$451))=0,"",INDEX('Our policies'!$S$4:$S$503,_calc!$E$451)))=0,"",IF(LEN(INDEX('Our policies'!$S$4:$S$503,_calc!$E$451))=0,"",INDEX('Our policies'!$S$4:$S$503,_calc!$E$451)))),TRIM(IF(LEN(IF(LEN(INDEX('Vendor COIs'!$C$4:$C$503,(_calc!$E$451-500)))=0,"",INDEX('Vendor COIs'!$C$4:$C$503,(_calc!$E$451-500))))=0,"","Insurer: "&amp;IF(LEN(INDEX('Vendor COIs'!$C$4:$C$503,(_calc!$E$451-500)))=0,"",INDEX('Vendor COIs'!$C$4:$C$503,(_calc!$E$451-500)))&amp;". ")&amp;IF(LEN(IF(LEN(INDEX('Vendor COIs'!$D$4:$D$503,(_calc!$E$451-500)))=0,"",INDEX('Vendor COIs'!$D$4:$D$503,(_calc!$E$451-500))))=0,"","Policy no.: "&amp;IF(LEN(INDEX('Vendor COIs'!$D$4:$D$503,(_calc!$E$451-500)))=0,"",INDEX('Vendor COIs'!$D$4:$D$503,(_calc!$E$451-500)))&amp;". ")&amp;IF(LEN(IF(LEN(INDEX('Vendor COIs'!$F$4:$F$503,(_calc!$E$451-500)))=0,"",INDEX('Vendor COIs'!$F$4:$F$503,(_calc!$E$451-500))))=0,"","Meets minimum: "&amp;IF(LEN(INDEX('Vendor COIs'!$F$4:$F$503,(_calc!$E$451-500)))=0,"",INDEX('Vendor COIs'!$F$4:$F$503,(_calc!$E$451-500)))&amp;". ")&amp;IF(LEN(IF(LEN(INDEX('Vendor COIs'!$G$4:$G$503,(_calc!$E$451-500)))=0,"",INDEX('Vendor COIs'!$G$4:$G$503,(_calc!$E$451-500))))=0,"","Additional insured: "&amp;IF(LEN(INDEX('Vendor COIs'!$G$4:$G$503,(_calc!$E$451-500)))=0,"",INDEX('Vendor COIs'!$G$4:$G$503,(_calc!$E$451-500)))&amp;". ")&amp;IF(LEN(IF(LEN(INDEX('Vendor COIs'!$M$4:$M$503,(_calc!$E$451-500)))=0,"",INDEX('Vendor COIs'!$M$4:$M$503,(_calc!$E$451-500))))=0,"","Vendor contact: "&amp;IF(LEN(INDEX('Vendor COIs'!$M$4:$M$503,(_calc!$E$451-500)))=0,"",INDEX('Vendor COIs'!$M$4:$M$503,(_calc!$E$451-500)))&amp;". ")&amp;IF(LEN(IF(LEN(INDEX('Vendor COIs'!$P$4:$P$503,(_calc!$E$451-500)))=0,"",INDEX('Vendor COIs'!$P$4:$P$503,(_calc!$E$451-500))))=0,"",IF(LEN(INDEX('Vendor COIs'!$P$4:$P$503,(_calc!$E$451-500)))=0,"",INDEX('Vendor COIs'!$P$4:$P$503,(_calc!$E$451-500)))))))</f>
        <v/>
      </c>
      <c r="G449" s="46">
        <f>IF(_calc!$E$451="","",IF(_calc!$E$451&lt;=500,IF(LEN(INDEX('Our policies'!$R$4:$R$503,_calc!$E$451))=0,"",INDEX('Our policies'!$R$4:$R$503,_calc!$E$451)),IF(LEN(INDEX('Vendor COIs'!$O$4:$O$503,(_calc!$E$451-500)))=0,"",INDEX('Vendor COIs'!$O$4:$O$503,(_calc!$E$451-500)))))</f>
        <v/>
      </c>
      <c r="H449" s="46">
        <f>IF(_calc!$E$451="","",IF(_calc!$E$451&lt;=500,IF(LEN(INDEX('Our policies'!$G$4:$G$503,_calc!$E$451))=0,"",INDEX('Our policies'!$G$4:$G$503,_calc!$E$451)),""))</f>
        <v/>
      </c>
      <c r="I449" s="46">
        <f>IF(_calc!$E$451="","",IF(_calc!$E$451&lt;=500,IF(LEN(INDEX('Our policies'!$H$4:$H$503,_calc!$E$451))=0,"",INDEX('Our policies'!$H$4:$H$503,_calc!$E$451)),""))</f>
        <v/>
      </c>
      <c r="K449" s="46">
        <f>IF(_calc!$E$451="","",IF(_calc!$E$451&lt;=500,IF(LEN(INDEX('Our policies'!$P$4:$P$503,_calc!$E$451))=0,"",INDEX('Our policies'!$P$4:$P$503,_calc!$E$451)),IF(LEN(INDEX('Vendor COIs'!$N$4:$N$503,(_calc!$E$451-500)))=0,"",INDEX('Vendor COIs'!$N$4:$N$503,(_calc!$E$451-500)))))</f>
        <v/>
      </c>
    </row>
    <row r="450">
      <c r="A450" s="46">
        <f>IF(_calc!$E$452="","",IF(_calc!$E$452&lt;=500,IF(LEN(INDEX('Our policies'!$A$4:$A$503,_calc!$E$452))=0,"",INDEX('Our policies'!$A$4:$A$503,_calc!$E$452)),"COI – "&amp;IF(LEN(INDEX('Vendor COIs'!$A$4:$A$503,(_calc!$E$452-500)))=0,"",INDEX('Vendor COIs'!$A$4:$A$503,(_calc!$E$452-500)))&amp;" – "&amp;IF(LEN(INDEX('Vendor COIs'!$B$4:$B$503,(_calc!$E$452-500)))=0,"",INDEX('Vendor COIs'!$B$4:$B$503,(_calc!$E$452-500)))))</f>
        <v/>
      </c>
      <c r="B450" s="46">
        <f>IF(_calc!$E$452="","",IF(_calc!$E$452&lt;=500,IF(ISNUMBER(INDEX('Our policies'!$J$4:$J$503,_calc!$E$452)),TEXT(INDEX('Our policies'!$J$4:$J$503,_calc!$E$452),"yyyy-mm-dd"),""),IF(ISNUMBER(INDEX('Vendor COIs'!$H$4:$H$503,(_calc!$E$452-500))),TEXT(INDEX('Vendor COIs'!$H$4:$H$503,(_calc!$E$452-500)),"yyyy-mm-dd"),"")))</f>
        <v/>
      </c>
      <c r="C450" s="46">
        <f>IF(_calc!$E$452="","",IF(_calc!$E$452&lt;=500,"Insurance","Certificate of insurance"))</f>
        <v/>
      </c>
      <c r="D450" s="46">
        <f>IF(_calc!$E$452="","",IF(_calc!$E$452&lt;=500,IF(ISNUMBER(INDEX('Our policies'!$I$4:$I$503,_calc!$E$452)),TEXT(INDEX('Our policies'!$I$4:$I$503,_calc!$E$452),"yyyy-mm-dd"),""),""))</f>
        <v/>
      </c>
      <c r="E450" s="46">
        <f>IF(_calc!$E$452="","",IF(_calc!$E$452&lt;=500,IF(LEN(INDEX('Our policies'!$Q$4:$Q$503,_calc!$E$452))=0,"",INDEX('Our policies'!$Q$4:$Q$503,_calc!$E$452)),"Medium"))</f>
        <v/>
      </c>
      <c r="F450" s="46">
        <f>IF(_calc!$E$452="","",IF(_calc!$E$452&lt;=500,TRIM(IF(LEN(IF(LEN(INDEX('Our policies'!$B$4:$B$503,_calc!$E$452))=0,"",INDEX('Our policies'!$B$4:$B$503,_calc!$E$452)))=0,"","Cover: "&amp;IF(LEN(INDEX('Our policies'!$B$4:$B$503,_calc!$E$452))=0,"",INDEX('Our policies'!$B$4:$B$503,_calc!$E$452))&amp;". ")&amp;IF(LEN(IF(LEN(INDEX('Our policies'!$C$4:$C$503,_calc!$E$452))=0,"",INDEX('Our policies'!$C$4:$C$503,_calc!$E$452)))=0,"","Insurer: "&amp;IF(LEN(INDEX('Our policies'!$C$4:$C$503,_calc!$E$452))=0,"",INDEX('Our policies'!$C$4:$C$503,_calc!$E$452))&amp;". ")&amp;IF(LEN(IF(LEN(INDEX('Our policies'!$D$4:$D$503,_calc!$E$452))=0,"",INDEX('Our policies'!$D$4:$D$503,_calc!$E$452)))=0,"","Broker: "&amp;IF(LEN(INDEX('Our policies'!$D$4:$D$503,_calc!$E$452))=0,"",INDEX('Our policies'!$D$4:$D$503,_calc!$E$452))&amp;". ")&amp;IF(LEN(IF(LEN(INDEX('Our policies'!$E$4:$E$503,_calc!$E$452))=0,"",INDEX('Our policies'!$E$4:$E$503,_calc!$E$452)))=0,"","Policy no.: "&amp;IF(LEN(INDEX('Our policies'!$E$4:$E$503,_calc!$E$452))=0,"",INDEX('Our policies'!$E$4:$E$503,_calc!$E$452))&amp;". ")&amp;IF(LEN(IF(LEN(INDEX('Our policies'!$S$4:$S$503,_calc!$E$452))=0,"",INDEX('Our policies'!$S$4:$S$503,_calc!$E$452)))=0,"",IF(LEN(INDEX('Our policies'!$S$4:$S$503,_calc!$E$452))=0,"",INDEX('Our policies'!$S$4:$S$503,_calc!$E$452)))),TRIM(IF(LEN(IF(LEN(INDEX('Vendor COIs'!$C$4:$C$503,(_calc!$E$452-500)))=0,"",INDEX('Vendor COIs'!$C$4:$C$503,(_calc!$E$452-500))))=0,"","Insurer: "&amp;IF(LEN(INDEX('Vendor COIs'!$C$4:$C$503,(_calc!$E$452-500)))=0,"",INDEX('Vendor COIs'!$C$4:$C$503,(_calc!$E$452-500)))&amp;". ")&amp;IF(LEN(IF(LEN(INDEX('Vendor COIs'!$D$4:$D$503,(_calc!$E$452-500)))=0,"",INDEX('Vendor COIs'!$D$4:$D$503,(_calc!$E$452-500))))=0,"","Policy no.: "&amp;IF(LEN(INDEX('Vendor COIs'!$D$4:$D$503,(_calc!$E$452-500)))=0,"",INDEX('Vendor COIs'!$D$4:$D$503,(_calc!$E$452-500)))&amp;". ")&amp;IF(LEN(IF(LEN(INDEX('Vendor COIs'!$F$4:$F$503,(_calc!$E$452-500)))=0,"",INDEX('Vendor COIs'!$F$4:$F$503,(_calc!$E$452-500))))=0,"","Meets minimum: "&amp;IF(LEN(INDEX('Vendor COIs'!$F$4:$F$503,(_calc!$E$452-500)))=0,"",INDEX('Vendor COIs'!$F$4:$F$503,(_calc!$E$452-500)))&amp;". ")&amp;IF(LEN(IF(LEN(INDEX('Vendor COIs'!$G$4:$G$503,(_calc!$E$452-500)))=0,"",INDEX('Vendor COIs'!$G$4:$G$503,(_calc!$E$452-500))))=0,"","Additional insured: "&amp;IF(LEN(INDEX('Vendor COIs'!$G$4:$G$503,(_calc!$E$452-500)))=0,"",INDEX('Vendor COIs'!$G$4:$G$503,(_calc!$E$452-500)))&amp;". ")&amp;IF(LEN(IF(LEN(INDEX('Vendor COIs'!$M$4:$M$503,(_calc!$E$452-500)))=0,"",INDEX('Vendor COIs'!$M$4:$M$503,(_calc!$E$452-500))))=0,"","Vendor contact: "&amp;IF(LEN(INDEX('Vendor COIs'!$M$4:$M$503,(_calc!$E$452-500)))=0,"",INDEX('Vendor COIs'!$M$4:$M$503,(_calc!$E$452-500)))&amp;". ")&amp;IF(LEN(IF(LEN(INDEX('Vendor COIs'!$P$4:$P$503,(_calc!$E$452-500)))=0,"",INDEX('Vendor COIs'!$P$4:$P$503,(_calc!$E$452-500))))=0,"",IF(LEN(INDEX('Vendor COIs'!$P$4:$P$503,(_calc!$E$452-500)))=0,"",INDEX('Vendor COIs'!$P$4:$P$503,(_calc!$E$452-500)))))))</f>
        <v/>
      </c>
      <c r="G450" s="46">
        <f>IF(_calc!$E$452="","",IF(_calc!$E$452&lt;=500,IF(LEN(INDEX('Our policies'!$R$4:$R$503,_calc!$E$452))=0,"",INDEX('Our policies'!$R$4:$R$503,_calc!$E$452)),IF(LEN(INDEX('Vendor COIs'!$O$4:$O$503,(_calc!$E$452-500)))=0,"",INDEX('Vendor COIs'!$O$4:$O$503,(_calc!$E$452-500)))))</f>
        <v/>
      </c>
      <c r="H450" s="46">
        <f>IF(_calc!$E$452="","",IF(_calc!$E$452&lt;=500,IF(LEN(INDEX('Our policies'!$G$4:$G$503,_calc!$E$452))=0,"",INDEX('Our policies'!$G$4:$G$503,_calc!$E$452)),""))</f>
        <v/>
      </c>
      <c r="I450" s="46">
        <f>IF(_calc!$E$452="","",IF(_calc!$E$452&lt;=500,IF(LEN(INDEX('Our policies'!$H$4:$H$503,_calc!$E$452))=0,"",INDEX('Our policies'!$H$4:$H$503,_calc!$E$452)),""))</f>
        <v/>
      </c>
      <c r="K450" s="46">
        <f>IF(_calc!$E$452="","",IF(_calc!$E$452&lt;=500,IF(LEN(INDEX('Our policies'!$P$4:$P$503,_calc!$E$452))=0,"",INDEX('Our policies'!$P$4:$P$503,_calc!$E$452)),IF(LEN(INDEX('Vendor COIs'!$N$4:$N$503,(_calc!$E$452-500)))=0,"",INDEX('Vendor COIs'!$N$4:$N$503,(_calc!$E$452-500)))))</f>
        <v/>
      </c>
    </row>
    <row r="451">
      <c r="A451" s="46">
        <f>IF(_calc!$E$453="","",IF(_calc!$E$453&lt;=500,IF(LEN(INDEX('Our policies'!$A$4:$A$503,_calc!$E$453))=0,"",INDEX('Our policies'!$A$4:$A$503,_calc!$E$453)),"COI – "&amp;IF(LEN(INDEX('Vendor COIs'!$A$4:$A$503,(_calc!$E$453-500)))=0,"",INDEX('Vendor COIs'!$A$4:$A$503,(_calc!$E$453-500)))&amp;" – "&amp;IF(LEN(INDEX('Vendor COIs'!$B$4:$B$503,(_calc!$E$453-500)))=0,"",INDEX('Vendor COIs'!$B$4:$B$503,(_calc!$E$453-500)))))</f>
        <v/>
      </c>
      <c r="B451" s="46">
        <f>IF(_calc!$E$453="","",IF(_calc!$E$453&lt;=500,IF(ISNUMBER(INDEX('Our policies'!$J$4:$J$503,_calc!$E$453)),TEXT(INDEX('Our policies'!$J$4:$J$503,_calc!$E$453),"yyyy-mm-dd"),""),IF(ISNUMBER(INDEX('Vendor COIs'!$H$4:$H$503,(_calc!$E$453-500))),TEXT(INDEX('Vendor COIs'!$H$4:$H$503,(_calc!$E$453-500)),"yyyy-mm-dd"),"")))</f>
        <v/>
      </c>
      <c r="C451" s="46">
        <f>IF(_calc!$E$453="","",IF(_calc!$E$453&lt;=500,"Insurance","Certificate of insurance"))</f>
        <v/>
      </c>
      <c r="D451" s="46">
        <f>IF(_calc!$E$453="","",IF(_calc!$E$453&lt;=500,IF(ISNUMBER(INDEX('Our policies'!$I$4:$I$503,_calc!$E$453)),TEXT(INDEX('Our policies'!$I$4:$I$503,_calc!$E$453),"yyyy-mm-dd"),""),""))</f>
        <v/>
      </c>
      <c r="E451" s="46">
        <f>IF(_calc!$E$453="","",IF(_calc!$E$453&lt;=500,IF(LEN(INDEX('Our policies'!$Q$4:$Q$503,_calc!$E$453))=0,"",INDEX('Our policies'!$Q$4:$Q$503,_calc!$E$453)),"Medium"))</f>
        <v/>
      </c>
      <c r="F451" s="46">
        <f>IF(_calc!$E$453="","",IF(_calc!$E$453&lt;=500,TRIM(IF(LEN(IF(LEN(INDEX('Our policies'!$B$4:$B$503,_calc!$E$453))=0,"",INDEX('Our policies'!$B$4:$B$503,_calc!$E$453)))=0,"","Cover: "&amp;IF(LEN(INDEX('Our policies'!$B$4:$B$503,_calc!$E$453))=0,"",INDEX('Our policies'!$B$4:$B$503,_calc!$E$453))&amp;". ")&amp;IF(LEN(IF(LEN(INDEX('Our policies'!$C$4:$C$503,_calc!$E$453))=0,"",INDEX('Our policies'!$C$4:$C$503,_calc!$E$453)))=0,"","Insurer: "&amp;IF(LEN(INDEX('Our policies'!$C$4:$C$503,_calc!$E$453))=0,"",INDEX('Our policies'!$C$4:$C$503,_calc!$E$453))&amp;". ")&amp;IF(LEN(IF(LEN(INDEX('Our policies'!$D$4:$D$503,_calc!$E$453))=0,"",INDEX('Our policies'!$D$4:$D$503,_calc!$E$453)))=0,"","Broker: "&amp;IF(LEN(INDEX('Our policies'!$D$4:$D$503,_calc!$E$453))=0,"",INDEX('Our policies'!$D$4:$D$503,_calc!$E$453))&amp;". ")&amp;IF(LEN(IF(LEN(INDEX('Our policies'!$E$4:$E$503,_calc!$E$453))=0,"",INDEX('Our policies'!$E$4:$E$503,_calc!$E$453)))=0,"","Policy no.: "&amp;IF(LEN(INDEX('Our policies'!$E$4:$E$503,_calc!$E$453))=0,"",INDEX('Our policies'!$E$4:$E$503,_calc!$E$453))&amp;". ")&amp;IF(LEN(IF(LEN(INDEX('Our policies'!$S$4:$S$503,_calc!$E$453))=0,"",INDEX('Our policies'!$S$4:$S$503,_calc!$E$453)))=0,"",IF(LEN(INDEX('Our policies'!$S$4:$S$503,_calc!$E$453))=0,"",INDEX('Our policies'!$S$4:$S$503,_calc!$E$453)))),TRIM(IF(LEN(IF(LEN(INDEX('Vendor COIs'!$C$4:$C$503,(_calc!$E$453-500)))=0,"",INDEX('Vendor COIs'!$C$4:$C$503,(_calc!$E$453-500))))=0,"","Insurer: "&amp;IF(LEN(INDEX('Vendor COIs'!$C$4:$C$503,(_calc!$E$453-500)))=0,"",INDEX('Vendor COIs'!$C$4:$C$503,(_calc!$E$453-500)))&amp;". ")&amp;IF(LEN(IF(LEN(INDEX('Vendor COIs'!$D$4:$D$503,(_calc!$E$453-500)))=0,"",INDEX('Vendor COIs'!$D$4:$D$503,(_calc!$E$453-500))))=0,"","Policy no.: "&amp;IF(LEN(INDEX('Vendor COIs'!$D$4:$D$503,(_calc!$E$453-500)))=0,"",INDEX('Vendor COIs'!$D$4:$D$503,(_calc!$E$453-500)))&amp;". ")&amp;IF(LEN(IF(LEN(INDEX('Vendor COIs'!$F$4:$F$503,(_calc!$E$453-500)))=0,"",INDEX('Vendor COIs'!$F$4:$F$503,(_calc!$E$453-500))))=0,"","Meets minimum: "&amp;IF(LEN(INDEX('Vendor COIs'!$F$4:$F$503,(_calc!$E$453-500)))=0,"",INDEX('Vendor COIs'!$F$4:$F$503,(_calc!$E$453-500)))&amp;". ")&amp;IF(LEN(IF(LEN(INDEX('Vendor COIs'!$G$4:$G$503,(_calc!$E$453-500)))=0,"",INDEX('Vendor COIs'!$G$4:$G$503,(_calc!$E$453-500))))=0,"","Additional insured: "&amp;IF(LEN(INDEX('Vendor COIs'!$G$4:$G$503,(_calc!$E$453-500)))=0,"",INDEX('Vendor COIs'!$G$4:$G$503,(_calc!$E$453-500)))&amp;". ")&amp;IF(LEN(IF(LEN(INDEX('Vendor COIs'!$M$4:$M$503,(_calc!$E$453-500)))=0,"",INDEX('Vendor COIs'!$M$4:$M$503,(_calc!$E$453-500))))=0,"","Vendor contact: "&amp;IF(LEN(INDEX('Vendor COIs'!$M$4:$M$503,(_calc!$E$453-500)))=0,"",INDEX('Vendor COIs'!$M$4:$M$503,(_calc!$E$453-500)))&amp;". ")&amp;IF(LEN(IF(LEN(INDEX('Vendor COIs'!$P$4:$P$503,(_calc!$E$453-500)))=0,"",INDEX('Vendor COIs'!$P$4:$P$503,(_calc!$E$453-500))))=0,"",IF(LEN(INDEX('Vendor COIs'!$P$4:$P$503,(_calc!$E$453-500)))=0,"",INDEX('Vendor COIs'!$P$4:$P$503,(_calc!$E$453-500)))))))</f>
        <v/>
      </c>
      <c r="G451" s="46">
        <f>IF(_calc!$E$453="","",IF(_calc!$E$453&lt;=500,IF(LEN(INDEX('Our policies'!$R$4:$R$503,_calc!$E$453))=0,"",INDEX('Our policies'!$R$4:$R$503,_calc!$E$453)),IF(LEN(INDEX('Vendor COIs'!$O$4:$O$503,(_calc!$E$453-500)))=0,"",INDEX('Vendor COIs'!$O$4:$O$503,(_calc!$E$453-500)))))</f>
        <v/>
      </c>
      <c r="H451" s="46">
        <f>IF(_calc!$E$453="","",IF(_calc!$E$453&lt;=500,IF(LEN(INDEX('Our policies'!$G$4:$G$503,_calc!$E$453))=0,"",INDEX('Our policies'!$G$4:$G$503,_calc!$E$453)),""))</f>
        <v/>
      </c>
      <c r="I451" s="46">
        <f>IF(_calc!$E$453="","",IF(_calc!$E$453&lt;=500,IF(LEN(INDEX('Our policies'!$H$4:$H$503,_calc!$E$453))=0,"",INDEX('Our policies'!$H$4:$H$503,_calc!$E$453)),""))</f>
        <v/>
      </c>
      <c r="K451" s="46">
        <f>IF(_calc!$E$453="","",IF(_calc!$E$453&lt;=500,IF(LEN(INDEX('Our policies'!$P$4:$P$503,_calc!$E$453))=0,"",INDEX('Our policies'!$P$4:$P$503,_calc!$E$453)),IF(LEN(INDEX('Vendor COIs'!$N$4:$N$503,(_calc!$E$453-500)))=0,"",INDEX('Vendor COIs'!$N$4:$N$503,(_calc!$E$453-500)))))</f>
        <v/>
      </c>
    </row>
    <row r="452">
      <c r="A452" s="46">
        <f>IF(_calc!$E$454="","",IF(_calc!$E$454&lt;=500,IF(LEN(INDEX('Our policies'!$A$4:$A$503,_calc!$E$454))=0,"",INDEX('Our policies'!$A$4:$A$503,_calc!$E$454)),"COI – "&amp;IF(LEN(INDEX('Vendor COIs'!$A$4:$A$503,(_calc!$E$454-500)))=0,"",INDEX('Vendor COIs'!$A$4:$A$503,(_calc!$E$454-500)))&amp;" – "&amp;IF(LEN(INDEX('Vendor COIs'!$B$4:$B$503,(_calc!$E$454-500)))=0,"",INDEX('Vendor COIs'!$B$4:$B$503,(_calc!$E$454-500)))))</f>
        <v/>
      </c>
      <c r="B452" s="46">
        <f>IF(_calc!$E$454="","",IF(_calc!$E$454&lt;=500,IF(ISNUMBER(INDEX('Our policies'!$J$4:$J$503,_calc!$E$454)),TEXT(INDEX('Our policies'!$J$4:$J$503,_calc!$E$454),"yyyy-mm-dd"),""),IF(ISNUMBER(INDEX('Vendor COIs'!$H$4:$H$503,(_calc!$E$454-500))),TEXT(INDEX('Vendor COIs'!$H$4:$H$503,(_calc!$E$454-500)),"yyyy-mm-dd"),"")))</f>
        <v/>
      </c>
      <c r="C452" s="46">
        <f>IF(_calc!$E$454="","",IF(_calc!$E$454&lt;=500,"Insurance","Certificate of insurance"))</f>
        <v/>
      </c>
      <c r="D452" s="46">
        <f>IF(_calc!$E$454="","",IF(_calc!$E$454&lt;=500,IF(ISNUMBER(INDEX('Our policies'!$I$4:$I$503,_calc!$E$454)),TEXT(INDEX('Our policies'!$I$4:$I$503,_calc!$E$454),"yyyy-mm-dd"),""),""))</f>
        <v/>
      </c>
      <c r="E452" s="46">
        <f>IF(_calc!$E$454="","",IF(_calc!$E$454&lt;=500,IF(LEN(INDEX('Our policies'!$Q$4:$Q$503,_calc!$E$454))=0,"",INDEX('Our policies'!$Q$4:$Q$503,_calc!$E$454)),"Medium"))</f>
        <v/>
      </c>
      <c r="F452" s="46">
        <f>IF(_calc!$E$454="","",IF(_calc!$E$454&lt;=500,TRIM(IF(LEN(IF(LEN(INDEX('Our policies'!$B$4:$B$503,_calc!$E$454))=0,"",INDEX('Our policies'!$B$4:$B$503,_calc!$E$454)))=0,"","Cover: "&amp;IF(LEN(INDEX('Our policies'!$B$4:$B$503,_calc!$E$454))=0,"",INDEX('Our policies'!$B$4:$B$503,_calc!$E$454))&amp;". ")&amp;IF(LEN(IF(LEN(INDEX('Our policies'!$C$4:$C$503,_calc!$E$454))=0,"",INDEX('Our policies'!$C$4:$C$503,_calc!$E$454)))=0,"","Insurer: "&amp;IF(LEN(INDEX('Our policies'!$C$4:$C$503,_calc!$E$454))=0,"",INDEX('Our policies'!$C$4:$C$503,_calc!$E$454))&amp;". ")&amp;IF(LEN(IF(LEN(INDEX('Our policies'!$D$4:$D$503,_calc!$E$454))=0,"",INDEX('Our policies'!$D$4:$D$503,_calc!$E$454)))=0,"","Broker: "&amp;IF(LEN(INDEX('Our policies'!$D$4:$D$503,_calc!$E$454))=0,"",INDEX('Our policies'!$D$4:$D$503,_calc!$E$454))&amp;". ")&amp;IF(LEN(IF(LEN(INDEX('Our policies'!$E$4:$E$503,_calc!$E$454))=0,"",INDEX('Our policies'!$E$4:$E$503,_calc!$E$454)))=0,"","Policy no.: "&amp;IF(LEN(INDEX('Our policies'!$E$4:$E$503,_calc!$E$454))=0,"",INDEX('Our policies'!$E$4:$E$503,_calc!$E$454))&amp;". ")&amp;IF(LEN(IF(LEN(INDEX('Our policies'!$S$4:$S$503,_calc!$E$454))=0,"",INDEX('Our policies'!$S$4:$S$503,_calc!$E$454)))=0,"",IF(LEN(INDEX('Our policies'!$S$4:$S$503,_calc!$E$454))=0,"",INDEX('Our policies'!$S$4:$S$503,_calc!$E$454)))),TRIM(IF(LEN(IF(LEN(INDEX('Vendor COIs'!$C$4:$C$503,(_calc!$E$454-500)))=0,"",INDEX('Vendor COIs'!$C$4:$C$503,(_calc!$E$454-500))))=0,"","Insurer: "&amp;IF(LEN(INDEX('Vendor COIs'!$C$4:$C$503,(_calc!$E$454-500)))=0,"",INDEX('Vendor COIs'!$C$4:$C$503,(_calc!$E$454-500)))&amp;". ")&amp;IF(LEN(IF(LEN(INDEX('Vendor COIs'!$D$4:$D$503,(_calc!$E$454-500)))=0,"",INDEX('Vendor COIs'!$D$4:$D$503,(_calc!$E$454-500))))=0,"","Policy no.: "&amp;IF(LEN(INDEX('Vendor COIs'!$D$4:$D$503,(_calc!$E$454-500)))=0,"",INDEX('Vendor COIs'!$D$4:$D$503,(_calc!$E$454-500)))&amp;". ")&amp;IF(LEN(IF(LEN(INDEX('Vendor COIs'!$F$4:$F$503,(_calc!$E$454-500)))=0,"",INDEX('Vendor COIs'!$F$4:$F$503,(_calc!$E$454-500))))=0,"","Meets minimum: "&amp;IF(LEN(INDEX('Vendor COIs'!$F$4:$F$503,(_calc!$E$454-500)))=0,"",INDEX('Vendor COIs'!$F$4:$F$503,(_calc!$E$454-500)))&amp;". ")&amp;IF(LEN(IF(LEN(INDEX('Vendor COIs'!$G$4:$G$503,(_calc!$E$454-500)))=0,"",INDEX('Vendor COIs'!$G$4:$G$503,(_calc!$E$454-500))))=0,"","Additional insured: "&amp;IF(LEN(INDEX('Vendor COIs'!$G$4:$G$503,(_calc!$E$454-500)))=0,"",INDEX('Vendor COIs'!$G$4:$G$503,(_calc!$E$454-500)))&amp;". ")&amp;IF(LEN(IF(LEN(INDEX('Vendor COIs'!$M$4:$M$503,(_calc!$E$454-500)))=0,"",INDEX('Vendor COIs'!$M$4:$M$503,(_calc!$E$454-500))))=0,"","Vendor contact: "&amp;IF(LEN(INDEX('Vendor COIs'!$M$4:$M$503,(_calc!$E$454-500)))=0,"",INDEX('Vendor COIs'!$M$4:$M$503,(_calc!$E$454-500)))&amp;". ")&amp;IF(LEN(IF(LEN(INDEX('Vendor COIs'!$P$4:$P$503,(_calc!$E$454-500)))=0,"",INDEX('Vendor COIs'!$P$4:$P$503,(_calc!$E$454-500))))=0,"",IF(LEN(INDEX('Vendor COIs'!$P$4:$P$503,(_calc!$E$454-500)))=0,"",INDEX('Vendor COIs'!$P$4:$P$503,(_calc!$E$454-500)))))))</f>
        <v/>
      </c>
      <c r="G452" s="46">
        <f>IF(_calc!$E$454="","",IF(_calc!$E$454&lt;=500,IF(LEN(INDEX('Our policies'!$R$4:$R$503,_calc!$E$454))=0,"",INDEX('Our policies'!$R$4:$R$503,_calc!$E$454)),IF(LEN(INDEX('Vendor COIs'!$O$4:$O$503,(_calc!$E$454-500)))=0,"",INDEX('Vendor COIs'!$O$4:$O$503,(_calc!$E$454-500)))))</f>
        <v/>
      </c>
      <c r="H452" s="46">
        <f>IF(_calc!$E$454="","",IF(_calc!$E$454&lt;=500,IF(LEN(INDEX('Our policies'!$G$4:$G$503,_calc!$E$454))=0,"",INDEX('Our policies'!$G$4:$G$503,_calc!$E$454)),""))</f>
        <v/>
      </c>
      <c r="I452" s="46">
        <f>IF(_calc!$E$454="","",IF(_calc!$E$454&lt;=500,IF(LEN(INDEX('Our policies'!$H$4:$H$503,_calc!$E$454))=0,"",INDEX('Our policies'!$H$4:$H$503,_calc!$E$454)),""))</f>
        <v/>
      </c>
      <c r="K452" s="46">
        <f>IF(_calc!$E$454="","",IF(_calc!$E$454&lt;=500,IF(LEN(INDEX('Our policies'!$P$4:$P$503,_calc!$E$454))=0,"",INDEX('Our policies'!$P$4:$P$503,_calc!$E$454)),IF(LEN(INDEX('Vendor COIs'!$N$4:$N$503,(_calc!$E$454-500)))=0,"",INDEX('Vendor COIs'!$N$4:$N$503,(_calc!$E$454-500)))))</f>
        <v/>
      </c>
    </row>
    <row r="453">
      <c r="A453" s="46">
        <f>IF(_calc!$E$455="","",IF(_calc!$E$455&lt;=500,IF(LEN(INDEX('Our policies'!$A$4:$A$503,_calc!$E$455))=0,"",INDEX('Our policies'!$A$4:$A$503,_calc!$E$455)),"COI – "&amp;IF(LEN(INDEX('Vendor COIs'!$A$4:$A$503,(_calc!$E$455-500)))=0,"",INDEX('Vendor COIs'!$A$4:$A$503,(_calc!$E$455-500)))&amp;" – "&amp;IF(LEN(INDEX('Vendor COIs'!$B$4:$B$503,(_calc!$E$455-500)))=0,"",INDEX('Vendor COIs'!$B$4:$B$503,(_calc!$E$455-500)))))</f>
        <v/>
      </c>
      <c r="B453" s="46">
        <f>IF(_calc!$E$455="","",IF(_calc!$E$455&lt;=500,IF(ISNUMBER(INDEX('Our policies'!$J$4:$J$503,_calc!$E$455)),TEXT(INDEX('Our policies'!$J$4:$J$503,_calc!$E$455),"yyyy-mm-dd"),""),IF(ISNUMBER(INDEX('Vendor COIs'!$H$4:$H$503,(_calc!$E$455-500))),TEXT(INDEX('Vendor COIs'!$H$4:$H$503,(_calc!$E$455-500)),"yyyy-mm-dd"),"")))</f>
        <v/>
      </c>
      <c r="C453" s="46">
        <f>IF(_calc!$E$455="","",IF(_calc!$E$455&lt;=500,"Insurance","Certificate of insurance"))</f>
        <v/>
      </c>
      <c r="D453" s="46">
        <f>IF(_calc!$E$455="","",IF(_calc!$E$455&lt;=500,IF(ISNUMBER(INDEX('Our policies'!$I$4:$I$503,_calc!$E$455)),TEXT(INDEX('Our policies'!$I$4:$I$503,_calc!$E$455),"yyyy-mm-dd"),""),""))</f>
        <v/>
      </c>
      <c r="E453" s="46">
        <f>IF(_calc!$E$455="","",IF(_calc!$E$455&lt;=500,IF(LEN(INDEX('Our policies'!$Q$4:$Q$503,_calc!$E$455))=0,"",INDEX('Our policies'!$Q$4:$Q$503,_calc!$E$455)),"Medium"))</f>
        <v/>
      </c>
      <c r="F453" s="46">
        <f>IF(_calc!$E$455="","",IF(_calc!$E$455&lt;=500,TRIM(IF(LEN(IF(LEN(INDEX('Our policies'!$B$4:$B$503,_calc!$E$455))=0,"",INDEX('Our policies'!$B$4:$B$503,_calc!$E$455)))=0,"","Cover: "&amp;IF(LEN(INDEX('Our policies'!$B$4:$B$503,_calc!$E$455))=0,"",INDEX('Our policies'!$B$4:$B$503,_calc!$E$455))&amp;". ")&amp;IF(LEN(IF(LEN(INDEX('Our policies'!$C$4:$C$503,_calc!$E$455))=0,"",INDEX('Our policies'!$C$4:$C$503,_calc!$E$455)))=0,"","Insurer: "&amp;IF(LEN(INDEX('Our policies'!$C$4:$C$503,_calc!$E$455))=0,"",INDEX('Our policies'!$C$4:$C$503,_calc!$E$455))&amp;". ")&amp;IF(LEN(IF(LEN(INDEX('Our policies'!$D$4:$D$503,_calc!$E$455))=0,"",INDEX('Our policies'!$D$4:$D$503,_calc!$E$455)))=0,"","Broker: "&amp;IF(LEN(INDEX('Our policies'!$D$4:$D$503,_calc!$E$455))=0,"",INDEX('Our policies'!$D$4:$D$503,_calc!$E$455))&amp;". ")&amp;IF(LEN(IF(LEN(INDEX('Our policies'!$E$4:$E$503,_calc!$E$455))=0,"",INDEX('Our policies'!$E$4:$E$503,_calc!$E$455)))=0,"","Policy no.: "&amp;IF(LEN(INDEX('Our policies'!$E$4:$E$503,_calc!$E$455))=0,"",INDEX('Our policies'!$E$4:$E$503,_calc!$E$455))&amp;". ")&amp;IF(LEN(IF(LEN(INDEX('Our policies'!$S$4:$S$503,_calc!$E$455))=0,"",INDEX('Our policies'!$S$4:$S$503,_calc!$E$455)))=0,"",IF(LEN(INDEX('Our policies'!$S$4:$S$503,_calc!$E$455))=0,"",INDEX('Our policies'!$S$4:$S$503,_calc!$E$455)))),TRIM(IF(LEN(IF(LEN(INDEX('Vendor COIs'!$C$4:$C$503,(_calc!$E$455-500)))=0,"",INDEX('Vendor COIs'!$C$4:$C$503,(_calc!$E$455-500))))=0,"","Insurer: "&amp;IF(LEN(INDEX('Vendor COIs'!$C$4:$C$503,(_calc!$E$455-500)))=0,"",INDEX('Vendor COIs'!$C$4:$C$503,(_calc!$E$455-500)))&amp;". ")&amp;IF(LEN(IF(LEN(INDEX('Vendor COIs'!$D$4:$D$503,(_calc!$E$455-500)))=0,"",INDEX('Vendor COIs'!$D$4:$D$503,(_calc!$E$455-500))))=0,"","Policy no.: "&amp;IF(LEN(INDEX('Vendor COIs'!$D$4:$D$503,(_calc!$E$455-500)))=0,"",INDEX('Vendor COIs'!$D$4:$D$503,(_calc!$E$455-500)))&amp;". ")&amp;IF(LEN(IF(LEN(INDEX('Vendor COIs'!$F$4:$F$503,(_calc!$E$455-500)))=0,"",INDEX('Vendor COIs'!$F$4:$F$503,(_calc!$E$455-500))))=0,"","Meets minimum: "&amp;IF(LEN(INDEX('Vendor COIs'!$F$4:$F$503,(_calc!$E$455-500)))=0,"",INDEX('Vendor COIs'!$F$4:$F$503,(_calc!$E$455-500)))&amp;". ")&amp;IF(LEN(IF(LEN(INDEX('Vendor COIs'!$G$4:$G$503,(_calc!$E$455-500)))=0,"",INDEX('Vendor COIs'!$G$4:$G$503,(_calc!$E$455-500))))=0,"","Additional insured: "&amp;IF(LEN(INDEX('Vendor COIs'!$G$4:$G$503,(_calc!$E$455-500)))=0,"",INDEX('Vendor COIs'!$G$4:$G$503,(_calc!$E$455-500)))&amp;". ")&amp;IF(LEN(IF(LEN(INDEX('Vendor COIs'!$M$4:$M$503,(_calc!$E$455-500)))=0,"",INDEX('Vendor COIs'!$M$4:$M$503,(_calc!$E$455-500))))=0,"","Vendor contact: "&amp;IF(LEN(INDEX('Vendor COIs'!$M$4:$M$503,(_calc!$E$455-500)))=0,"",INDEX('Vendor COIs'!$M$4:$M$503,(_calc!$E$455-500)))&amp;". ")&amp;IF(LEN(IF(LEN(INDEX('Vendor COIs'!$P$4:$P$503,(_calc!$E$455-500)))=0,"",INDEX('Vendor COIs'!$P$4:$P$503,(_calc!$E$455-500))))=0,"",IF(LEN(INDEX('Vendor COIs'!$P$4:$P$503,(_calc!$E$455-500)))=0,"",INDEX('Vendor COIs'!$P$4:$P$503,(_calc!$E$455-500)))))))</f>
        <v/>
      </c>
      <c r="G453" s="46">
        <f>IF(_calc!$E$455="","",IF(_calc!$E$455&lt;=500,IF(LEN(INDEX('Our policies'!$R$4:$R$503,_calc!$E$455))=0,"",INDEX('Our policies'!$R$4:$R$503,_calc!$E$455)),IF(LEN(INDEX('Vendor COIs'!$O$4:$O$503,(_calc!$E$455-500)))=0,"",INDEX('Vendor COIs'!$O$4:$O$503,(_calc!$E$455-500)))))</f>
        <v/>
      </c>
      <c r="H453" s="46">
        <f>IF(_calc!$E$455="","",IF(_calc!$E$455&lt;=500,IF(LEN(INDEX('Our policies'!$G$4:$G$503,_calc!$E$455))=0,"",INDEX('Our policies'!$G$4:$G$503,_calc!$E$455)),""))</f>
        <v/>
      </c>
      <c r="I453" s="46">
        <f>IF(_calc!$E$455="","",IF(_calc!$E$455&lt;=500,IF(LEN(INDEX('Our policies'!$H$4:$H$503,_calc!$E$455))=0,"",INDEX('Our policies'!$H$4:$H$503,_calc!$E$455)),""))</f>
        <v/>
      </c>
      <c r="K453" s="46">
        <f>IF(_calc!$E$455="","",IF(_calc!$E$455&lt;=500,IF(LEN(INDEX('Our policies'!$P$4:$P$503,_calc!$E$455))=0,"",INDEX('Our policies'!$P$4:$P$503,_calc!$E$455)),IF(LEN(INDEX('Vendor COIs'!$N$4:$N$503,(_calc!$E$455-500)))=0,"",INDEX('Vendor COIs'!$N$4:$N$503,(_calc!$E$455-500)))))</f>
        <v/>
      </c>
    </row>
    <row r="454">
      <c r="A454" s="46">
        <f>IF(_calc!$E$456="","",IF(_calc!$E$456&lt;=500,IF(LEN(INDEX('Our policies'!$A$4:$A$503,_calc!$E$456))=0,"",INDEX('Our policies'!$A$4:$A$503,_calc!$E$456)),"COI – "&amp;IF(LEN(INDEX('Vendor COIs'!$A$4:$A$503,(_calc!$E$456-500)))=0,"",INDEX('Vendor COIs'!$A$4:$A$503,(_calc!$E$456-500)))&amp;" – "&amp;IF(LEN(INDEX('Vendor COIs'!$B$4:$B$503,(_calc!$E$456-500)))=0,"",INDEX('Vendor COIs'!$B$4:$B$503,(_calc!$E$456-500)))))</f>
        <v/>
      </c>
      <c r="B454" s="46">
        <f>IF(_calc!$E$456="","",IF(_calc!$E$456&lt;=500,IF(ISNUMBER(INDEX('Our policies'!$J$4:$J$503,_calc!$E$456)),TEXT(INDEX('Our policies'!$J$4:$J$503,_calc!$E$456),"yyyy-mm-dd"),""),IF(ISNUMBER(INDEX('Vendor COIs'!$H$4:$H$503,(_calc!$E$456-500))),TEXT(INDEX('Vendor COIs'!$H$4:$H$503,(_calc!$E$456-500)),"yyyy-mm-dd"),"")))</f>
        <v/>
      </c>
      <c r="C454" s="46">
        <f>IF(_calc!$E$456="","",IF(_calc!$E$456&lt;=500,"Insurance","Certificate of insurance"))</f>
        <v/>
      </c>
      <c r="D454" s="46">
        <f>IF(_calc!$E$456="","",IF(_calc!$E$456&lt;=500,IF(ISNUMBER(INDEX('Our policies'!$I$4:$I$503,_calc!$E$456)),TEXT(INDEX('Our policies'!$I$4:$I$503,_calc!$E$456),"yyyy-mm-dd"),""),""))</f>
        <v/>
      </c>
      <c r="E454" s="46">
        <f>IF(_calc!$E$456="","",IF(_calc!$E$456&lt;=500,IF(LEN(INDEX('Our policies'!$Q$4:$Q$503,_calc!$E$456))=0,"",INDEX('Our policies'!$Q$4:$Q$503,_calc!$E$456)),"Medium"))</f>
        <v/>
      </c>
      <c r="F454" s="46">
        <f>IF(_calc!$E$456="","",IF(_calc!$E$456&lt;=500,TRIM(IF(LEN(IF(LEN(INDEX('Our policies'!$B$4:$B$503,_calc!$E$456))=0,"",INDEX('Our policies'!$B$4:$B$503,_calc!$E$456)))=0,"","Cover: "&amp;IF(LEN(INDEX('Our policies'!$B$4:$B$503,_calc!$E$456))=0,"",INDEX('Our policies'!$B$4:$B$503,_calc!$E$456))&amp;". ")&amp;IF(LEN(IF(LEN(INDEX('Our policies'!$C$4:$C$503,_calc!$E$456))=0,"",INDEX('Our policies'!$C$4:$C$503,_calc!$E$456)))=0,"","Insurer: "&amp;IF(LEN(INDEX('Our policies'!$C$4:$C$503,_calc!$E$456))=0,"",INDEX('Our policies'!$C$4:$C$503,_calc!$E$456))&amp;". ")&amp;IF(LEN(IF(LEN(INDEX('Our policies'!$D$4:$D$503,_calc!$E$456))=0,"",INDEX('Our policies'!$D$4:$D$503,_calc!$E$456)))=0,"","Broker: "&amp;IF(LEN(INDEX('Our policies'!$D$4:$D$503,_calc!$E$456))=0,"",INDEX('Our policies'!$D$4:$D$503,_calc!$E$456))&amp;". ")&amp;IF(LEN(IF(LEN(INDEX('Our policies'!$E$4:$E$503,_calc!$E$456))=0,"",INDEX('Our policies'!$E$4:$E$503,_calc!$E$456)))=0,"","Policy no.: "&amp;IF(LEN(INDEX('Our policies'!$E$4:$E$503,_calc!$E$456))=0,"",INDEX('Our policies'!$E$4:$E$503,_calc!$E$456))&amp;". ")&amp;IF(LEN(IF(LEN(INDEX('Our policies'!$S$4:$S$503,_calc!$E$456))=0,"",INDEX('Our policies'!$S$4:$S$503,_calc!$E$456)))=0,"",IF(LEN(INDEX('Our policies'!$S$4:$S$503,_calc!$E$456))=0,"",INDEX('Our policies'!$S$4:$S$503,_calc!$E$456)))),TRIM(IF(LEN(IF(LEN(INDEX('Vendor COIs'!$C$4:$C$503,(_calc!$E$456-500)))=0,"",INDEX('Vendor COIs'!$C$4:$C$503,(_calc!$E$456-500))))=0,"","Insurer: "&amp;IF(LEN(INDEX('Vendor COIs'!$C$4:$C$503,(_calc!$E$456-500)))=0,"",INDEX('Vendor COIs'!$C$4:$C$503,(_calc!$E$456-500)))&amp;". ")&amp;IF(LEN(IF(LEN(INDEX('Vendor COIs'!$D$4:$D$503,(_calc!$E$456-500)))=0,"",INDEX('Vendor COIs'!$D$4:$D$503,(_calc!$E$456-500))))=0,"","Policy no.: "&amp;IF(LEN(INDEX('Vendor COIs'!$D$4:$D$503,(_calc!$E$456-500)))=0,"",INDEX('Vendor COIs'!$D$4:$D$503,(_calc!$E$456-500)))&amp;". ")&amp;IF(LEN(IF(LEN(INDEX('Vendor COIs'!$F$4:$F$503,(_calc!$E$456-500)))=0,"",INDEX('Vendor COIs'!$F$4:$F$503,(_calc!$E$456-500))))=0,"","Meets minimum: "&amp;IF(LEN(INDEX('Vendor COIs'!$F$4:$F$503,(_calc!$E$456-500)))=0,"",INDEX('Vendor COIs'!$F$4:$F$503,(_calc!$E$456-500)))&amp;". ")&amp;IF(LEN(IF(LEN(INDEX('Vendor COIs'!$G$4:$G$503,(_calc!$E$456-500)))=0,"",INDEX('Vendor COIs'!$G$4:$G$503,(_calc!$E$456-500))))=0,"","Additional insured: "&amp;IF(LEN(INDEX('Vendor COIs'!$G$4:$G$503,(_calc!$E$456-500)))=0,"",INDEX('Vendor COIs'!$G$4:$G$503,(_calc!$E$456-500)))&amp;". ")&amp;IF(LEN(IF(LEN(INDEX('Vendor COIs'!$M$4:$M$503,(_calc!$E$456-500)))=0,"",INDEX('Vendor COIs'!$M$4:$M$503,(_calc!$E$456-500))))=0,"","Vendor contact: "&amp;IF(LEN(INDEX('Vendor COIs'!$M$4:$M$503,(_calc!$E$456-500)))=0,"",INDEX('Vendor COIs'!$M$4:$M$503,(_calc!$E$456-500)))&amp;". ")&amp;IF(LEN(IF(LEN(INDEX('Vendor COIs'!$P$4:$P$503,(_calc!$E$456-500)))=0,"",INDEX('Vendor COIs'!$P$4:$P$503,(_calc!$E$456-500))))=0,"",IF(LEN(INDEX('Vendor COIs'!$P$4:$P$503,(_calc!$E$456-500)))=0,"",INDEX('Vendor COIs'!$P$4:$P$503,(_calc!$E$456-500)))))))</f>
        <v/>
      </c>
      <c r="G454" s="46">
        <f>IF(_calc!$E$456="","",IF(_calc!$E$456&lt;=500,IF(LEN(INDEX('Our policies'!$R$4:$R$503,_calc!$E$456))=0,"",INDEX('Our policies'!$R$4:$R$503,_calc!$E$456)),IF(LEN(INDEX('Vendor COIs'!$O$4:$O$503,(_calc!$E$456-500)))=0,"",INDEX('Vendor COIs'!$O$4:$O$503,(_calc!$E$456-500)))))</f>
        <v/>
      </c>
      <c r="H454" s="46">
        <f>IF(_calc!$E$456="","",IF(_calc!$E$456&lt;=500,IF(LEN(INDEX('Our policies'!$G$4:$G$503,_calc!$E$456))=0,"",INDEX('Our policies'!$G$4:$G$503,_calc!$E$456)),""))</f>
        <v/>
      </c>
      <c r="I454" s="46">
        <f>IF(_calc!$E$456="","",IF(_calc!$E$456&lt;=500,IF(LEN(INDEX('Our policies'!$H$4:$H$503,_calc!$E$456))=0,"",INDEX('Our policies'!$H$4:$H$503,_calc!$E$456)),""))</f>
        <v/>
      </c>
      <c r="K454" s="46">
        <f>IF(_calc!$E$456="","",IF(_calc!$E$456&lt;=500,IF(LEN(INDEX('Our policies'!$P$4:$P$503,_calc!$E$456))=0,"",INDEX('Our policies'!$P$4:$P$503,_calc!$E$456)),IF(LEN(INDEX('Vendor COIs'!$N$4:$N$503,(_calc!$E$456-500)))=0,"",INDEX('Vendor COIs'!$N$4:$N$503,(_calc!$E$456-500)))))</f>
        <v/>
      </c>
    </row>
    <row r="455">
      <c r="A455" s="46">
        <f>IF(_calc!$E$457="","",IF(_calc!$E$457&lt;=500,IF(LEN(INDEX('Our policies'!$A$4:$A$503,_calc!$E$457))=0,"",INDEX('Our policies'!$A$4:$A$503,_calc!$E$457)),"COI – "&amp;IF(LEN(INDEX('Vendor COIs'!$A$4:$A$503,(_calc!$E$457-500)))=0,"",INDEX('Vendor COIs'!$A$4:$A$503,(_calc!$E$457-500)))&amp;" – "&amp;IF(LEN(INDEX('Vendor COIs'!$B$4:$B$503,(_calc!$E$457-500)))=0,"",INDEX('Vendor COIs'!$B$4:$B$503,(_calc!$E$457-500)))))</f>
        <v/>
      </c>
      <c r="B455" s="46">
        <f>IF(_calc!$E$457="","",IF(_calc!$E$457&lt;=500,IF(ISNUMBER(INDEX('Our policies'!$J$4:$J$503,_calc!$E$457)),TEXT(INDEX('Our policies'!$J$4:$J$503,_calc!$E$457),"yyyy-mm-dd"),""),IF(ISNUMBER(INDEX('Vendor COIs'!$H$4:$H$503,(_calc!$E$457-500))),TEXT(INDEX('Vendor COIs'!$H$4:$H$503,(_calc!$E$457-500)),"yyyy-mm-dd"),"")))</f>
        <v/>
      </c>
      <c r="C455" s="46">
        <f>IF(_calc!$E$457="","",IF(_calc!$E$457&lt;=500,"Insurance","Certificate of insurance"))</f>
        <v/>
      </c>
      <c r="D455" s="46">
        <f>IF(_calc!$E$457="","",IF(_calc!$E$457&lt;=500,IF(ISNUMBER(INDEX('Our policies'!$I$4:$I$503,_calc!$E$457)),TEXT(INDEX('Our policies'!$I$4:$I$503,_calc!$E$457),"yyyy-mm-dd"),""),""))</f>
        <v/>
      </c>
      <c r="E455" s="46">
        <f>IF(_calc!$E$457="","",IF(_calc!$E$457&lt;=500,IF(LEN(INDEX('Our policies'!$Q$4:$Q$503,_calc!$E$457))=0,"",INDEX('Our policies'!$Q$4:$Q$503,_calc!$E$457)),"Medium"))</f>
        <v/>
      </c>
      <c r="F455" s="46">
        <f>IF(_calc!$E$457="","",IF(_calc!$E$457&lt;=500,TRIM(IF(LEN(IF(LEN(INDEX('Our policies'!$B$4:$B$503,_calc!$E$457))=0,"",INDEX('Our policies'!$B$4:$B$503,_calc!$E$457)))=0,"","Cover: "&amp;IF(LEN(INDEX('Our policies'!$B$4:$B$503,_calc!$E$457))=0,"",INDEX('Our policies'!$B$4:$B$503,_calc!$E$457))&amp;". ")&amp;IF(LEN(IF(LEN(INDEX('Our policies'!$C$4:$C$503,_calc!$E$457))=0,"",INDEX('Our policies'!$C$4:$C$503,_calc!$E$457)))=0,"","Insurer: "&amp;IF(LEN(INDEX('Our policies'!$C$4:$C$503,_calc!$E$457))=0,"",INDEX('Our policies'!$C$4:$C$503,_calc!$E$457))&amp;". ")&amp;IF(LEN(IF(LEN(INDEX('Our policies'!$D$4:$D$503,_calc!$E$457))=0,"",INDEX('Our policies'!$D$4:$D$503,_calc!$E$457)))=0,"","Broker: "&amp;IF(LEN(INDEX('Our policies'!$D$4:$D$503,_calc!$E$457))=0,"",INDEX('Our policies'!$D$4:$D$503,_calc!$E$457))&amp;". ")&amp;IF(LEN(IF(LEN(INDEX('Our policies'!$E$4:$E$503,_calc!$E$457))=0,"",INDEX('Our policies'!$E$4:$E$503,_calc!$E$457)))=0,"","Policy no.: "&amp;IF(LEN(INDEX('Our policies'!$E$4:$E$503,_calc!$E$457))=0,"",INDEX('Our policies'!$E$4:$E$503,_calc!$E$457))&amp;". ")&amp;IF(LEN(IF(LEN(INDEX('Our policies'!$S$4:$S$503,_calc!$E$457))=0,"",INDEX('Our policies'!$S$4:$S$503,_calc!$E$457)))=0,"",IF(LEN(INDEX('Our policies'!$S$4:$S$503,_calc!$E$457))=0,"",INDEX('Our policies'!$S$4:$S$503,_calc!$E$457)))),TRIM(IF(LEN(IF(LEN(INDEX('Vendor COIs'!$C$4:$C$503,(_calc!$E$457-500)))=0,"",INDEX('Vendor COIs'!$C$4:$C$503,(_calc!$E$457-500))))=0,"","Insurer: "&amp;IF(LEN(INDEX('Vendor COIs'!$C$4:$C$503,(_calc!$E$457-500)))=0,"",INDEX('Vendor COIs'!$C$4:$C$503,(_calc!$E$457-500)))&amp;". ")&amp;IF(LEN(IF(LEN(INDEX('Vendor COIs'!$D$4:$D$503,(_calc!$E$457-500)))=0,"",INDEX('Vendor COIs'!$D$4:$D$503,(_calc!$E$457-500))))=0,"","Policy no.: "&amp;IF(LEN(INDEX('Vendor COIs'!$D$4:$D$503,(_calc!$E$457-500)))=0,"",INDEX('Vendor COIs'!$D$4:$D$503,(_calc!$E$457-500)))&amp;". ")&amp;IF(LEN(IF(LEN(INDEX('Vendor COIs'!$F$4:$F$503,(_calc!$E$457-500)))=0,"",INDEX('Vendor COIs'!$F$4:$F$503,(_calc!$E$457-500))))=0,"","Meets minimum: "&amp;IF(LEN(INDEX('Vendor COIs'!$F$4:$F$503,(_calc!$E$457-500)))=0,"",INDEX('Vendor COIs'!$F$4:$F$503,(_calc!$E$457-500)))&amp;". ")&amp;IF(LEN(IF(LEN(INDEX('Vendor COIs'!$G$4:$G$503,(_calc!$E$457-500)))=0,"",INDEX('Vendor COIs'!$G$4:$G$503,(_calc!$E$457-500))))=0,"","Additional insured: "&amp;IF(LEN(INDEX('Vendor COIs'!$G$4:$G$503,(_calc!$E$457-500)))=0,"",INDEX('Vendor COIs'!$G$4:$G$503,(_calc!$E$457-500)))&amp;". ")&amp;IF(LEN(IF(LEN(INDEX('Vendor COIs'!$M$4:$M$503,(_calc!$E$457-500)))=0,"",INDEX('Vendor COIs'!$M$4:$M$503,(_calc!$E$457-500))))=0,"","Vendor contact: "&amp;IF(LEN(INDEX('Vendor COIs'!$M$4:$M$503,(_calc!$E$457-500)))=0,"",INDEX('Vendor COIs'!$M$4:$M$503,(_calc!$E$457-500)))&amp;". ")&amp;IF(LEN(IF(LEN(INDEX('Vendor COIs'!$P$4:$P$503,(_calc!$E$457-500)))=0,"",INDEX('Vendor COIs'!$P$4:$P$503,(_calc!$E$457-500))))=0,"",IF(LEN(INDEX('Vendor COIs'!$P$4:$P$503,(_calc!$E$457-500)))=0,"",INDEX('Vendor COIs'!$P$4:$P$503,(_calc!$E$457-500)))))))</f>
        <v/>
      </c>
      <c r="G455" s="46">
        <f>IF(_calc!$E$457="","",IF(_calc!$E$457&lt;=500,IF(LEN(INDEX('Our policies'!$R$4:$R$503,_calc!$E$457))=0,"",INDEX('Our policies'!$R$4:$R$503,_calc!$E$457)),IF(LEN(INDEX('Vendor COIs'!$O$4:$O$503,(_calc!$E$457-500)))=0,"",INDEX('Vendor COIs'!$O$4:$O$503,(_calc!$E$457-500)))))</f>
        <v/>
      </c>
      <c r="H455" s="46">
        <f>IF(_calc!$E$457="","",IF(_calc!$E$457&lt;=500,IF(LEN(INDEX('Our policies'!$G$4:$G$503,_calc!$E$457))=0,"",INDEX('Our policies'!$G$4:$G$503,_calc!$E$457)),""))</f>
        <v/>
      </c>
      <c r="I455" s="46">
        <f>IF(_calc!$E$457="","",IF(_calc!$E$457&lt;=500,IF(LEN(INDEX('Our policies'!$H$4:$H$503,_calc!$E$457))=0,"",INDEX('Our policies'!$H$4:$H$503,_calc!$E$457)),""))</f>
        <v/>
      </c>
      <c r="K455" s="46">
        <f>IF(_calc!$E$457="","",IF(_calc!$E$457&lt;=500,IF(LEN(INDEX('Our policies'!$P$4:$P$503,_calc!$E$457))=0,"",INDEX('Our policies'!$P$4:$P$503,_calc!$E$457)),IF(LEN(INDEX('Vendor COIs'!$N$4:$N$503,(_calc!$E$457-500)))=0,"",INDEX('Vendor COIs'!$N$4:$N$503,(_calc!$E$457-500)))))</f>
        <v/>
      </c>
    </row>
    <row r="456">
      <c r="A456" s="46">
        <f>IF(_calc!$E$458="","",IF(_calc!$E$458&lt;=500,IF(LEN(INDEX('Our policies'!$A$4:$A$503,_calc!$E$458))=0,"",INDEX('Our policies'!$A$4:$A$503,_calc!$E$458)),"COI – "&amp;IF(LEN(INDEX('Vendor COIs'!$A$4:$A$503,(_calc!$E$458-500)))=0,"",INDEX('Vendor COIs'!$A$4:$A$503,(_calc!$E$458-500)))&amp;" – "&amp;IF(LEN(INDEX('Vendor COIs'!$B$4:$B$503,(_calc!$E$458-500)))=0,"",INDEX('Vendor COIs'!$B$4:$B$503,(_calc!$E$458-500)))))</f>
        <v/>
      </c>
      <c r="B456" s="46">
        <f>IF(_calc!$E$458="","",IF(_calc!$E$458&lt;=500,IF(ISNUMBER(INDEX('Our policies'!$J$4:$J$503,_calc!$E$458)),TEXT(INDEX('Our policies'!$J$4:$J$503,_calc!$E$458),"yyyy-mm-dd"),""),IF(ISNUMBER(INDEX('Vendor COIs'!$H$4:$H$503,(_calc!$E$458-500))),TEXT(INDEX('Vendor COIs'!$H$4:$H$503,(_calc!$E$458-500)),"yyyy-mm-dd"),"")))</f>
        <v/>
      </c>
      <c r="C456" s="46">
        <f>IF(_calc!$E$458="","",IF(_calc!$E$458&lt;=500,"Insurance","Certificate of insurance"))</f>
        <v/>
      </c>
      <c r="D456" s="46">
        <f>IF(_calc!$E$458="","",IF(_calc!$E$458&lt;=500,IF(ISNUMBER(INDEX('Our policies'!$I$4:$I$503,_calc!$E$458)),TEXT(INDEX('Our policies'!$I$4:$I$503,_calc!$E$458),"yyyy-mm-dd"),""),""))</f>
        <v/>
      </c>
      <c r="E456" s="46">
        <f>IF(_calc!$E$458="","",IF(_calc!$E$458&lt;=500,IF(LEN(INDEX('Our policies'!$Q$4:$Q$503,_calc!$E$458))=0,"",INDEX('Our policies'!$Q$4:$Q$503,_calc!$E$458)),"Medium"))</f>
        <v/>
      </c>
      <c r="F456" s="46">
        <f>IF(_calc!$E$458="","",IF(_calc!$E$458&lt;=500,TRIM(IF(LEN(IF(LEN(INDEX('Our policies'!$B$4:$B$503,_calc!$E$458))=0,"",INDEX('Our policies'!$B$4:$B$503,_calc!$E$458)))=0,"","Cover: "&amp;IF(LEN(INDEX('Our policies'!$B$4:$B$503,_calc!$E$458))=0,"",INDEX('Our policies'!$B$4:$B$503,_calc!$E$458))&amp;". ")&amp;IF(LEN(IF(LEN(INDEX('Our policies'!$C$4:$C$503,_calc!$E$458))=0,"",INDEX('Our policies'!$C$4:$C$503,_calc!$E$458)))=0,"","Insurer: "&amp;IF(LEN(INDEX('Our policies'!$C$4:$C$503,_calc!$E$458))=0,"",INDEX('Our policies'!$C$4:$C$503,_calc!$E$458))&amp;". ")&amp;IF(LEN(IF(LEN(INDEX('Our policies'!$D$4:$D$503,_calc!$E$458))=0,"",INDEX('Our policies'!$D$4:$D$503,_calc!$E$458)))=0,"","Broker: "&amp;IF(LEN(INDEX('Our policies'!$D$4:$D$503,_calc!$E$458))=0,"",INDEX('Our policies'!$D$4:$D$503,_calc!$E$458))&amp;". ")&amp;IF(LEN(IF(LEN(INDEX('Our policies'!$E$4:$E$503,_calc!$E$458))=0,"",INDEX('Our policies'!$E$4:$E$503,_calc!$E$458)))=0,"","Policy no.: "&amp;IF(LEN(INDEX('Our policies'!$E$4:$E$503,_calc!$E$458))=0,"",INDEX('Our policies'!$E$4:$E$503,_calc!$E$458))&amp;". ")&amp;IF(LEN(IF(LEN(INDEX('Our policies'!$S$4:$S$503,_calc!$E$458))=0,"",INDEX('Our policies'!$S$4:$S$503,_calc!$E$458)))=0,"",IF(LEN(INDEX('Our policies'!$S$4:$S$503,_calc!$E$458))=0,"",INDEX('Our policies'!$S$4:$S$503,_calc!$E$458)))),TRIM(IF(LEN(IF(LEN(INDEX('Vendor COIs'!$C$4:$C$503,(_calc!$E$458-500)))=0,"",INDEX('Vendor COIs'!$C$4:$C$503,(_calc!$E$458-500))))=0,"","Insurer: "&amp;IF(LEN(INDEX('Vendor COIs'!$C$4:$C$503,(_calc!$E$458-500)))=0,"",INDEX('Vendor COIs'!$C$4:$C$503,(_calc!$E$458-500)))&amp;". ")&amp;IF(LEN(IF(LEN(INDEX('Vendor COIs'!$D$4:$D$503,(_calc!$E$458-500)))=0,"",INDEX('Vendor COIs'!$D$4:$D$503,(_calc!$E$458-500))))=0,"","Policy no.: "&amp;IF(LEN(INDEX('Vendor COIs'!$D$4:$D$503,(_calc!$E$458-500)))=0,"",INDEX('Vendor COIs'!$D$4:$D$503,(_calc!$E$458-500)))&amp;". ")&amp;IF(LEN(IF(LEN(INDEX('Vendor COIs'!$F$4:$F$503,(_calc!$E$458-500)))=0,"",INDEX('Vendor COIs'!$F$4:$F$503,(_calc!$E$458-500))))=0,"","Meets minimum: "&amp;IF(LEN(INDEX('Vendor COIs'!$F$4:$F$503,(_calc!$E$458-500)))=0,"",INDEX('Vendor COIs'!$F$4:$F$503,(_calc!$E$458-500)))&amp;". ")&amp;IF(LEN(IF(LEN(INDEX('Vendor COIs'!$G$4:$G$503,(_calc!$E$458-500)))=0,"",INDEX('Vendor COIs'!$G$4:$G$503,(_calc!$E$458-500))))=0,"","Additional insured: "&amp;IF(LEN(INDEX('Vendor COIs'!$G$4:$G$503,(_calc!$E$458-500)))=0,"",INDEX('Vendor COIs'!$G$4:$G$503,(_calc!$E$458-500)))&amp;". ")&amp;IF(LEN(IF(LEN(INDEX('Vendor COIs'!$M$4:$M$503,(_calc!$E$458-500)))=0,"",INDEX('Vendor COIs'!$M$4:$M$503,(_calc!$E$458-500))))=0,"","Vendor contact: "&amp;IF(LEN(INDEX('Vendor COIs'!$M$4:$M$503,(_calc!$E$458-500)))=0,"",INDEX('Vendor COIs'!$M$4:$M$503,(_calc!$E$458-500)))&amp;". ")&amp;IF(LEN(IF(LEN(INDEX('Vendor COIs'!$P$4:$P$503,(_calc!$E$458-500)))=0,"",INDEX('Vendor COIs'!$P$4:$P$503,(_calc!$E$458-500))))=0,"",IF(LEN(INDEX('Vendor COIs'!$P$4:$P$503,(_calc!$E$458-500)))=0,"",INDEX('Vendor COIs'!$P$4:$P$503,(_calc!$E$458-500)))))))</f>
        <v/>
      </c>
      <c r="G456" s="46">
        <f>IF(_calc!$E$458="","",IF(_calc!$E$458&lt;=500,IF(LEN(INDEX('Our policies'!$R$4:$R$503,_calc!$E$458))=0,"",INDEX('Our policies'!$R$4:$R$503,_calc!$E$458)),IF(LEN(INDEX('Vendor COIs'!$O$4:$O$503,(_calc!$E$458-500)))=0,"",INDEX('Vendor COIs'!$O$4:$O$503,(_calc!$E$458-500)))))</f>
        <v/>
      </c>
      <c r="H456" s="46">
        <f>IF(_calc!$E$458="","",IF(_calc!$E$458&lt;=500,IF(LEN(INDEX('Our policies'!$G$4:$G$503,_calc!$E$458))=0,"",INDEX('Our policies'!$G$4:$G$503,_calc!$E$458)),""))</f>
        <v/>
      </c>
      <c r="I456" s="46">
        <f>IF(_calc!$E$458="","",IF(_calc!$E$458&lt;=500,IF(LEN(INDEX('Our policies'!$H$4:$H$503,_calc!$E$458))=0,"",INDEX('Our policies'!$H$4:$H$503,_calc!$E$458)),""))</f>
        <v/>
      </c>
      <c r="K456" s="46">
        <f>IF(_calc!$E$458="","",IF(_calc!$E$458&lt;=500,IF(LEN(INDEX('Our policies'!$P$4:$P$503,_calc!$E$458))=0,"",INDEX('Our policies'!$P$4:$P$503,_calc!$E$458)),IF(LEN(INDEX('Vendor COIs'!$N$4:$N$503,(_calc!$E$458-500)))=0,"",INDEX('Vendor COIs'!$N$4:$N$503,(_calc!$E$458-500)))))</f>
        <v/>
      </c>
    </row>
    <row r="457">
      <c r="A457" s="46">
        <f>IF(_calc!$E$459="","",IF(_calc!$E$459&lt;=500,IF(LEN(INDEX('Our policies'!$A$4:$A$503,_calc!$E$459))=0,"",INDEX('Our policies'!$A$4:$A$503,_calc!$E$459)),"COI – "&amp;IF(LEN(INDEX('Vendor COIs'!$A$4:$A$503,(_calc!$E$459-500)))=0,"",INDEX('Vendor COIs'!$A$4:$A$503,(_calc!$E$459-500)))&amp;" – "&amp;IF(LEN(INDEX('Vendor COIs'!$B$4:$B$503,(_calc!$E$459-500)))=0,"",INDEX('Vendor COIs'!$B$4:$B$503,(_calc!$E$459-500)))))</f>
        <v/>
      </c>
      <c r="B457" s="46">
        <f>IF(_calc!$E$459="","",IF(_calc!$E$459&lt;=500,IF(ISNUMBER(INDEX('Our policies'!$J$4:$J$503,_calc!$E$459)),TEXT(INDEX('Our policies'!$J$4:$J$503,_calc!$E$459),"yyyy-mm-dd"),""),IF(ISNUMBER(INDEX('Vendor COIs'!$H$4:$H$503,(_calc!$E$459-500))),TEXT(INDEX('Vendor COIs'!$H$4:$H$503,(_calc!$E$459-500)),"yyyy-mm-dd"),"")))</f>
        <v/>
      </c>
      <c r="C457" s="46">
        <f>IF(_calc!$E$459="","",IF(_calc!$E$459&lt;=500,"Insurance","Certificate of insurance"))</f>
        <v/>
      </c>
      <c r="D457" s="46">
        <f>IF(_calc!$E$459="","",IF(_calc!$E$459&lt;=500,IF(ISNUMBER(INDEX('Our policies'!$I$4:$I$503,_calc!$E$459)),TEXT(INDEX('Our policies'!$I$4:$I$503,_calc!$E$459),"yyyy-mm-dd"),""),""))</f>
        <v/>
      </c>
      <c r="E457" s="46">
        <f>IF(_calc!$E$459="","",IF(_calc!$E$459&lt;=500,IF(LEN(INDEX('Our policies'!$Q$4:$Q$503,_calc!$E$459))=0,"",INDEX('Our policies'!$Q$4:$Q$503,_calc!$E$459)),"Medium"))</f>
        <v/>
      </c>
      <c r="F457" s="46">
        <f>IF(_calc!$E$459="","",IF(_calc!$E$459&lt;=500,TRIM(IF(LEN(IF(LEN(INDEX('Our policies'!$B$4:$B$503,_calc!$E$459))=0,"",INDEX('Our policies'!$B$4:$B$503,_calc!$E$459)))=0,"","Cover: "&amp;IF(LEN(INDEX('Our policies'!$B$4:$B$503,_calc!$E$459))=0,"",INDEX('Our policies'!$B$4:$B$503,_calc!$E$459))&amp;". ")&amp;IF(LEN(IF(LEN(INDEX('Our policies'!$C$4:$C$503,_calc!$E$459))=0,"",INDEX('Our policies'!$C$4:$C$503,_calc!$E$459)))=0,"","Insurer: "&amp;IF(LEN(INDEX('Our policies'!$C$4:$C$503,_calc!$E$459))=0,"",INDEX('Our policies'!$C$4:$C$503,_calc!$E$459))&amp;". ")&amp;IF(LEN(IF(LEN(INDEX('Our policies'!$D$4:$D$503,_calc!$E$459))=0,"",INDEX('Our policies'!$D$4:$D$503,_calc!$E$459)))=0,"","Broker: "&amp;IF(LEN(INDEX('Our policies'!$D$4:$D$503,_calc!$E$459))=0,"",INDEX('Our policies'!$D$4:$D$503,_calc!$E$459))&amp;". ")&amp;IF(LEN(IF(LEN(INDEX('Our policies'!$E$4:$E$503,_calc!$E$459))=0,"",INDEX('Our policies'!$E$4:$E$503,_calc!$E$459)))=0,"","Policy no.: "&amp;IF(LEN(INDEX('Our policies'!$E$4:$E$503,_calc!$E$459))=0,"",INDEX('Our policies'!$E$4:$E$503,_calc!$E$459))&amp;". ")&amp;IF(LEN(IF(LEN(INDEX('Our policies'!$S$4:$S$503,_calc!$E$459))=0,"",INDEX('Our policies'!$S$4:$S$503,_calc!$E$459)))=0,"",IF(LEN(INDEX('Our policies'!$S$4:$S$503,_calc!$E$459))=0,"",INDEX('Our policies'!$S$4:$S$503,_calc!$E$459)))),TRIM(IF(LEN(IF(LEN(INDEX('Vendor COIs'!$C$4:$C$503,(_calc!$E$459-500)))=0,"",INDEX('Vendor COIs'!$C$4:$C$503,(_calc!$E$459-500))))=0,"","Insurer: "&amp;IF(LEN(INDEX('Vendor COIs'!$C$4:$C$503,(_calc!$E$459-500)))=0,"",INDEX('Vendor COIs'!$C$4:$C$503,(_calc!$E$459-500)))&amp;". ")&amp;IF(LEN(IF(LEN(INDEX('Vendor COIs'!$D$4:$D$503,(_calc!$E$459-500)))=0,"",INDEX('Vendor COIs'!$D$4:$D$503,(_calc!$E$459-500))))=0,"","Policy no.: "&amp;IF(LEN(INDEX('Vendor COIs'!$D$4:$D$503,(_calc!$E$459-500)))=0,"",INDEX('Vendor COIs'!$D$4:$D$503,(_calc!$E$459-500)))&amp;". ")&amp;IF(LEN(IF(LEN(INDEX('Vendor COIs'!$F$4:$F$503,(_calc!$E$459-500)))=0,"",INDEX('Vendor COIs'!$F$4:$F$503,(_calc!$E$459-500))))=0,"","Meets minimum: "&amp;IF(LEN(INDEX('Vendor COIs'!$F$4:$F$503,(_calc!$E$459-500)))=0,"",INDEX('Vendor COIs'!$F$4:$F$503,(_calc!$E$459-500)))&amp;". ")&amp;IF(LEN(IF(LEN(INDEX('Vendor COIs'!$G$4:$G$503,(_calc!$E$459-500)))=0,"",INDEX('Vendor COIs'!$G$4:$G$503,(_calc!$E$459-500))))=0,"","Additional insured: "&amp;IF(LEN(INDEX('Vendor COIs'!$G$4:$G$503,(_calc!$E$459-500)))=0,"",INDEX('Vendor COIs'!$G$4:$G$503,(_calc!$E$459-500)))&amp;". ")&amp;IF(LEN(IF(LEN(INDEX('Vendor COIs'!$M$4:$M$503,(_calc!$E$459-500)))=0,"",INDEX('Vendor COIs'!$M$4:$M$503,(_calc!$E$459-500))))=0,"","Vendor contact: "&amp;IF(LEN(INDEX('Vendor COIs'!$M$4:$M$503,(_calc!$E$459-500)))=0,"",INDEX('Vendor COIs'!$M$4:$M$503,(_calc!$E$459-500)))&amp;". ")&amp;IF(LEN(IF(LEN(INDEX('Vendor COIs'!$P$4:$P$503,(_calc!$E$459-500)))=0,"",INDEX('Vendor COIs'!$P$4:$P$503,(_calc!$E$459-500))))=0,"",IF(LEN(INDEX('Vendor COIs'!$P$4:$P$503,(_calc!$E$459-500)))=0,"",INDEX('Vendor COIs'!$P$4:$P$503,(_calc!$E$459-500)))))))</f>
        <v/>
      </c>
      <c r="G457" s="46">
        <f>IF(_calc!$E$459="","",IF(_calc!$E$459&lt;=500,IF(LEN(INDEX('Our policies'!$R$4:$R$503,_calc!$E$459))=0,"",INDEX('Our policies'!$R$4:$R$503,_calc!$E$459)),IF(LEN(INDEX('Vendor COIs'!$O$4:$O$503,(_calc!$E$459-500)))=0,"",INDEX('Vendor COIs'!$O$4:$O$503,(_calc!$E$459-500)))))</f>
        <v/>
      </c>
      <c r="H457" s="46">
        <f>IF(_calc!$E$459="","",IF(_calc!$E$459&lt;=500,IF(LEN(INDEX('Our policies'!$G$4:$G$503,_calc!$E$459))=0,"",INDEX('Our policies'!$G$4:$G$503,_calc!$E$459)),""))</f>
        <v/>
      </c>
      <c r="I457" s="46">
        <f>IF(_calc!$E$459="","",IF(_calc!$E$459&lt;=500,IF(LEN(INDEX('Our policies'!$H$4:$H$503,_calc!$E$459))=0,"",INDEX('Our policies'!$H$4:$H$503,_calc!$E$459)),""))</f>
        <v/>
      </c>
      <c r="K457" s="46">
        <f>IF(_calc!$E$459="","",IF(_calc!$E$459&lt;=500,IF(LEN(INDEX('Our policies'!$P$4:$P$503,_calc!$E$459))=0,"",INDEX('Our policies'!$P$4:$P$503,_calc!$E$459)),IF(LEN(INDEX('Vendor COIs'!$N$4:$N$503,(_calc!$E$459-500)))=0,"",INDEX('Vendor COIs'!$N$4:$N$503,(_calc!$E$459-500)))))</f>
        <v/>
      </c>
    </row>
    <row r="458">
      <c r="A458" s="46">
        <f>IF(_calc!$E$460="","",IF(_calc!$E$460&lt;=500,IF(LEN(INDEX('Our policies'!$A$4:$A$503,_calc!$E$460))=0,"",INDEX('Our policies'!$A$4:$A$503,_calc!$E$460)),"COI – "&amp;IF(LEN(INDEX('Vendor COIs'!$A$4:$A$503,(_calc!$E$460-500)))=0,"",INDEX('Vendor COIs'!$A$4:$A$503,(_calc!$E$460-500)))&amp;" – "&amp;IF(LEN(INDEX('Vendor COIs'!$B$4:$B$503,(_calc!$E$460-500)))=0,"",INDEX('Vendor COIs'!$B$4:$B$503,(_calc!$E$460-500)))))</f>
        <v/>
      </c>
      <c r="B458" s="46">
        <f>IF(_calc!$E$460="","",IF(_calc!$E$460&lt;=500,IF(ISNUMBER(INDEX('Our policies'!$J$4:$J$503,_calc!$E$460)),TEXT(INDEX('Our policies'!$J$4:$J$503,_calc!$E$460),"yyyy-mm-dd"),""),IF(ISNUMBER(INDEX('Vendor COIs'!$H$4:$H$503,(_calc!$E$460-500))),TEXT(INDEX('Vendor COIs'!$H$4:$H$503,(_calc!$E$460-500)),"yyyy-mm-dd"),"")))</f>
        <v/>
      </c>
      <c r="C458" s="46">
        <f>IF(_calc!$E$460="","",IF(_calc!$E$460&lt;=500,"Insurance","Certificate of insurance"))</f>
        <v/>
      </c>
      <c r="D458" s="46">
        <f>IF(_calc!$E$460="","",IF(_calc!$E$460&lt;=500,IF(ISNUMBER(INDEX('Our policies'!$I$4:$I$503,_calc!$E$460)),TEXT(INDEX('Our policies'!$I$4:$I$503,_calc!$E$460),"yyyy-mm-dd"),""),""))</f>
        <v/>
      </c>
      <c r="E458" s="46">
        <f>IF(_calc!$E$460="","",IF(_calc!$E$460&lt;=500,IF(LEN(INDEX('Our policies'!$Q$4:$Q$503,_calc!$E$460))=0,"",INDEX('Our policies'!$Q$4:$Q$503,_calc!$E$460)),"Medium"))</f>
        <v/>
      </c>
      <c r="F458" s="46">
        <f>IF(_calc!$E$460="","",IF(_calc!$E$460&lt;=500,TRIM(IF(LEN(IF(LEN(INDEX('Our policies'!$B$4:$B$503,_calc!$E$460))=0,"",INDEX('Our policies'!$B$4:$B$503,_calc!$E$460)))=0,"","Cover: "&amp;IF(LEN(INDEX('Our policies'!$B$4:$B$503,_calc!$E$460))=0,"",INDEX('Our policies'!$B$4:$B$503,_calc!$E$460))&amp;". ")&amp;IF(LEN(IF(LEN(INDEX('Our policies'!$C$4:$C$503,_calc!$E$460))=0,"",INDEX('Our policies'!$C$4:$C$503,_calc!$E$460)))=0,"","Insurer: "&amp;IF(LEN(INDEX('Our policies'!$C$4:$C$503,_calc!$E$460))=0,"",INDEX('Our policies'!$C$4:$C$503,_calc!$E$460))&amp;". ")&amp;IF(LEN(IF(LEN(INDEX('Our policies'!$D$4:$D$503,_calc!$E$460))=0,"",INDEX('Our policies'!$D$4:$D$503,_calc!$E$460)))=0,"","Broker: "&amp;IF(LEN(INDEX('Our policies'!$D$4:$D$503,_calc!$E$460))=0,"",INDEX('Our policies'!$D$4:$D$503,_calc!$E$460))&amp;". ")&amp;IF(LEN(IF(LEN(INDEX('Our policies'!$E$4:$E$503,_calc!$E$460))=0,"",INDEX('Our policies'!$E$4:$E$503,_calc!$E$460)))=0,"","Policy no.: "&amp;IF(LEN(INDEX('Our policies'!$E$4:$E$503,_calc!$E$460))=0,"",INDEX('Our policies'!$E$4:$E$503,_calc!$E$460))&amp;". ")&amp;IF(LEN(IF(LEN(INDEX('Our policies'!$S$4:$S$503,_calc!$E$460))=0,"",INDEX('Our policies'!$S$4:$S$503,_calc!$E$460)))=0,"",IF(LEN(INDEX('Our policies'!$S$4:$S$503,_calc!$E$460))=0,"",INDEX('Our policies'!$S$4:$S$503,_calc!$E$460)))),TRIM(IF(LEN(IF(LEN(INDEX('Vendor COIs'!$C$4:$C$503,(_calc!$E$460-500)))=0,"",INDEX('Vendor COIs'!$C$4:$C$503,(_calc!$E$460-500))))=0,"","Insurer: "&amp;IF(LEN(INDEX('Vendor COIs'!$C$4:$C$503,(_calc!$E$460-500)))=0,"",INDEX('Vendor COIs'!$C$4:$C$503,(_calc!$E$460-500)))&amp;". ")&amp;IF(LEN(IF(LEN(INDEX('Vendor COIs'!$D$4:$D$503,(_calc!$E$460-500)))=0,"",INDEX('Vendor COIs'!$D$4:$D$503,(_calc!$E$460-500))))=0,"","Policy no.: "&amp;IF(LEN(INDEX('Vendor COIs'!$D$4:$D$503,(_calc!$E$460-500)))=0,"",INDEX('Vendor COIs'!$D$4:$D$503,(_calc!$E$460-500)))&amp;". ")&amp;IF(LEN(IF(LEN(INDEX('Vendor COIs'!$F$4:$F$503,(_calc!$E$460-500)))=0,"",INDEX('Vendor COIs'!$F$4:$F$503,(_calc!$E$460-500))))=0,"","Meets minimum: "&amp;IF(LEN(INDEX('Vendor COIs'!$F$4:$F$503,(_calc!$E$460-500)))=0,"",INDEX('Vendor COIs'!$F$4:$F$503,(_calc!$E$460-500)))&amp;". ")&amp;IF(LEN(IF(LEN(INDEX('Vendor COIs'!$G$4:$G$503,(_calc!$E$460-500)))=0,"",INDEX('Vendor COIs'!$G$4:$G$503,(_calc!$E$460-500))))=0,"","Additional insured: "&amp;IF(LEN(INDEX('Vendor COIs'!$G$4:$G$503,(_calc!$E$460-500)))=0,"",INDEX('Vendor COIs'!$G$4:$G$503,(_calc!$E$460-500)))&amp;". ")&amp;IF(LEN(IF(LEN(INDEX('Vendor COIs'!$M$4:$M$503,(_calc!$E$460-500)))=0,"",INDEX('Vendor COIs'!$M$4:$M$503,(_calc!$E$460-500))))=0,"","Vendor contact: "&amp;IF(LEN(INDEX('Vendor COIs'!$M$4:$M$503,(_calc!$E$460-500)))=0,"",INDEX('Vendor COIs'!$M$4:$M$503,(_calc!$E$460-500)))&amp;". ")&amp;IF(LEN(IF(LEN(INDEX('Vendor COIs'!$P$4:$P$503,(_calc!$E$460-500)))=0,"",INDEX('Vendor COIs'!$P$4:$P$503,(_calc!$E$460-500))))=0,"",IF(LEN(INDEX('Vendor COIs'!$P$4:$P$503,(_calc!$E$460-500)))=0,"",INDEX('Vendor COIs'!$P$4:$P$503,(_calc!$E$460-500)))))))</f>
        <v/>
      </c>
      <c r="G458" s="46">
        <f>IF(_calc!$E$460="","",IF(_calc!$E$460&lt;=500,IF(LEN(INDEX('Our policies'!$R$4:$R$503,_calc!$E$460))=0,"",INDEX('Our policies'!$R$4:$R$503,_calc!$E$460)),IF(LEN(INDEX('Vendor COIs'!$O$4:$O$503,(_calc!$E$460-500)))=0,"",INDEX('Vendor COIs'!$O$4:$O$503,(_calc!$E$460-500)))))</f>
        <v/>
      </c>
      <c r="H458" s="46">
        <f>IF(_calc!$E$460="","",IF(_calc!$E$460&lt;=500,IF(LEN(INDEX('Our policies'!$G$4:$G$503,_calc!$E$460))=0,"",INDEX('Our policies'!$G$4:$G$503,_calc!$E$460)),""))</f>
        <v/>
      </c>
      <c r="I458" s="46">
        <f>IF(_calc!$E$460="","",IF(_calc!$E$460&lt;=500,IF(LEN(INDEX('Our policies'!$H$4:$H$503,_calc!$E$460))=0,"",INDEX('Our policies'!$H$4:$H$503,_calc!$E$460)),""))</f>
        <v/>
      </c>
      <c r="K458" s="46">
        <f>IF(_calc!$E$460="","",IF(_calc!$E$460&lt;=500,IF(LEN(INDEX('Our policies'!$P$4:$P$503,_calc!$E$460))=0,"",INDEX('Our policies'!$P$4:$P$503,_calc!$E$460)),IF(LEN(INDEX('Vendor COIs'!$N$4:$N$503,(_calc!$E$460-500)))=0,"",INDEX('Vendor COIs'!$N$4:$N$503,(_calc!$E$460-500)))))</f>
        <v/>
      </c>
    </row>
    <row r="459">
      <c r="A459" s="46">
        <f>IF(_calc!$E$461="","",IF(_calc!$E$461&lt;=500,IF(LEN(INDEX('Our policies'!$A$4:$A$503,_calc!$E$461))=0,"",INDEX('Our policies'!$A$4:$A$503,_calc!$E$461)),"COI – "&amp;IF(LEN(INDEX('Vendor COIs'!$A$4:$A$503,(_calc!$E$461-500)))=0,"",INDEX('Vendor COIs'!$A$4:$A$503,(_calc!$E$461-500)))&amp;" – "&amp;IF(LEN(INDEX('Vendor COIs'!$B$4:$B$503,(_calc!$E$461-500)))=0,"",INDEX('Vendor COIs'!$B$4:$B$503,(_calc!$E$461-500)))))</f>
        <v/>
      </c>
      <c r="B459" s="46">
        <f>IF(_calc!$E$461="","",IF(_calc!$E$461&lt;=500,IF(ISNUMBER(INDEX('Our policies'!$J$4:$J$503,_calc!$E$461)),TEXT(INDEX('Our policies'!$J$4:$J$503,_calc!$E$461),"yyyy-mm-dd"),""),IF(ISNUMBER(INDEX('Vendor COIs'!$H$4:$H$503,(_calc!$E$461-500))),TEXT(INDEX('Vendor COIs'!$H$4:$H$503,(_calc!$E$461-500)),"yyyy-mm-dd"),"")))</f>
        <v/>
      </c>
      <c r="C459" s="46">
        <f>IF(_calc!$E$461="","",IF(_calc!$E$461&lt;=500,"Insurance","Certificate of insurance"))</f>
        <v/>
      </c>
      <c r="D459" s="46">
        <f>IF(_calc!$E$461="","",IF(_calc!$E$461&lt;=500,IF(ISNUMBER(INDEX('Our policies'!$I$4:$I$503,_calc!$E$461)),TEXT(INDEX('Our policies'!$I$4:$I$503,_calc!$E$461),"yyyy-mm-dd"),""),""))</f>
        <v/>
      </c>
      <c r="E459" s="46">
        <f>IF(_calc!$E$461="","",IF(_calc!$E$461&lt;=500,IF(LEN(INDEX('Our policies'!$Q$4:$Q$503,_calc!$E$461))=0,"",INDEX('Our policies'!$Q$4:$Q$503,_calc!$E$461)),"Medium"))</f>
        <v/>
      </c>
      <c r="F459" s="46">
        <f>IF(_calc!$E$461="","",IF(_calc!$E$461&lt;=500,TRIM(IF(LEN(IF(LEN(INDEX('Our policies'!$B$4:$B$503,_calc!$E$461))=0,"",INDEX('Our policies'!$B$4:$B$503,_calc!$E$461)))=0,"","Cover: "&amp;IF(LEN(INDEX('Our policies'!$B$4:$B$503,_calc!$E$461))=0,"",INDEX('Our policies'!$B$4:$B$503,_calc!$E$461))&amp;". ")&amp;IF(LEN(IF(LEN(INDEX('Our policies'!$C$4:$C$503,_calc!$E$461))=0,"",INDEX('Our policies'!$C$4:$C$503,_calc!$E$461)))=0,"","Insurer: "&amp;IF(LEN(INDEX('Our policies'!$C$4:$C$503,_calc!$E$461))=0,"",INDEX('Our policies'!$C$4:$C$503,_calc!$E$461))&amp;". ")&amp;IF(LEN(IF(LEN(INDEX('Our policies'!$D$4:$D$503,_calc!$E$461))=0,"",INDEX('Our policies'!$D$4:$D$503,_calc!$E$461)))=0,"","Broker: "&amp;IF(LEN(INDEX('Our policies'!$D$4:$D$503,_calc!$E$461))=0,"",INDEX('Our policies'!$D$4:$D$503,_calc!$E$461))&amp;". ")&amp;IF(LEN(IF(LEN(INDEX('Our policies'!$E$4:$E$503,_calc!$E$461))=0,"",INDEX('Our policies'!$E$4:$E$503,_calc!$E$461)))=0,"","Policy no.: "&amp;IF(LEN(INDEX('Our policies'!$E$4:$E$503,_calc!$E$461))=0,"",INDEX('Our policies'!$E$4:$E$503,_calc!$E$461))&amp;". ")&amp;IF(LEN(IF(LEN(INDEX('Our policies'!$S$4:$S$503,_calc!$E$461))=0,"",INDEX('Our policies'!$S$4:$S$503,_calc!$E$461)))=0,"",IF(LEN(INDEX('Our policies'!$S$4:$S$503,_calc!$E$461))=0,"",INDEX('Our policies'!$S$4:$S$503,_calc!$E$461)))),TRIM(IF(LEN(IF(LEN(INDEX('Vendor COIs'!$C$4:$C$503,(_calc!$E$461-500)))=0,"",INDEX('Vendor COIs'!$C$4:$C$503,(_calc!$E$461-500))))=0,"","Insurer: "&amp;IF(LEN(INDEX('Vendor COIs'!$C$4:$C$503,(_calc!$E$461-500)))=0,"",INDEX('Vendor COIs'!$C$4:$C$503,(_calc!$E$461-500)))&amp;". ")&amp;IF(LEN(IF(LEN(INDEX('Vendor COIs'!$D$4:$D$503,(_calc!$E$461-500)))=0,"",INDEX('Vendor COIs'!$D$4:$D$503,(_calc!$E$461-500))))=0,"","Policy no.: "&amp;IF(LEN(INDEX('Vendor COIs'!$D$4:$D$503,(_calc!$E$461-500)))=0,"",INDEX('Vendor COIs'!$D$4:$D$503,(_calc!$E$461-500)))&amp;". ")&amp;IF(LEN(IF(LEN(INDEX('Vendor COIs'!$F$4:$F$503,(_calc!$E$461-500)))=0,"",INDEX('Vendor COIs'!$F$4:$F$503,(_calc!$E$461-500))))=0,"","Meets minimum: "&amp;IF(LEN(INDEX('Vendor COIs'!$F$4:$F$503,(_calc!$E$461-500)))=0,"",INDEX('Vendor COIs'!$F$4:$F$503,(_calc!$E$461-500)))&amp;". ")&amp;IF(LEN(IF(LEN(INDEX('Vendor COIs'!$G$4:$G$503,(_calc!$E$461-500)))=0,"",INDEX('Vendor COIs'!$G$4:$G$503,(_calc!$E$461-500))))=0,"","Additional insured: "&amp;IF(LEN(INDEX('Vendor COIs'!$G$4:$G$503,(_calc!$E$461-500)))=0,"",INDEX('Vendor COIs'!$G$4:$G$503,(_calc!$E$461-500)))&amp;". ")&amp;IF(LEN(IF(LEN(INDEX('Vendor COIs'!$M$4:$M$503,(_calc!$E$461-500)))=0,"",INDEX('Vendor COIs'!$M$4:$M$503,(_calc!$E$461-500))))=0,"","Vendor contact: "&amp;IF(LEN(INDEX('Vendor COIs'!$M$4:$M$503,(_calc!$E$461-500)))=0,"",INDEX('Vendor COIs'!$M$4:$M$503,(_calc!$E$461-500)))&amp;". ")&amp;IF(LEN(IF(LEN(INDEX('Vendor COIs'!$P$4:$P$503,(_calc!$E$461-500)))=0,"",INDEX('Vendor COIs'!$P$4:$P$503,(_calc!$E$461-500))))=0,"",IF(LEN(INDEX('Vendor COIs'!$P$4:$P$503,(_calc!$E$461-500)))=0,"",INDEX('Vendor COIs'!$P$4:$P$503,(_calc!$E$461-500)))))))</f>
        <v/>
      </c>
      <c r="G459" s="46">
        <f>IF(_calc!$E$461="","",IF(_calc!$E$461&lt;=500,IF(LEN(INDEX('Our policies'!$R$4:$R$503,_calc!$E$461))=0,"",INDEX('Our policies'!$R$4:$R$503,_calc!$E$461)),IF(LEN(INDEX('Vendor COIs'!$O$4:$O$503,(_calc!$E$461-500)))=0,"",INDEX('Vendor COIs'!$O$4:$O$503,(_calc!$E$461-500)))))</f>
        <v/>
      </c>
      <c r="H459" s="46">
        <f>IF(_calc!$E$461="","",IF(_calc!$E$461&lt;=500,IF(LEN(INDEX('Our policies'!$G$4:$G$503,_calc!$E$461))=0,"",INDEX('Our policies'!$G$4:$G$503,_calc!$E$461)),""))</f>
        <v/>
      </c>
      <c r="I459" s="46">
        <f>IF(_calc!$E$461="","",IF(_calc!$E$461&lt;=500,IF(LEN(INDEX('Our policies'!$H$4:$H$503,_calc!$E$461))=0,"",INDEX('Our policies'!$H$4:$H$503,_calc!$E$461)),""))</f>
        <v/>
      </c>
      <c r="K459" s="46">
        <f>IF(_calc!$E$461="","",IF(_calc!$E$461&lt;=500,IF(LEN(INDEX('Our policies'!$P$4:$P$503,_calc!$E$461))=0,"",INDEX('Our policies'!$P$4:$P$503,_calc!$E$461)),IF(LEN(INDEX('Vendor COIs'!$N$4:$N$503,(_calc!$E$461-500)))=0,"",INDEX('Vendor COIs'!$N$4:$N$503,(_calc!$E$461-500)))))</f>
        <v/>
      </c>
    </row>
    <row r="460">
      <c r="A460" s="46">
        <f>IF(_calc!$E$462="","",IF(_calc!$E$462&lt;=500,IF(LEN(INDEX('Our policies'!$A$4:$A$503,_calc!$E$462))=0,"",INDEX('Our policies'!$A$4:$A$503,_calc!$E$462)),"COI – "&amp;IF(LEN(INDEX('Vendor COIs'!$A$4:$A$503,(_calc!$E$462-500)))=0,"",INDEX('Vendor COIs'!$A$4:$A$503,(_calc!$E$462-500)))&amp;" – "&amp;IF(LEN(INDEX('Vendor COIs'!$B$4:$B$503,(_calc!$E$462-500)))=0,"",INDEX('Vendor COIs'!$B$4:$B$503,(_calc!$E$462-500)))))</f>
        <v/>
      </c>
      <c r="B460" s="46">
        <f>IF(_calc!$E$462="","",IF(_calc!$E$462&lt;=500,IF(ISNUMBER(INDEX('Our policies'!$J$4:$J$503,_calc!$E$462)),TEXT(INDEX('Our policies'!$J$4:$J$503,_calc!$E$462),"yyyy-mm-dd"),""),IF(ISNUMBER(INDEX('Vendor COIs'!$H$4:$H$503,(_calc!$E$462-500))),TEXT(INDEX('Vendor COIs'!$H$4:$H$503,(_calc!$E$462-500)),"yyyy-mm-dd"),"")))</f>
        <v/>
      </c>
      <c r="C460" s="46">
        <f>IF(_calc!$E$462="","",IF(_calc!$E$462&lt;=500,"Insurance","Certificate of insurance"))</f>
        <v/>
      </c>
      <c r="D460" s="46">
        <f>IF(_calc!$E$462="","",IF(_calc!$E$462&lt;=500,IF(ISNUMBER(INDEX('Our policies'!$I$4:$I$503,_calc!$E$462)),TEXT(INDEX('Our policies'!$I$4:$I$503,_calc!$E$462),"yyyy-mm-dd"),""),""))</f>
        <v/>
      </c>
      <c r="E460" s="46">
        <f>IF(_calc!$E$462="","",IF(_calc!$E$462&lt;=500,IF(LEN(INDEX('Our policies'!$Q$4:$Q$503,_calc!$E$462))=0,"",INDEX('Our policies'!$Q$4:$Q$503,_calc!$E$462)),"Medium"))</f>
        <v/>
      </c>
      <c r="F460" s="46">
        <f>IF(_calc!$E$462="","",IF(_calc!$E$462&lt;=500,TRIM(IF(LEN(IF(LEN(INDEX('Our policies'!$B$4:$B$503,_calc!$E$462))=0,"",INDEX('Our policies'!$B$4:$B$503,_calc!$E$462)))=0,"","Cover: "&amp;IF(LEN(INDEX('Our policies'!$B$4:$B$503,_calc!$E$462))=0,"",INDEX('Our policies'!$B$4:$B$503,_calc!$E$462))&amp;". ")&amp;IF(LEN(IF(LEN(INDEX('Our policies'!$C$4:$C$503,_calc!$E$462))=0,"",INDEX('Our policies'!$C$4:$C$503,_calc!$E$462)))=0,"","Insurer: "&amp;IF(LEN(INDEX('Our policies'!$C$4:$C$503,_calc!$E$462))=0,"",INDEX('Our policies'!$C$4:$C$503,_calc!$E$462))&amp;". ")&amp;IF(LEN(IF(LEN(INDEX('Our policies'!$D$4:$D$503,_calc!$E$462))=0,"",INDEX('Our policies'!$D$4:$D$503,_calc!$E$462)))=0,"","Broker: "&amp;IF(LEN(INDEX('Our policies'!$D$4:$D$503,_calc!$E$462))=0,"",INDEX('Our policies'!$D$4:$D$503,_calc!$E$462))&amp;". ")&amp;IF(LEN(IF(LEN(INDEX('Our policies'!$E$4:$E$503,_calc!$E$462))=0,"",INDEX('Our policies'!$E$4:$E$503,_calc!$E$462)))=0,"","Policy no.: "&amp;IF(LEN(INDEX('Our policies'!$E$4:$E$503,_calc!$E$462))=0,"",INDEX('Our policies'!$E$4:$E$503,_calc!$E$462))&amp;". ")&amp;IF(LEN(IF(LEN(INDEX('Our policies'!$S$4:$S$503,_calc!$E$462))=0,"",INDEX('Our policies'!$S$4:$S$503,_calc!$E$462)))=0,"",IF(LEN(INDEX('Our policies'!$S$4:$S$503,_calc!$E$462))=0,"",INDEX('Our policies'!$S$4:$S$503,_calc!$E$462)))),TRIM(IF(LEN(IF(LEN(INDEX('Vendor COIs'!$C$4:$C$503,(_calc!$E$462-500)))=0,"",INDEX('Vendor COIs'!$C$4:$C$503,(_calc!$E$462-500))))=0,"","Insurer: "&amp;IF(LEN(INDEX('Vendor COIs'!$C$4:$C$503,(_calc!$E$462-500)))=0,"",INDEX('Vendor COIs'!$C$4:$C$503,(_calc!$E$462-500)))&amp;". ")&amp;IF(LEN(IF(LEN(INDEX('Vendor COIs'!$D$4:$D$503,(_calc!$E$462-500)))=0,"",INDEX('Vendor COIs'!$D$4:$D$503,(_calc!$E$462-500))))=0,"","Policy no.: "&amp;IF(LEN(INDEX('Vendor COIs'!$D$4:$D$503,(_calc!$E$462-500)))=0,"",INDEX('Vendor COIs'!$D$4:$D$503,(_calc!$E$462-500)))&amp;". ")&amp;IF(LEN(IF(LEN(INDEX('Vendor COIs'!$F$4:$F$503,(_calc!$E$462-500)))=0,"",INDEX('Vendor COIs'!$F$4:$F$503,(_calc!$E$462-500))))=0,"","Meets minimum: "&amp;IF(LEN(INDEX('Vendor COIs'!$F$4:$F$503,(_calc!$E$462-500)))=0,"",INDEX('Vendor COIs'!$F$4:$F$503,(_calc!$E$462-500)))&amp;". ")&amp;IF(LEN(IF(LEN(INDEX('Vendor COIs'!$G$4:$G$503,(_calc!$E$462-500)))=0,"",INDEX('Vendor COIs'!$G$4:$G$503,(_calc!$E$462-500))))=0,"","Additional insured: "&amp;IF(LEN(INDEX('Vendor COIs'!$G$4:$G$503,(_calc!$E$462-500)))=0,"",INDEX('Vendor COIs'!$G$4:$G$503,(_calc!$E$462-500)))&amp;". ")&amp;IF(LEN(IF(LEN(INDEX('Vendor COIs'!$M$4:$M$503,(_calc!$E$462-500)))=0,"",INDEX('Vendor COIs'!$M$4:$M$503,(_calc!$E$462-500))))=0,"","Vendor contact: "&amp;IF(LEN(INDEX('Vendor COIs'!$M$4:$M$503,(_calc!$E$462-500)))=0,"",INDEX('Vendor COIs'!$M$4:$M$503,(_calc!$E$462-500)))&amp;". ")&amp;IF(LEN(IF(LEN(INDEX('Vendor COIs'!$P$4:$P$503,(_calc!$E$462-500)))=0,"",INDEX('Vendor COIs'!$P$4:$P$503,(_calc!$E$462-500))))=0,"",IF(LEN(INDEX('Vendor COIs'!$P$4:$P$503,(_calc!$E$462-500)))=0,"",INDEX('Vendor COIs'!$P$4:$P$503,(_calc!$E$462-500)))))))</f>
        <v/>
      </c>
      <c r="G460" s="46">
        <f>IF(_calc!$E$462="","",IF(_calc!$E$462&lt;=500,IF(LEN(INDEX('Our policies'!$R$4:$R$503,_calc!$E$462))=0,"",INDEX('Our policies'!$R$4:$R$503,_calc!$E$462)),IF(LEN(INDEX('Vendor COIs'!$O$4:$O$503,(_calc!$E$462-500)))=0,"",INDEX('Vendor COIs'!$O$4:$O$503,(_calc!$E$462-500)))))</f>
        <v/>
      </c>
      <c r="H460" s="46">
        <f>IF(_calc!$E$462="","",IF(_calc!$E$462&lt;=500,IF(LEN(INDEX('Our policies'!$G$4:$G$503,_calc!$E$462))=0,"",INDEX('Our policies'!$G$4:$G$503,_calc!$E$462)),""))</f>
        <v/>
      </c>
      <c r="I460" s="46">
        <f>IF(_calc!$E$462="","",IF(_calc!$E$462&lt;=500,IF(LEN(INDEX('Our policies'!$H$4:$H$503,_calc!$E$462))=0,"",INDEX('Our policies'!$H$4:$H$503,_calc!$E$462)),""))</f>
        <v/>
      </c>
      <c r="K460" s="46">
        <f>IF(_calc!$E$462="","",IF(_calc!$E$462&lt;=500,IF(LEN(INDEX('Our policies'!$P$4:$P$503,_calc!$E$462))=0,"",INDEX('Our policies'!$P$4:$P$503,_calc!$E$462)),IF(LEN(INDEX('Vendor COIs'!$N$4:$N$503,(_calc!$E$462-500)))=0,"",INDEX('Vendor COIs'!$N$4:$N$503,(_calc!$E$462-500)))))</f>
        <v/>
      </c>
    </row>
    <row r="461">
      <c r="A461" s="46">
        <f>IF(_calc!$E$463="","",IF(_calc!$E$463&lt;=500,IF(LEN(INDEX('Our policies'!$A$4:$A$503,_calc!$E$463))=0,"",INDEX('Our policies'!$A$4:$A$503,_calc!$E$463)),"COI – "&amp;IF(LEN(INDEX('Vendor COIs'!$A$4:$A$503,(_calc!$E$463-500)))=0,"",INDEX('Vendor COIs'!$A$4:$A$503,(_calc!$E$463-500)))&amp;" – "&amp;IF(LEN(INDEX('Vendor COIs'!$B$4:$B$503,(_calc!$E$463-500)))=0,"",INDEX('Vendor COIs'!$B$4:$B$503,(_calc!$E$463-500)))))</f>
        <v/>
      </c>
      <c r="B461" s="46">
        <f>IF(_calc!$E$463="","",IF(_calc!$E$463&lt;=500,IF(ISNUMBER(INDEX('Our policies'!$J$4:$J$503,_calc!$E$463)),TEXT(INDEX('Our policies'!$J$4:$J$503,_calc!$E$463),"yyyy-mm-dd"),""),IF(ISNUMBER(INDEX('Vendor COIs'!$H$4:$H$503,(_calc!$E$463-500))),TEXT(INDEX('Vendor COIs'!$H$4:$H$503,(_calc!$E$463-500)),"yyyy-mm-dd"),"")))</f>
        <v/>
      </c>
      <c r="C461" s="46">
        <f>IF(_calc!$E$463="","",IF(_calc!$E$463&lt;=500,"Insurance","Certificate of insurance"))</f>
        <v/>
      </c>
      <c r="D461" s="46">
        <f>IF(_calc!$E$463="","",IF(_calc!$E$463&lt;=500,IF(ISNUMBER(INDEX('Our policies'!$I$4:$I$503,_calc!$E$463)),TEXT(INDEX('Our policies'!$I$4:$I$503,_calc!$E$463),"yyyy-mm-dd"),""),""))</f>
        <v/>
      </c>
      <c r="E461" s="46">
        <f>IF(_calc!$E$463="","",IF(_calc!$E$463&lt;=500,IF(LEN(INDEX('Our policies'!$Q$4:$Q$503,_calc!$E$463))=0,"",INDEX('Our policies'!$Q$4:$Q$503,_calc!$E$463)),"Medium"))</f>
        <v/>
      </c>
      <c r="F461" s="46">
        <f>IF(_calc!$E$463="","",IF(_calc!$E$463&lt;=500,TRIM(IF(LEN(IF(LEN(INDEX('Our policies'!$B$4:$B$503,_calc!$E$463))=0,"",INDEX('Our policies'!$B$4:$B$503,_calc!$E$463)))=0,"","Cover: "&amp;IF(LEN(INDEX('Our policies'!$B$4:$B$503,_calc!$E$463))=0,"",INDEX('Our policies'!$B$4:$B$503,_calc!$E$463))&amp;". ")&amp;IF(LEN(IF(LEN(INDEX('Our policies'!$C$4:$C$503,_calc!$E$463))=0,"",INDEX('Our policies'!$C$4:$C$503,_calc!$E$463)))=0,"","Insurer: "&amp;IF(LEN(INDEX('Our policies'!$C$4:$C$503,_calc!$E$463))=0,"",INDEX('Our policies'!$C$4:$C$503,_calc!$E$463))&amp;". ")&amp;IF(LEN(IF(LEN(INDEX('Our policies'!$D$4:$D$503,_calc!$E$463))=0,"",INDEX('Our policies'!$D$4:$D$503,_calc!$E$463)))=0,"","Broker: "&amp;IF(LEN(INDEX('Our policies'!$D$4:$D$503,_calc!$E$463))=0,"",INDEX('Our policies'!$D$4:$D$503,_calc!$E$463))&amp;". ")&amp;IF(LEN(IF(LEN(INDEX('Our policies'!$E$4:$E$503,_calc!$E$463))=0,"",INDEX('Our policies'!$E$4:$E$503,_calc!$E$463)))=0,"","Policy no.: "&amp;IF(LEN(INDEX('Our policies'!$E$4:$E$503,_calc!$E$463))=0,"",INDEX('Our policies'!$E$4:$E$503,_calc!$E$463))&amp;". ")&amp;IF(LEN(IF(LEN(INDEX('Our policies'!$S$4:$S$503,_calc!$E$463))=0,"",INDEX('Our policies'!$S$4:$S$503,_calc!$E$463)))=0,"",IF(LEN(INDEX('Our policies'!$S$4:$S$503,_calc!$E$463))=0,"",INDEX('Our policies'!$S$4:$S$503,_calc!$E$463)))),TRIM(IF(LEN(IF(LEN(INDEX('Vendor COIs'!$C$4:$C$503,(_calc!$E$463-500)))=0,"",INDEX('Vendor COIs'!$C$4:$C$503,(_calc!$E$463-500))))=0,"","Insurer: "&amp;IF(LEN(INDEX('Vendor COIs'!$C$4:$C$503,(_calc!$E$463-500)))=0,"",INDEX('Vendor COIs'!$C$4:$C$503,(_calc!$E$463-500)))&amp;". ")&amp;IF(LEN(IF(LEN(INDEX('Vendor COIs'!$D$4:$D$503,(_calc!$E$463-500)))=0,"",INDEX('Vendor COIs'!$D$4:$D$503,(_calc!$E$463-500))))=0,"","Policy no.: "&amp;IF(LEN(INDEX('Vendor COIs'!$D$4:$D$503,(_calc!$E$463-500)))=0,"",INDEX('Vendor COIs'!$D$4:$D$503,(_calc!$E$463-500)))&amp;". ")&amp;IF(LEN(IF(LEN(INDEX('Vendor COIs'!$F$4:$F$503,(_calc!$E$463-500)))=0,"",INDEX('Vendor COIs'!$F$4:$F$503,(_calc!$E$463-500))))=0,"","Meets minimum: "&amp;IF(LEN(INDEX('Vendor COIs'!$F$4:$F$503,(_calc!$E$463-500)))=0,"",INDEX('Vendor COIs'!$F$4:$F$503,(_calc!$E$463-500)))&amp;". ")&amp;IF(LEN(IF(LEN(INDEX('Vendor COIs'!$G$4:$G$503,(_calc!$E$463-500)))=0,"",INDEX('Vendor COIs'!$G$4:$G$503,(_calc!$E$463-500))))=0,"","Additional insured: "&amp;IF(LEN(INDEX('Vendor COIs'!$G$4:$G$503,(_calc!$E$463-500)))=0,"",INDEX('Vendor COIs'!$G$4:$G$503,(_calc!$E$463-500)))&amp;". ")&amp;IF(LEN(IF(LEN(INDEX('Vendor COIs'!$M$4:$M$503,(_calc!$E$463-500)))=0,"",INDEX('Vendor COIs'!$M$4:$M$503,(_calc!$E$463-500))))=0,"","Vendor contact: "&amp;IF(LEN(INDEX('Vendor COIs'!$M$4:$M$503,(_calc!$E$463-500)))=0,"",INDEX('Vendor COIs'!$M$4:$M$503,(_calc!$E$463-500)))&amp;". ")&amp;IF(LEN(IF(LEN(INDEX('Vendor COIs'!$P$4:$P$503,(_calc!$E$463-500)))=0,"",INDEX('Vendor COIs'!$P$4:$P$503,(_calc!$E$463-500))))=0,"",IF(LEN(INDEX('Vendor COIs'!$P$4:$P$503,(_calc!$E$463-500)))=0,"",INDEX('Vendor COIs'!$P$4:$P$503,(_calc!$E$463-500)))))))</f>
        <v/>
      </c>
      <c r="G461" s="46">
        <f>IF(_calc!$E$463="","",IF(_calc!$E$463&lt;=500,IF(LEN(INDEX('Our policies'!$R$4:$R$503,_calc!$E$463))=0,"",INDEX('Our policies'!$R$4:$R$503,_calc!$E$463)),IF(LEN(INDEX('Vendor COIs'!$O$4:$O$503,(_calc!$E$463-500)))=0,"",INDEX('Vendor COIs'!$O$4:$O$503,(_calc!$E$463-500)))))</f>
        <v/>
      </c>
      <c r="H461" s="46">
        <f>IF(_calc!$E$463="","",IF(_calc!$E$463&lt;=500,IF(LEN(INDEX('Our policies'!$G$4:$G$503,_calc!$E$463))=0,"",INDEX('Our policies'!$G$4:$G$503,_calc!$E$463)),""))</f>
        <v/>
      </c>
      <c r="I461" s="46">
        <f>IF(_calc!$E$463="","",IF(_calc!$E$463&lt;=500,IF(LEN(INDEX('Our policies'!$H$4:$H$503,_calc!$E$463))=0,"",INDEX('Our policies'!$H$4:$H$503,_calc!$E$463)),""))</f>
        <v/>
      </c>
      <c r="K461" s="46">
        <f>IF(_calc!$E$463="","",IF(_calc!$E$463&lt;=500,IF(LEN(INDEX('Our policies'!$P$4:$P$503,_calc!$E$463))=0,"",INDEX('Our policies'!$P$4:$P$503,_calc!$E$463)),IF(LEN(INDEX('Vendor COIs'!$N$4:$N$503,(_calc!$E$463-500)))=0,"",INDEX('Vendor COIs'!$N$4:$N$503,(_calc!$E$463-500)))))</f>
        <v/>
      </c>
    </row>
    <row r="462">
      <c r="A462" s="46">
        <f>IF(_calc!$E$464="","",IF(_calc!$E$464&lt;=500,IF(LEN(INDEX('Our policies'!$A$4:$A$503,_calc!$E$464))=0,"",INDEX('Our policies'!$A$4:$A$503,_calc!$E$464)),"COI – "&amp;IF(LEN(INDEX('Vendor COIs'!$A$4:$A$503,(_calc!$E$464-500)))=0,"",INDEX('Vendor COIs'!$A$4:$A$503,(_calc!$E$464-500)))&amp;" – "&amp;IF(LEN(INDEX('Vendor COIs'!$B$4:$B$503,(_calc!$E$464-500)))=0,"",INDEX('Vendor COIs'!$B$4:$B$503,(_calc!$E$464-500)))))</f>
        <v/>
      </c>
      <c r="B462" s="46">
        <f>IF(_calc!$E$464="","",IF(_calc!$E$464&lt;=500,IF(ISNUMBER(INDEX('Our policies'!$J$4:$J$503,_calc!$E$464)),TEXT(INDEX('Our policies'!$J$4:$J$503,_calc!$E$464),"yyyy-mm-dd"),""),IF(ISNUMBER(INDEX('Vendor COIs'!$H$4:$H$503,(_calc!$E$464-500))),TEXT(INDEX('Vendor COIs'!$H$4:$H$503,(_calc!$E$464-500)),"yyyy-mm-dd"),"")))</f>
        <v/>
      </c>
      <c r="C462" s="46">
        <f>IF(_calc!$E$464="","",IF(_calc!$E$464&lt;=500,"Insurance","Certificate of insurance"))</f>
        <v/>
      </c>
      <c r="D462" s="46">
        <f>IF(_calc!$E$464="","",IF(_calc!$E$464&lt;=500,IF(ISNUMBER(INDEX('Our policies'!$I$4:$I$503,_calc!$E$464)),TEXT(INDEX('Our policies'!$I$4:$I$503,_calc!$E$464),"yyyy-mm-dd"),""),""))</f>
        <v/>
      </c>
      <c r="E462" s="46">
        <f>IF(_calc!$E$464="","",IF(_calc!$E$464&lt;=500,IF(LEN(INDEX('Our policies'!$Q$4:$Q$503,_calc!$E$464))=0,"",INDEX('Our policies'!$Q$4:$Q$503,_calc!$E$464)),"Medium"))</f>
        <v/>
      </c>
      <c r="F462" s="46">
        <f>IF(_calc!$E$464="","",IF(_calc!$E$464&lt;=500,TRIM(IF(LEN(IF(LEN(INDEX('Our policies'!$B$4:$B$503,_calc!$E$464))=0,"",INDEX('Our policies'!$B$4:$B$503,_calc!$E$464)))=0,"","Cover: "&amp;IF(LEN(INDEX('Our policies'!$B$4:$B$503,_calc!$E$464))=0,"",INDEX('Our policies'!$B$4:$B$503,_calc!$E$464))&amp;". ")&amp;IF(LEN(IF(LEN(INDEX('Our policies'!$C$4:$C$503,_calc!$E$464))=0,"",INDEX('Our policies'!$C$4:$C$503,_calc!$E$464)))=0,"","Insurer: "&amp;IF(LEN(INDEX('Our policies'!$C$4:$C$503,_calc!$E$464))=0,"",INDEX('Our policies'!$C$4:$C$503,_calc!$E$464))&amp;". ")&amp;IF(LEN(IF(LEN(INDEX('Our policies'!$D$4:$D$503,_calc!$E$464))=0,"",INDEX('Our policies'!$D$4:$D$503,_calc!$E$464)))=0,"","Broker: "&amp;IF(LEN(INDEX('Our policies'!$D$4:$D$503,_calc!$E$464))=0,"",INDEX('Our policies'!$D$4:$D$503,_calc!$E$464))&amp;". ")&amp;IF(LEN(IF(LEN(INDEX('Our policies'!$E$4:$E$503,_calc!$E$464))=0,"",INDEX('Our policies'!$E$4:$E$503,_calc!$E$464)))=0,"","Policy no.: "&amp;IF(LEN(INDEX('Our policies'!$E$4:$E$503,_calc!$E$464))=0,"",INDEX('Our policies'!$E$4:$E$503,_calc!$E$464))&amp;". ")&amp;IF(LEN(IF(LEN(INDEX('Our policies'!$S$4:$S$503,_calc!$E$464))=0,"",INDEX('Our policies'!$S$4:$S$503,_calc!$E$464)))=0,"",IF(LEN(INDEX('Our policies'!$S$4:$S$503,_calc!$E$464))=0,"",INDEX('Our policies'!$S$4:$S$503,_calc!$E$464)))),TRIM(IF(LEN(IF(LEN(INDEX('Vendor COIs'!$C$4:$C$503,(_calc!$E$464-500)))=0,"",INDEX('Vendor COIs'!$C$4:$C$503,(_calc!$E$464-500))))=0,"","Insurer: "&amp;IF(LEN(INDEX('Vendor COIs'!$C$4:$C$503,(_calc!$E$464-500)))=0,"",INDEX('Vendor COIs'!$C$4:$C$503,(_calc!$E$464-500)))&amp;". ")&amp;IF(LEN(IF(LEN(INDEX('Vendor COIs'!$D$4:$D$503,(_calc!$E$464-500)))=0,"",INDEX('Vendor COIs'!$D$4:$D$503,(_calc!$E$464-500))))=0,"","Policy no.: "&amp;IF(LEN(INDEX('Vendor COIs'!$D$4:$D$503,(_calc!$E$464-500)))=0,"",INDEX('Vendor COIs'!$D$4:$D$503,(_calc!$E$464-500)))&amp;". ")&amp;IF(LEN(IF(LEN(INDEX('Vendor COIs'!$F$4:$F$503,(_calc!$E$464-500)))=0,"",INDEX('Vendor COIs'!$F$4:$F$503,(_calc!$E$464-500))))=0,"","Meets minimum: "&amp;IF(LEN(INDEX('Vendor COIs'!$F$4:$F$503,(_calc!$E$464-500)))=0,"",INDEX('Vendor COIs'!$F$4:$F$503,(_calc!$E$464-500)))&amp;". ")&amp;IF(LEN(IF(LEN(INDEX('Vendor COIs'!$G$4:$G$503,(_calc!$E$464-500)))=0,"",INDEX('Vendor COIs'!$G$4:$G$503,(_calc!$E$464-500))))=0,"","Additional insured: "&amp;IF(LEN(INDEX('Vendor COIs'!$G$4:$G$503,(_calc!$E$464-500)))=0,"",INDEX('Vendor COIs'!$G$4:$G$503,(_calc!$E$464-500)))&amp;". ")&amp;IF(LEN(IF(LEN(INDEX('Vendor COIs'!$M$4:$M$503,(_calc!$E$464-500)))=0,"",INDEX('Vendor COIs'!$M$4:$M$503,(_calc!$E$464-500))))=0,"","Vendor contact: "&amp;IF(LEN(INDEX('Vendor COIs'!$M$4:$M$503,(_calc!$E$464-500)))=0,"",INDEX('Vendor COIs'!$M$4:$M$503,(_calc!$E$464-500)))&amp;". ")&amp;IF(LEN(IF(LEN(INDEX('Vendor COIs'!$P$4:$P$503,(_calc!$E$464-500)))=0,"",INDEX('Vendor COIs'!$P$4:$P$503,(_calc!$E$464-500))))=0,"",IF(LEN(INDEX('Vendor COIs'!$P$4:$P$503,(_calc!$E$464-500)))=0,"",INDEX('Vendor COIs'!$P$4:$P$503,(_calc!$E$464-500)))))))</f>
        <v/>
      </c>
      <c r="G462" s="46">
        <f>IF(_calc!$E$464="","",IF(_calc!$E$464&lt;=500,IF(LEN(INDEX('Our policies'!$R$4:$R$503,_calc!$E$464))=0,"",INDEX('Our policies'!$R$4:$R$503,_calc!$E$464)),IF(LEN(INDEX('Vendor COIs'!$O$4:$O$503,(_calc!$E$464-500)))=0,"",INDEX('Vendor COIs'!$O$4:$O$503,(_calc!$E$464-500)))))</f>
        <v/>
      </c>
      <c r="H462" s="46">
        <f>IF(_calc!$E$464="","",IF(_calc!$E$464&lt;=500,IF(LEN(INDEX('Our policies'!$G$4:$G$503,_calc!$E$464))=0,"",INDEX('Our policies'!$G$4:$G$503,_calc!$E$464)),""))</f>
        <v/>
      </c>
      <c r="I462" s="46">
        <f>IF(_calc!$E$464="","",IF(_calc!$E$464&lt;=500,IF(LEN(INDEX('Our policies'!$H$4:$H$503,_calc!$E$464))=0,"",INDEX('Our policies'!$H$4:$H$503,_calc!$E$464)),""))</f>
        <v/>
      </c>
      <c r="K462" s="46">
        <f>IF(_calc!$E$464="","",IF(_calc!$E$464&lt;=500,IF(LEN(INDEX('Our policies'!$P$4:$P$503,_calc!$E$464))=0,"",INDEX('Our policies'!$P$4:$P$503,_calc!$E$464)),IF(LEN(INDEX('Vendor COIs'!$N$4:$N$503,(_calc!$E$464-500)))=0,"",INDEX('Vendor COIs'!$N$4:$N$503,(_calc!$E$464-500)))))</f>
        <v/>
      </c>
    </row>
    <row r="463">
      <c r="A463" s="46">
        <f>IF(_calc!$E$465="","",IF(_calc!$E$465&lt;=500,IF(LEN(INDEX('Our policies'!$A$4:$A$503,_calc!$E$465))=0,"",INDEX('Our policies'!$A$4:$A$503,_calc!$E$465)),"COI – "&amp;IF(LEN(INDEX('Vendor COIs'!$A$4:$A$503,(_calc!$E$465-500)))=0,"",INDEX('Vendor COIs'!$A$4:$A$503,(_calc!$E$465-500)))&amp;" – "&amp;IF(LEN(INDEX('Vendor COIs'!$B$4:$B$503,(_calc!$E$465-500)))=0,"",INDEX('Vendor COIs'!$B$4:$B$503,(_calc!$E$465-500)))))</f>
        <v/>
      </c>
      <c r="B463" s="46">
        <f>IF(_calc!$E$465="","",IF(_calc!$E$465&lt;=500,IF(ISNUMBER(INDEX('Our policies'!$J$4:$J$503,_calc!$E$465)),TEXT(INDEX('Our policies'!$J$4:$J$503,_calc!$E$465),"yyyy-mm-dd"),""),IF(ISNUMBER(INDEX('Vendor COIs'!$H$4:$H$503,(_calc!$E$465-500))),TEXT(INDEX('Vendor COIs'!$H$4:$H$503,(_calc!$E$465-500)),"yyyy-mm-dd"),"")))</f>
        <v/>
      </c>
      <c r="C463" s="46">
        <f>IF(_calc!$E$465="","",IF(_calc!$E$465&lt;=500,"Insurance","Certificate of insurance"))</f>
        <v/>
      </c>
      <c r="D463" s="46">
        <f>IF(_calc!$E$465="","",IF(_calc!$E$465&lt;=500,IF(ISNUMBER(INDEX('Our policies'!$I$4:$I$503,_calc!$E$465)),TEXT(INDEX('Our policies'!$I$4:$I$503,_calc!$E$465),"yyyy-mm-dd"),""),""))</f>
        <v/>
      </c>
      <c r="E463" s="46">
        <f>IF(_calc!$E$465="","",IF(_calc!$E$465&lt;=500,IF(LEN(INDEX('Our policies'!$Q$4:$Q$503,_calc!$E$465))=0,"",INDEX('Our policies'!$Q$4:$Q$503,_calc!$E$465)),"Medium"))</f>
        <v/>
      </c>
      <c r="F463" s="46">
        <f>IF(_calc!$E$465="","",IF(_calc!$E$465&lt;=500,TRIM(IF(LEN(IF(LEN(INDEX('Our policies'!$B$4:$B$503,_calc!$E$465))=0,"",INDEX('Our policies'!$B$4:$B$503,_calc!$E$465)))=0,"","Cover: "&amp;IF(LEN(INDEX('Our policies'!$B$4:$B$503,_calc!$E$465))=0,"",INDEX('Our policies'!$B$4:$B$503,_calc!$E$465))&amp;". ")&amp;IF(LEN(IF(LEN(INDEX('Our policies'!$C$4:$C$503,_calc!$E$465))=0,"",INDEX('Our policies'!$C$4:$C$503,_calc!$E$465)))=0,"","Insurer: "&amp;IF(LEN(INDEX('Our policies'!$C$4:$C$503,_calc!$E$465))=0,"",INDEX('Our policies'!$C$4:$C$503,_calc!$E$465))&amp;". ")&amp;IF(LEN(IF(LEN(INDEX('Our policies'!$D$4:$D$503,_calc!$E$465))=0,"",INDEX('Our policies'!$D$4:$D$503,_calc!$E$465)))=0,"","Broker: "&amp;IF(LEN(INDEX('Our policies'!$D$4:$D$503,_calc!$E$465))=0,"",INDEX('Our policies'!$D$4:$D$503,_calc!$E$465))&amp;". ")&amp;IF(LEN(IF(LEN(INDEX('Our policies'!$E$4:$E$503,_calc!$E$465))=0,"",INDEX('Our policies'!$E$4:$E$503,_calc!$E$465)))=0,"","Policy no.: "&amp;IF(LEN(INDEX('Our policies'!$E$4:$E$503,_calc!$E$465))=0,"",INDEX('Our policies'!$E$4:$E$503,_calc!$E$465))&amp;". ")&amp;IF(LEN(IF(LEN(INDEX('Our policies'!$S$4:$S$503,_calc!$E$465))=0,"",INDEX('Our policies'!$S$4:$S$503,_calc!$E$465)))=0,"",IF(LEN(INDEX('Our policies'!$S$4:$S$503,_calc!$E$465))=0,"",INDEX('Our policies'!$S$4:$S$503,_calc!$E$465)))),TRIM(IF(LEN(IF(LEN(INDEX('Vendor COIs'!$C$4:$C$503,(_calc!$E$465-500)))=0,"",INDEX('Vendor COIs'!$C$4:$C$503,(_calc!$E$465-500))))=0,"","Insurer: "&amp;IF(LEN(INDEX('Vendor COIs'!$C$4:$C$503,(_calc!$E$465-500)))=0,"",INDEX('Vendor COIs'!$C$4:$C$503,(_calc!$E$465-500)))&amp;". ")&amp;IF(LEN(IF(LEN(INDEX('Vendor COIs'!$D$4:$D$503,(_calc!$E$465-500)))=0,"",INDEX('Vendor COIs'!$D$4:$D$503,(_calc!$E$465-500))))=0,"","Policy no.: "&amp;IF(LEN(INDEX('Vendor COIs'!$D$4:$D$503,(_calc!$E$465-500)))=0,"",INDEX('Vendor COIs'!$D$4:$D$503,(_calc!$E$465-500)))&amp;". ")&amp;IF(LEN(IF(LEN(INDEX('Vendor COIs'!$F$4:$F$503,(_calc!$E$465-500)))=0,"",INDEX('Vendor COIs'!$F$4:$F$503,(_calc!$E$465-500))))=0,"","Meets minimum: "&amp;IF(LEN(INDEX('Vendor COIs'!$F$4:$F$503,(_calc!$E$465-500)))=0,"",INDEX('Vendor COIs'!$F$4:$F$503,(_calc!$E$465-500)))&amp;". ")&amp;IF(LEN(IF(LEN(INDEX('Vendor COIs'!$G$4:$G$503,(_calc!$E$465-500)))=0,"",INDEX('Vendor COIs'!$G$4:$G$503,(_calc!$E$465-500))))=0,"","Additional insured: "&amp;IF(LEN(INDEX('Vendor COIs'!$G$4:$G$503,(_calc!$E$465-500)))=0,"",INDEX('Vendor COIs'!$G$4:$G$503,(_calc!$E$465-500)))&amp;". ")&amp;IF(LEN(IF(LEN(INDEX('Vendor COIs'!$M$4:$M$503,(_calc!$E$465-500)))=0,"",INDEX('Vendor COIs'!$M$4:$M$503,(_calc!$E$465-500))))=0,"","Vendor contact: "&amp;IF(LEN(INDEX('Vendor COIs'!$M$4:$M$503,(_calc!$E$465-500)))=0,"",INDEX('Vendor COIs'!$M$4:$M$503,(_calc!$E$465-500)))&amp;". ")&amp;IF(LEN(IF(LEN(INDEX('Vendor COIs'!$P$4:$P$503,(_calc!$E$465-500)))=0,"",INDEX('Vendor COIs'!$P$4:$P$503,(_calc!$E$465-500))))=0,"",IF(LEN(INDEX('Vendor COIs'!$P$4:$P$503,(_calc!$E$465-500)))=0,"",INDEX('Vendor COIs'!$P$4:$P$503,(_calc!$E$465-500)))))))</f>
        <v/>
      </c>
      <c r="G463" s="46">
        <f>IF(_calc!$E$465="","",IF(_calc!$E$465&lt;=500,IF(LEN(INDEX('Our policies'!$R$4:$R$503,_calc!$E$465))=0,"",INDEX('Our policies'!$R$4:$R$503,_calc!$E$465)),IF(LEN(INDEX('Vendor COIs'!$O$4:$O$503,(_calc!$E$465-500)))=0,"",INDEX('Vendor COIs'!$O$4:$O$503,(_calc!$E$465-500)))))</f>
        <v/>
      </c>
      <c r="H463" s="46">
        <f>IF(_calc!$E$465="","",IF(_calc!$E$465&lt;=500,IF(LEN(INDEX('Our policies'!$G$4:$G$503,_calc!$E$465))=0,"",INDEX('Our policies'!$G$4:$G$503,_calc!$E$465)),""))</f>
        <v/>
      </c>
      <c r="I463" s="46">
        <f>IF(_calc!$E$465="","",IF(_calc!$E$465&lt;=500,IF(LEN(INDEX('Our policies'!$H$4:$H$503,_calc!$E$465))=0,"",INDEX('Our policies'!$H$4:$H$503,_calc!$E$465)),""))</f>
        <v/>
      </c>
      <c r="K463" s="46">
        <f>IF(_calc!$E$465="","",IF(_calc!$E$465&lt;=500,IF(LEN(INDEX('Our policies'!$P$4:$P$503,_calc!$E$465))=0,"",INDEX('Our policies'!$P$4:$P$503,_calc!$E$465)),IF(LEN(INDEX('Vendor COIs'!$N$4:$N$503,(_calc!$E$465-500)))=0,"",INDEX('Vendor COIs'!$N$4:$N$503,(_calc!$E$465-500)))))</f>
        <v/>
      </c>
    </row>
    <row r="464">
      <c r="A464" s="46">
        <f>IF(_calc!$E$466="","",IF(_calc!$E$466&lt;=500,IF(LEN(INDEX('Our policies'!$A$4:$A$503,_calc!$E$466))=0,"",INDEX('Our policies'!$A$4:$A$503,_calc!$E$466)),"COI – "&amp;IF(LEN(INDEX('Vendor COIs'!$A$4:$A$503,(_calc!$E$466-500)))=0,"",INDEX('Vendor COIs'!$A$4:$A$503,(_calc!$E$466-500)))&amp;" – "&amp;IF(LEN(INDEX('Vendor COIs'!$B$4:$B$503,(_calc!$E$466-500)))=0,"",INDEX('Vendor COIs'!$B$4:$B$503,(_calc!$E$466-500)))))</f>
        <v/>
      </c>
      <c r="B464" s="46">
        <f>IF(_calc!$E$466="","",IF(_calc!$E$466&lt;=500,IF(ISNUMBER(INDEX('Our policies'!$J$4:$J$503,_calc!$E$466)),TEXT(INDEX('Our policies'!$J$4:$J$503,_calc!$E$466),"yyyy-mm-dd"),""),IF(ISNUMBER(INDEX('Vendor COIs'!$H$4:$H$503,(_calc!$E$466-500))),TEXT(INDEX('Vendor COIs'!$H$4:$H$503,(_calc!$E$466-500)),"yyyy-mm-dd"),"")))</f>
        <v/>
      </c>
      <c r="C464" s="46">
        <f>IF(_calc!$E$466="","",IF(_calc!$E$466&lt;=500,"Insurance","Certificate of insurance"))</f>
        <v/>
      </c>
      <c r="D464" s="46">
        <f>IF(_calc!$E$466="","",IF(_calc!$E$466&lt;=500,IF(ISNUMBER(INDEX('Our policies'!$I$4:$I$503,_calc!$E$466)),TEXT(INDEX('Our policies'!$I$4:$I$503,_calc!$E$466),"yyyy-mm-dd"),""),""))</f>
        <v/>
      </c>
      <c r="E464" s="46">
        <f>IF(_calc!$E$466="","",IF(_calc!$E$466&lt;=500,IF(LEN(INDEX('Our policies'!$Q$4:$Q$503,_calc!$E$466))=0,"",INDEX('Our policies'!$Q$4:$Q$503,_calc!$E$466)),"Medium"))</f>
        <v/>
      </c>
      <c r="F464" s="46">
        <f>IF(_calc!$E$466="","",IF(_calc!$E$466&lt;=500,TRIM(IF(LEN(IF(LEN(INDEX('Our policies'!$B$4:$B$503,_calc!$E$466))=0,"",INDEX('Our policies'!$B$4:$B$503,_calc!$E$466)))=0,"","Cover: "&amp;IF(LEN(INDEX('Our policies'!$B$4:$B$503,_calc!$E$466))=0,"",INDEX('Our policies'!$B$4:$B$503,_calc!$E$466))&amp;". ")&amp;IF(LEN(IF(LEN(INDEX('Our policies'!$C$4:$C$503,_calc!$E$466))=0,"",INDEX('Our policies'!$C$4:$C$503,_calc!$E$466)))=0,"","Insurer: "&amp;IF(LEN(INDEX('Our policies'!$C$4:$C$503,_calc!$E$466))=0,"",INDEX('Our policies'!$C$4:$C$503,_calc!$E$466))&amp;". ")&amp;IF(LEN(IF(LEN(INDEX('Our policies'!$D$4:$D$503,_calc!$E$466))=0,"",INDEX('Our policies'!$D$4:$D$503,_calc!$E$466)))=0,"","Broker: "&amp;IF(LEN(INDEX('Our policies'!$D$4:$D$503,_calc!$E$466))=0,"",INDEX('Our policies'!$D$4:$D$503,_calc!$E$466))&amp;". ")&amp;IF(LEN(IF(LEN(INDEX('Our policies'!$E$4:$E$503,_calc!$E$466))=0,"",INDEX('Our policies'!$E$4:$E$503,_calc!$E$466)))=0,"","Policy no.: "&amp;IF(LEN(INDEX('Our policies'!$E$4:$E$503,_calc!$E$466))=0,"",INDEX('Our policies'!$E$4:$E$503,_calc!$E$466))&amp;". ")&amp;IF(LEN(IF(LEN(INDEX('Our policies'!$S$4:$S$503,_calc!$E$466))=0,"",INDEX('Our policies'!$S$4:$S$503,_calc!$E$466)))=0,"",IF(LEN(INDEX('Our policies'!$S$4:$S$503,_calc!$E$466))=0,"",INDEX('Our policies'!$S$4:$S$503,_calc!$E$466)))),TRIM(IF(LEN(IF(LEN(INDEX('Vendor COIs'!$C$4:$C$503,(_calc!$E$466-500)))=0,"",INDEX('Vendor COIs'!$C$4:$C$503,(_calc!$E$466-500))))=0,"","Insurer: "&amp;IF(LEN(INDEX('Vendor COIs'!$C$4:$C$503,(_calc!$E$466-500)))=0,"",INDEX('Vendor COIs'!$C$4:$C$503,(_calc!$E$466-500)))&amp;". ")&amp;IF(LEN(IF(LEN(INDEX('Vendor COIs'!$D$4:$D$503,(_calc!$E$466-500)))=0,"",INDEX('Vendor COIs'!$D$4:$D$503,(_calc!$E$466-500))))=0,"","Policy no.: "&amp;IF(LEN(INDEX('Vendor COIs'!$D$4:$D$503,(_calc!$E$466-500)))=0,"",INDEX('Vendor COIs'!$D$4:$D$503,(_calc!$E$466-500)))&amp;". ")&amp;IF(LEN(IF(LEN(INDEX('Vendor COIs'!$F$4:$F$503,(_calc!$E$466-500)))=0,"",INDEX('Vendor COIs'!$F$4:$F$503,(_calc!$E$466-500))))=0,"","Meets minimum: "&amp;IF(LEN(INDEX('Vendor COIs'!$F$4:$F$503,(_calc!$E$466-500)))=0,"",INDEX('Vendor COIs'!$F$4:$F$503,(_calc!$E$466-500)))&amp;". ")&amp;IF(LEN(IF(LEN(INDEX('Vendor COIs'!$G$4:$G$503,(_calc!$E$466-500)))=0,"",INDEX('Vendor COIs'!$G$4:$G$503,(_calc!$E$466-500))))=0,"","Additional insured: "&amp;IF(LEN(INDEX('Vendor COIs'!$G$4:$G$503,(_calc!$E$466-500)))=0,"",INDEX('Vendor COIs'!$G$4:$G$503,(_calc!$E$466-500)))&amp;". ")&amp;IF(LEN(IF(LEN(INDEX('Vendor COIs'!$M$4:$M$503,(_calc!$E$466-500)))=0,"",INDEX('Vendor COIs'!$M$4:$M$503,(_calc!$E$466-500))))=0,"","Vendor contact: "&amp;IF(LEN(INDEX('Vendor COIs'!$M$4:$M$503,(_calc!$E$466-500)))=0,"",INDEX('Vendor COIs'!$M$4:$M$503,(_calc!$E$466-500)))&amp;". ")&amp;IF(LEN(IF(LEN(INDEX('Vendor COIs'!$P$4:$P$503,(_calc!$E$466-500)))=0,"",INDEX('Vendor COIs'!$P$4:$P$503,(_calc!$E$466-500))))=0,"",IF(LEN(INDEX('Vendor COIs'!$P$4:$P$503,(_calc!$E$466-500)))=0,"",INDEX('Vendor COIs'!$P$4:$P$503,(_calc!$E$466-500)))))))</f>
        <v/>
      </c>
      <c r="G464" s="46">
        <f>IF(_calc!$E$466="","",IF(_calc!$E$466&lt;=500,IF(LEN(INDEX('Our policies'!$R$4:$R$503,_calc!$E$466))=0,"",INDEX('Our policies'!$R$4:$R$503,_calc!$E$466)),IF(LEN(INDEX('Vendor COIs'!$O$4:$O$503,(_calc!$E$466-500)))=0,"",INDEX('Vendor COIs'!$O$4:$O$503,(_calc!$E$466-500)))))</f>
        <v/>
      </c>
      <c r="H464" s="46">
        <f>IF(_calc!$E$466="","",IF(_calc!$E$466&lt;=500,IF(LEN(INDEX('Our policies'!$G$4:$G$503,_calc!$E$466))=0,"",INDEX('Our policies'!$G$4:$G$503,_calc!$E$466)),""))</f>
        <v/>
      </c>
      <c r="I464" s="46">
        <f>IF(_calc!$E$466="","",IF(_calc!$E$466&lt;=500,IF(LEN(INDEX('Our policies'!$H$4:$H$503,_calc!$E$466))=0,"",INDEX('Our policies'!$H$4:$H$503,_calc!$E$466)),""))</f>
        <v/>
      </c>
      <c r="K464" s="46">
        <f>IF(_calc!$E$466="","",IF(_calc!$E$466&lt;=500,IF(LEN(INDEX('Our policies'!$P$4:$P$503,_calc!$E$466))=0,"",INDEX('Our policies'!$P$4:$P$503,_calc!$E$466)),IF(LEN(INDEX('Vendor COIs'!$N$4:$N$503,(_calc!$E$466-500)))=0,"",INDEX('Vendor COIs'!$N$4:$N$503,(_calc!$E$466-500)))))</f>
        <v/>
      </c>
    </row>
    <row r="465">
      <c r="A465" s="46">
        <f>IF(_calc!$E$467="","",IF(_calc!$E$467&lt;=500,IF(LEN(INDEX('Our policies'!$A$4:$A$503,_calc!$E$467))=0,"",INDEX('Our policies'!$A$4:$A$503,_calc!$E$467)),"COI – "&amp;IF(LEN(INDEX('Vendor COIs'!$A$4:$A$503,(_calc!$E$467-500)))=0,"",INDEX('Vendor COIs'!$A$4:$A$503,(_calc!$E$467-500)))&amp;" – "&amp;IF(LEN(INDEX('Vendor COIs'!$B$4:$B$503,(_calc!$E$467-500)))=0,"",INDEX('Vendor COIs'!$B$4:$B$503,(_calc!$E$467-500)))))</f>
        <v/>
      </c>
      <c r="B465" s="46">
        <f>IF(_calc!$E$467="","",IF(_calc!$E$467&lt;=500,IF(ISNUMBER(INDEX('Our policies'!$J$4:$J$503,_calc!$E$467)),TEXT(INDEX('Our policies'!$J$4:$J$503,_calc!$E$467),"yyyy-mm-dd"),""),IF(ISNUMBER(INDEX('Vendor COIs'!$H$4:$H$503,(_calc!$E$467-500))),TEXT(INDEX('Vendor COIs'!$H$4:$H$503,(_calc!$E$467-500)),"yyyy-mm-dd"),"")))</f>
        <v/>
      </c>
      <c r="C465" s="46">
        <f>IF(_calc!$E$467="","",IF(_calc!$E$467&lt;=500,"Insurance","Certificate of insurance"))</f>
        <v/>
      </c>
      <c r="D465" s="46">
        <f>IF(_calc!$E$467="","",IF(_calc!$E$467&lt;=500,IF(ISNUMBER(INDEX('Our policies'!$I$4:$I$503,_calc!$E$467)),TEXT(INDEX('Our policies'!$I$4:$I$503,_calc!$E$467),"yyyy-mm-dd"),""),""))</f>
        <v/>
      </c>
      <c r="E465" s="46">
        <f>IF(_calc!$E$467="","",IF(_calc!$E$467&lt;=500,IF(LEN(INDEX('Our policies'!$Q$4:$Q$503,_calc!$E$467))=0,"",INDEX('Our policies'!$Q$4:$Q$503,_calc!$E$467)),"Medium"))</f>
        <v/>
      </c>
      <c r="F465" s="46">
        <f>IF(_calc!$E$467="","",IF(_calc!$E$467&lt;=500,TRIM(IF(LEN(IF(LEN(INDEX('Our policies'!$B$4:$B$503,_calc!$E$467))=0,"",INDEX('Our policies'!$B$4:$B$503,_calc!$E$467)))=0,"","Cover: "&amp;IF(LEN(INDEX('Our policies'!$B$4:$B$503,_calc!$E$467))=0,"",INDEX('Our policies'!$B$4:$B$503,_calc!$E$467))&amp;". ")&amp;IF(LEN(IF(LEN(INDEX('Our policies'!$C$4:$C$503,_calc!$E$467))=0,"",INDEX('Our policies'!$C$4:$C$503,_calc!$E$467)))=0,"","Insurer: "&amp;IF(LEN(INDEX('Our policies'!$C$4:$C$503,_calc!$E$467))=0,"",INDEX('Our policies'!$C$4:$C$503,_calc!$E$467))&amp;". ")&amp;IF(LEN(IF(LEN(INDEX('Our policies'!$D$4:$D$503,_calc!$E$467))=0,"",INDEX('Our policies'!$D$4:$D$503,_calc!$E$467)))=0,"","Broker: "&amp;IF(LEN(INDEX('Our policies'!$D$4:$D$503,_calc!$E$467))=0,"",INDEX('Our policies'!$D$4:$D$503,_calc!$E$467))&amp;". ")&amp;IF(LEN(IF(LEN(INDEX('Our policies'!$E$4:$E$503,_calc!$E$467))=0,"",INDEX('Our policies'!$E$4:$E$503,_calc!$E$467)))=0,"","Policy no.: "&amp;IF(LEN(INDEX('Our policies'!$E$4:$E$503,_calc!$E$467))=0,"",INDEX('Our policies'!$E$4:$E$503,_calc!$E$467))&amp;". ")&amp;IF(LEN(IF(LEN(INDEX('Our policies'!$S$4:$S$503,_calc!$E$467))=0,"",INDEX('Our policies'!$S$4:$S$503,_calc!$E$467)))=0,"",IF(LEN(INDEX('Our policies'!$S$4:$S$503,_calc!$E$467))=0,"",INDEX('Our policies'!$S$4:$S$503,_calc!$E$467)))),TRIM(IF(LEN(IF(LEN(INDEX('Vendor COIs'!$C$4:$C$503,(_calc!$E$467-500)))=0,"",INDEX('Vendor COIs'!$C$4:$C$503,(_calc!$E$467-500))))=0,"","Insurer: "&amp;IF(LEN(INDEX('Vendor COIs'!$C$4:$C$503,(_calc!$E$467-500)))=0,"",INDEX('Vendor COIs'!$C$4:$C$503,(_calc!$E$467-500)))&amp;". ")&amp;IF(LEN(IF(LEN(INDEX('Vendor COIs'!$D$4:$D$503,(_calc!$E$467-500)))=0,"",INDEX('Vendor COIs'!$D$4:$D$503,(_calc!$E$467-500))))=0,"","Policy no.: "&amp;IF(LEN(INDEX('Vendor COIs'!$D$4:$D$503,(_calc!$E$467-500)))=0,"",INDEX('Vendor COIs'!$D$4:$D$503,(_calc!$E$467-500)))&amp;". ")&amp;IF(LEN(IF(LEN(INDEX('Vendor COIs'!$F$4:$F$503,(_calc!$E$467-500)))=0,"",INDEX('Vendor COIs'!$F$4:$F$503,(_calc!$E$467-500))))=0,"","Meets minimum: "&amp;IF(LEN(INDEX('Vendor COIs'!$F$4:$F$503,(_calc!$E$467-500)))=0,"",INDEX('Vendor COIs'!$F$4:$F$503,(_calc!$E$467-500)))&amp;". ")&amp;IF(LEN(IF(LEN(INDEX('Vendor COIs'!$G$4:$G$503,(_calc!$E$467-500)))=0,"",INDEX('Vendor COIs'!$G$4:$G$503,(_calc!$E$467-500))))=0,"","Additional insured: "&amp;IF(LEN(INDEX('Vendor COIs'!$G$4:$G$503,(_calc!$E$467-500)))=0,"",INDEX('Vendor COIs'!$G$4:$G$503,(_calc!$E$467-500)))&amp;". ")&amp;IF(LEN(IF(LEN(INDEX('Vendor COIs'!$M$4:$M$503,(_calc!$E$467-500)))=0,"",INDEX('Vendor COIs'!$M$4:$M$503,(_calc!$E$467-500))))=0,"","Vendor contact: "&amp;IF(LEN(INDEX('Vendor COIs'!$M$4:$M$503,(_calc!$E$467-500)))=0,"",INDEX('Vendor COIs'!$M$4:$M$503,(_calc!$E$467-500)))&amp;". ")&amp;IF(LEN(IF(LEN(INDEX('Vendor COIs'!$P$4:$P$503,(_calc!$E$467-500)))=0,"",INDEX('Vendor COIs'!$P$4:$P$503,(_calc!$E$467-500))))=0,"",IF(LEN(INDEX('Vendor COIs'!$P$4:$P$503,(_calc!$E$467-500)))=0,"",INDEX('Vendor COIs'!$P$4:$P$503,(_calc!$E$467-500)))))))</f>
        <v/>
      </c>
      <c r="G465" s="46">
        <f>IF(_calc!$E$467="","",IF(_calc!$E$467&lt;=500,IF(LEN(INDEX('Our policies'!$R$4:$R$503,_calc!$E$467))=0,"",INDEX('Our policies'!$R$4:$R$503,_calc!$E$467)),IF(LEN(INDEX('Vendor COIs'!$O$4:$O$503,(_calc!$E$467-500)))=0,"",INDEX('Vendor COIs'!$O$4:$O$503,(_calc!$E$467-500)))))</f>
        <v/>
      </c>
      <c r="H465" s="46">
        <f>IF(_calc!$E$467="","",IF(_calc!$E$467&lt;=500,IF(LEN(INDEX('Our policies'!$G$4:$G$503,_calc!$E$467))=0,"",INDEX('Our policies'!$G$4:$G$503,_calc!$E$467)),""))</f>
        <v/>
      </c>
      <c r="I465" s="46">
        <f>IF(_calc!$E$467="","",IF(_calc!$E$467&lt;=500,IF(LEN(INDEX('Our policies'!$H$4:$H$503,_calc!$E$467))=0,"",INDEX('Our policies'!$H$4:$H$503,_calc!$E$467)),""))</f>
        <v/>
      </c>
      <c r="K465" s="46">
        <f>IF(_calc!$E$467="","",IF(_calc!$E$467&lt;=500,IF(LEN(INDEX('Our policies'!$P$4:$P$503,_calc!$E$467))=0,"",INDEX('Our policies'!$P$4:$P$503,_calc!$E$467)),IF(LEN(INDEX('Vendor COIs'!$N$4:$N$503,(_calc!$E$467-500)))=0,"",INDEX('Vendor COIs'!$N$4:$N$503,(_calc!$E$467-500)))))</f>
        <v/>
      </c>
    </row>
    <row r="466">
      <c r="A466" s="46">
        <f>IF(_calc!$E$468="","",IF(_calc!$E$468&lt;=500,IF(LEN(INDEX('Our policies'!$A$4:$A$503,_calc!$E$468))=0,"",INDEX('Our policies'!$A$4:$A$503,_calc!$E$468)),"COI – "&amp;IF(LEN(INDEX('Vendor COIs'!$A$4:$A$503,(_calc!$E$468-500)))=0,"",INDEX('Vendor COIs'!$A$4:$A$503,(_calc!$E$468-500)))&amp;" – "&amp;IF(LEN(INDEX('Vendor COIs'!$B$4:$B$503,(_calc!$E$468-500)))=0,"",INDEX('Vendor COIs'!$B$4:$B$503,(_calc!$E$468-500)))))</f>
        <v/>
      </c>
      <c r="B466" s="46">
        <f>IF(_calc!$E$468="","",IF(_calc!$E$468&lt;=500,IF(ISNUMBER(INDEX('Our policies'!$J$4:$J$503,_calc!$E$468)),TEXT(INDEX('Our policies'!$J$4:$J$503,_calc!$E$468),"yyyy-mm-dd"),""),IF(ISNUMBER(INDEX('Vendor COIs'!$H$4:$H$503,(_calc!$E$468-500))),TEXT(INDEX('Vendor COIs'!$H$4:$H$503,(_calc!$E$468-500)),"yyyy-mm-dd"),"")))</f>
        <v/>
      </c>
      <c r="C466" s="46">
        <f>IF(_calc!$E$468="","",IF(_calc!$E$468&lt;=500,"Insurance","Certificate of insurance"))</f>
        <v/>
      </c>
      <c r="D466" s="46">
        <f>IF(_calc!$E$468="","",IF(_calc!$E$468&lt;=500,IF(ISNUMBER(INDEX('Our policies'!$I$4:$I$503,_calc!$E$468)),TEXT(INDEX('Our policies'!$I$4:$I$503,_calc!$E$468),"yyyy-mm-dd"),""),""))</f>
        <v/>
      </c>
      <c r="E466" s="46">
        <f>IF(_calc!$E$468="","",IF(_calc!$E$468&lt;=500,IF(LEN(INDEX('Our policies'!$Q$4:$Q$503,_calc!$E$468))=0,"",INDEX('Our policies'!$Q$4:$Q$503,_calc!$E$468)),"Medium"))</f>
        <v/>
      </c>
      <c r="F466" s="46">
        <f>IF(_calc!$E$468="","",IF(_calc!$E$468&lt;=500,TRIM(IF(LEN(IF(LEN(INDEX('Our policies'!$B$4:$B$503,_calc!$E$468))=0,"",INDEX('Our policies'!$B$4:$B$503,_calc!$E$468)))=0,"","Cover: "&amp;IF(LEN(INDEX('Our policies'!$B$4:$B$503,_calc!$E$468))=0,"",INDEX('Our policies'!$B$4:$B$503,_calc!$E$468))&amp;". ")&amp;IF(LEN(IF(LEN(INDEX('Our policies'!$C$4:$C$503,_calc!$E$468))=0,"",INDEX('Our policies'!$C$4:$C$503,_calc!$E$468)))=0,"","Insurer: "&amp;IF(LEN(INDEX('Our policies'!$C$4:$C$503,_calc!$E$468))=0,"",INDEX('Our policies'!$C$4:$C$503,_calc!$E$468))&amp;". ")&amp;IF(LEN(IF(LEN(INDEX('Our policies'!$D$4:$D$503,_calc!$E$468))=0,"",INDEX('Our policies'!$D$4:$D$503,_calc!$E$468)))=0,"","Broker: "&amp;IF(LEN(INDEX('Our policies'!$D$4:$D$503,_calc!$E$468))=0,"",INDEX('Our policies'!$D$4:$D$503,_calc!$E$468))&amp;". ")&amp;IF(LEN(IF(LEN(INDEX('Our policies'!$E$4:$E$503,_calc!$E$468))=0,"",INDEX('Our policies'!$E$4:$E$503,_calc!$E$468)))=0,"","Policy no.: "&amp;IF(LEN(INDEX('Our policies'!$E$4:$E$503,_calc!$E$468))=0,"",INDEX('Our policies'!$E$4:$E$503,_calc!$E$468))&amp;". ")&amp;IF(LEN(IF(LEN(INDEX('Our policies'!$S$4:$S$503,_calc!$E$468))=0,"",INDEX('Our policies'!$S$4:$S$503,_calc!$E$468)))=0,"",IF(LEN(INDEX('Our policies'!$S$4:$S$503,_calc!$E$468))=0,"",INDEX('Our policies'!$S$4:$S$503,_calc!$E$468)))),TRIM(IF(LEN(IF(LEN(INDEX('Vendor COIs'!$C$4:$C$503,(_calc!$E$468-500)))=0,"",INDEX('Vendor COIs'!$C$4:$C$503,(_calc!$E$468-500))))=0,"","Insurer: "&amp;IF(LEN(INDEX('Vendor COIs'!$C$4:$C$503,(_calc!$E$468-500)))=0,"",INDEX('Vendor COIs'!$C$4:$C$503,(_calc!$E$468-500)))&amp;". ")&amp;IF(LEN(IF(LEN(INDEX('Vendor COIs'!$D$4:$D$503,(_calc!$E$468-500)))=0,"",INDEX('Vendor COIs'!$D$4:$D$503,(_calc!$E$468-500))))=0,"","Policy no.: "&amp;IF(LEN(INDEX('Vendor COIs'!$D$4:$D$503,(_calc!$E$468-500)))=0,"",INDEX('Vendor COIs'!$D$4:$D$503,(_calc!$E$468-500)))&amp;". ")&amp;IF(LEN(IF(LEN(INDEX('Vendor COIs'!$F$4:$F$503,(_calc!$E$468-500)))=0,"",INDEX('Vendor COIs'!$F$4:$F$503,(_calc!$E$468-500))))=0,"","Meets minimum: "&amp;IF(LEN(INDEX('Vendor COIs'!$F$4:$F$503,(_calc!$E$468-500)))=0,"",INDEX('Vendor COIs'!$F$4:$F$503,(_calc!$E$468-500)))&amp;". ")&amp;IF(LEN(IF(LEN(INDEX('Vendor COIs'!$G$4:$G$503,(_calc!$E$468-500)))=0,"",INDEX('Vendor COIs'!$G$4:$G$503,(_calc!$E$468-500))))=0,"","Additional insured: "&amp;IF(LEN(INDEX('Vendor COIs'!$G$4:$G$503,(_calc!$E$468-500)))=0,"",INDEX('Vendor COIs'!$G$4:$G$503,(_calc!$E$468-500)))&amp;". ")&amp;IF(LEN(IF(LEN(INDEX('Vendor COIs'!$M$4:$M$503,(_calc!$E$468-500)))=0,"",INDEX('Vendor COIs'!$M$4:$M$503,(_calc!$E$468-500))))=0,"","Vendor contact: "&amp;IF(LEN(INDEX('Vendor COIs'!$M$4:$M$503,(_calc!$E$468-500)))=0,"",INDEX('Vendor COIs'!$M$4:$M$503,(_calc!$E$468-500)))&amp;". ")&amp;IF(LEN(IF(LEN(INDEX('Vendor COIs'!$P$4:$P$503,(_calc!$E$468-500)))=0,"",INDEX('Vendor COIs'!$P$4:$P$503,(_calc!$E$468-500))))=0,"",IF(LEN(INDEX('Vendor COIs'!$P$4:$P$503,(_calc!$E$468-500)))=0,"",INDEX('Vendor COIs'!$P$4:$P$503,(_calc!$E$468-500)))))))</f>
        <v/>
      </c>
      <c r="G466" s="46">
        <f>IF(_calc!$E$468="","",IF(_calc!$E$468&lt;=500,IF(LEN(INDEX('Our policies'!$R$4:$R$503,_calc!$E$468))=0,"",INDEX('Our policies'!$R$4:$R$503,_calc!$E$468)),IF(LEN(INDEX('Vendor COIs'!$O$4:$O$503,(_calc!$E$468-500)))=0,"",INDEX('Vendor COIs'!$O$4:$O$503,(_calc!$E$468-500)))))</f>
        <v/>
      </c>
      <c r="H466" s="46">
        <f>IF(_calc!$E$468="","",IF(_calc!$E$468&lt;=500,IF(LEN(INDEX('Our policies'!$G$4:$G$503,_calc!$E$468))=0,"",INDEX('Our policies'!$G$4:$G$503,_calc!$E$468)),""))</f>
        <v/>
      </c>
      <c r="I466" s="46">
        <f>IF(_calc!$E$468="","",IF(_calc!$E$468&lt;=500,IF(LEN(INDEX('Our policies'!$H$4:$H$503,_calc!$E$468))=0,"",INDEX('Our policies'!$H$4:$H$503,_calc!$E$468)),""))</f>
        <v/>
      </c>
      <c r="K466" s="46">
        <f>IF(_calc!$E$468="","",IF(_calc!$E$468&lt;=500,IF(LEN(INDEX('Our policies'!$P$4:$P$503,_calc!$E$468))=0,"",INDEX('Our policies'!$P$4:$P$503,_calc!$E$468)),IF(LEN(INDEX('Vendor COIs'!$N$4:$N$503,(_calc!$E$468-500)))=0,"",INDEX('Vendor COIs'!$N$4:$N$503,(_calc!$E$468-500)))))</f>
        <v/>
      </c>
    </row>
    <row r="467">
      <c r="A467" s="46">
        <f>IF(_calc!$E$469="","",IF(_calc!$E$469&lt;=500,IF(LEN(INDEX('Our policies'!$A$4:$A$503,_calc!$E$469))=0,"",INDEX('Our policies'!$A$4:$A$503,_calc!$E$469)),"COI – "&amp;IF(LEN(INDEX('Vendor COIs'!$A$4:$A$503,(_calc!$E$469-500)))=0,"",INDEX('Vendor COIs'!$A$4:$A$503,(_calc!$E$469-500)))&amp;" – "&amp;IF(LEN(INDEX('Vendor COIs'!$B$4:$B$503,(_calc!$E$469-500)))=0,"",INDEX('Vendor COIs'!$B$4:$B$503,(_calc!$E$469-500)))))</f>
        <v/>
      </c>
      <c r="B467" s="46">
        <f>IF(_calc!$E$469="","",IF(_calc!$E$469&lt;=500,IF(ISNUMBER(INDEX('Our policies'!$J$4:$J$503,_calc!$E$469)),TEXT(INDEX('Our policies'!$J$4:$J$503,_calc!$E$469),"yyyy-mm-dd"),""),IF(ISNUMBER(INDEX('Vendor COIs'!$H$4:$H$503,(_calc!$E$469-500))),TEXT(INDEX('Vendor COIs'!$H$4:$H$503,(_calc!$E$469-500)),"yyyy-mm-dd"),"")))</f>
        <v/>
      </c>
      <c r="C467" s="46">
        <f>IF(_calc!$E$469="","",IF(_calc!$E$469&lt;=500,"Insurance","Certificate of insurance"))</f>
        <v/>
      </c>
      <c r="D467" s="46">
        <f>IF(_calc!$E$469="","",IF(_calc!$E$469&lt;=500,IF(ISNUMBER(INDEX('Our policies'!$I$4:$I$503,_calc!$E$469)),TEXT(INDEX('Our policies'!$I$4:$I$503,_calc!$E$469),"yyyy-mm-dd"),""),""))</f>
        <v/>
      </c>
      <c r="E467" s="46">
        <f>IF(_calc!$E$469="","",IF(_calc!$E$469&lt;=500,IF(LEN(INDEX('Our policies'!$Q$4:$Q$503,_calc!$E$469))=0,"",INDEX('Our policies'!$Q$4:$Q$503,_calc!$E$469)),"Medium"))</f>
        <v/>
      </c>
      <c r="F467" s="46">
        <f>IF(_calc!$E$469="","",IF(_calc!$E$469&lt;=500,TRIM(IF(LEN(IF(LEN(INDEX('Our policies'!$B$4:$B$503,_calc!$E$469))=0,"",INDEX('Our policies'!$B$4:$B$503,_calc!$E$469)))=0,"","Cover: "&amp;IF(LEN(INDEX('Our policies'!$B$4:$B$503,_calc!$E$469))=0,"",INDEX('Our policies'!$B$4:$B$503,_calc!$E$469))&amp;". ")&amp;IF(LEN(IF(LEN(INDEX('Our policies'!$C$4:$C$503,_calc!$E$469))=0,"",INDEX('Our policies'!$C$4:$C$503,_calc!$E$469)))=0,"","Insurer: "&amp;IF(LEN(INDEX('Our policies'!$C$4:$C$503,_calc!$E$469))=0,"",INDEX('Our policies'!$C$4:$C$503,_calc!$E$469))&amp;". ")&amp;IF(LEN(IF(LEN(INDEX('Our policies'!$D$4:$D$503,_calc!$E$469))=0,"",INDEX('Our policies'!$D$4:$D$503,_calc!$E$469)))=0,"","Broker: "&amp;IF(LEN(INDEX('Our policies'!$D$4:$D$503,_calc!$E$469))=0,"",INDEX('Our policies'!$D$4:$D$503,_calc!$E$469))&amp;". ")&amp;IF(LEN(IF(LEN(INDEX('Our policies'!$E$4:$E$503,_calc!$E$469))=0,"",INDEX('Our policies'!$E$4:$E$503,_calc!$E$469)))=0,"","Policy no.: "&amp;IF(LEN(INDEX('Our policies'!$E$4:$E$503,_calc!$E$469))=0,"",INDEX('Our policies'!$E$4:$E$503,_calc!$E$469))&amp;". ")&amp;IF(LEN(IF(LEN(INDEX('Our policies'!$S$4:$S$503,_calc!$E$469))=0,"",INDEX('Our policies'!$S$4:$S$503,_calc!$E$469)))=0,"",IF(LEN(INDEX('Our policies'!$S$4:$S$503,_calc!$E$469))=0,"",INDEX('Our policies'!$S$4:$S$503,_calc!$E$469)))),TRIM(IF(LEN(IF(LEN(INDEX('Vendor COIs'!$C$4:$C$503,(_calc!$E$469-500)))=0,"",INDEX('Vendor COIs'!$C$4:$C$503,(_calc!$E$469-500))))=0,"","Insurer: "&amp;IF(LEN(INDEX('Vendor COIs'!$C$4:$C$503,(_calc!$E$469-500)))=0,"",INDEX('Vendor COIs'!$C$4:$C$503,(_calc!$E$469-500)))&amp;". ")&amp;IF(LEN(IF(LEN(INDEX('Vendor COIs'!$D$4:$D$503,(_calc!$E$469-500)))=0,"",INDEX('Vendor COIs'!$D$4:$D$503,(_calc!$E$469-500))))=0,"","Policy no.: "&amp;IF(LEN(INDEX('Vendor COIs'!$D$4:$D$503,(_calc!$E$469-500)))=0,"",INDEX('Vendor COIs'!$D$4:$D$503,(_calc!$E$469-500)))&amp;". ")&amp;IF(LEN(IF(LEN(INDEX('Vendor COIs'!$F$4:$F$503,(_calc!$E$469-500)))=0,"",INDEX('Vendor COIs'!$F$4:$F$503,(_calc!$E$469-500))))=0,"","Meets minimum: "&amp;IF(LEN(INDEX('Vendor COIs'!$F$4:$F$503,(_calc!$E$469-500)))=0,"",INDEX('Vendor COIs'!$F$4:$F$503,(_calc!$E$469-500)))&amp;". ")&amp;IF(LEN(IF(LEN(INDEX('Vendor COIs'!$G$4:$G$503,(_calc!$E$469-500)))=0,"",INDEX('Vendor COIs'!$G$4:$G$503,(_calc!$E$469-500))))=0,"","Additional insured: "&amp;IF(LEN(INDEX('Vendor COIs'!$G$4:$G$503,(_calc!$E$469-500)))=0,"",INDEX('Vendor COIs'!$G$4:$G$503,(_calc!$E$469-500)))&amp;". ")&amp;IF(LEN(IF(LEN(INDEX('Vendor COIs'!$M$4:$M$503,(_calc!$E$469-500)))=0,"",INDEX('Vendor COIs'!$M$4:$M$503,(_calc!$E$469-500))))=0,"","Vendor contact: "&amp;IF(LEN(INDEX('Vendor COIs'!$M$4:$M$503,(_calc!$E$469-500)))=0,"",INDEX('Vendor COIs'!$M$4:$M$503,(_calc!$E$469-500)))&amp;". ")&amp;IF(LEN(IF(LEN(INDEX('Vendor COIs'!$P$4:$P$503,(_calc!$E$469-500)))=0,"",INDEX('Vendor COIs'!$P$4:$P$503,(_calc!$E$469-500))))=0,"",IF(LEN(INDEX('Vendor COIs'!$P$4:$P$503,(_calc!$E$469-500)))=0,"",INDEX('Vendor COIs'!$P$4:$P$503,(_calc!$E$469-500)))))))</f>
        <v/>
      </c>
      <c r="G467" s="46">
        <f>IF(_calc!$E$469="","",IF(_calc!$E$469&lt;=500,IF(LEN(INDEX('Our policies'!$R$4:$R$503,_calc!$E$469))=0,"",INDEX('Our policies'!$R$4:$R$503,_calc!$E$469)),IF(LEN(INDEX('Vendor COIs'!$O$4:$O$503,(_calc!$E$469-500)))=0,"",INDEX('Vendor COIs'!$O$4:$O$503,(_calc!$E$469-500)))))</f>
        <v/>
      </c>
      <c r="H467" s="46">
        <f>IF(_calc!$E$469="","",IF(_calc!$E$469&lt;=500,IF(LEN(INDEX('Our policies'!$G$4:$G$503,_calc!$E$469))=0,"",INDEX('Our policies'!$G$4:$G$503,_calc!$E$469)),""))</f>
        <v/>
      </c>
      <c r="I467" s="46">
        <f>IF(_calc!$E$469="","",IF(_calc!$E$469&lt;=500,IF(LEN(INDEX('Our policies'!$H$4:$H$503,_calc!$E$469))=0,"",INDEX('Our policies'!$H$4:$H$503,_calc!$E$469)),""))</f>
        <v/>
      </c>
      <c r="K467" s="46">
        <f>IF(_calc!$E$469="","",IF(_calc!$E$469&lt;=500,IF(LEN(INDEX('Our policies'!$P$4:$P$503,_calc!$E$469))=0,"",INDEX('Our policies'!$P$4:$P$503,_calc!$E$469)),IF(LEN(INDEX('Vendor COIs'!$N$4:$N$503,(_calc!$E$469-500)))=0,"",INDEX('Vendor COIs'!$N$4:$N$503,(_calc!$E$469-500)))))</f>
        <v/>
      </c>
    </row>
    <row r="468">
      <c r="A468" s="46">
        <f>IF(_calc!$E$470="","",IF(_calc!$E$470&lt;=500,IF(LEN(INDEX('Our policies'!$A$4:$A$503,_calc!$E$470))=0,"",INDEX('Our policies'!$A$4:$A$503,_calc!$E$470)),"COI – "&amp;IF(LEN(INDEX('Vendor COIs'!$A$4:$A$503,(_calc!$E$470-500)))=0,"",INDEX('Vendor COIs'!$A$4:$A$503,(_calc!$E$470-500)))&amp;" – "&amp;IF(LEN(INDEX('Vendor COIs'!$B$4:$B$503,(_calc!$E$470-500)))=0,"",INDEX('Vendor COIs'!$B$4:$B$503,(_calc!$E$470-500)))))</f>
        <v/>
      </c>
      <c r="B468" s="46">
        <f>IF(_calc!$E$470="","",IF(_calc!$E$470&lt;=500,IF(ISNUMBER(INDEX('Our policies'!$J$4:$J$503,_calc!$E$470)),TEXT(INDEX('Our policies'!$J$4:$J$503,_calc!$E$470),"yyyy-mm-dd"),""),IF(ISNUMBER(INDEX('Vendor COIs'!$H$4:$H$503,(_calc!$E$470-500))),TEXT(INDEX('Vendor COIs'!$H$4:$H$503,(_calc!$E$470-500)),"yyyy-mm-dd"),"")))</f>
        <v/>
      </c>
      <c r="C468" s="46">
        <f>IF(_calc!$E$470="","",IF(_calc!$E$470&lt;=500,"Insurance","Certificate of insurance"))</f>
        <v/>
      </c>
      <c r="D468" s="46">
        <f>IF(_calc!$E$470="","",IF(_calc!$E$470&lt;=500,IF(ISNUMBER(INDEX('Our policies'!$I$4:$I$503,_calc!$E$470)),TEXT(INDEX('Our policies'!$I$4:$I$503,_calc!$E$470),"yyyy-mm-dd"),""),""))</f>
        <v/>
      </c>
      <c r="E468" s="46">
        <f>IF(_calc!$E$470="","",IF(_calc!$E$470&lt;=500,IF(LEN(INDEX('Our policies'!$Q$4:$Q$503,_calc!$E$470))=0,"",INDEX('Our policies'!$Q$4:$Q$503,_calc!$E$470)),"Medium"))</f>
        <v/>
      </c>
      <c r="F468" s="46">
        <f>IF(_calc!$E$470="","",IF(_calc!$E$470&lt;=500,TRIM(IF(LEN(IF(LEN(INDEX('Our policies'!$B$4:$B$503,_calc!$E$470))=0,"",INDEX('Our policies'!$B$4:$B$503,_calc!$E$470)))=0,"","Cover: "&amp;IF(LEN(INDEX('Our policies'!$B$4:$B$503,_calc!$E$470))=0,"",INDEX('Our policies'!$B$4:$B$503,_calc!$E$470))&amp;". ")&amp;IF(LEN(IF(LEN(INDEX('Our policies'!$C$4:$C$503,_calc!$E$470))=0,"",INDEX('Our policies'!$C$4:$C$503,_calc!$E$470)))=0,"","Insurer: "&amp;IF(LEN(INDEX('Our policies'!$C$4:$C$503,_calc!$E$470))=0,"",INDEX('Our policies'!$C$4:$C$503,_calc!$E$470))&amp;". ")&amp;IF(LEN(IF(LEN(INDEX('Our policies'!$D$4:$D$503,_calc!$E$470))=0,"",INDEX('Our policies'!$D$4:$D$503,_calc!$E$470)))=0,"","Broker: "&amp;IF(LEN(INDEX('Our policies'!$D$4:$D$503,_calc!$E$470))=0,"",INDEX('Our policies'!$D$4:$D$503,_calc!$E$470))&amp;". ")&amp;IF(LEN(IF(LEN(INDEX('Our policies'!$E$4:$E$503,_calc!$E$470))=0,"",INDEX('Our policies'!$E$4:$E$503,_calc!$E$470)))=0,"","Policy no.: "&amp;IF(LEN(INDEX('Our policies'!$E$4:$E$503,_calc!$E$470))=0,"",INDEX('Our policies'!$E$4:$E$503,_calc!$E$470))&amp;". ")&amp;IF(LEN(IF(LEN(INDEX('Our policies'!$S$4:$S$503,_calc!$E$470))=0,"",INDEX('Our policies'!$S$4:$S$503,_calc!$E$470)))=0,"",IF(LEN(INDEX('Our policies'!$S$4:$S$503,_calc!$E$470))=0,"",INDEX('Our policies'!$S$4:$S$503,_calc!$E$470)))),TRIM(IF(LEN(IF(LEN(INDEX('Vendor COIs'!$C$4:$C$503,(_calc!$E$470-500)))=0,"",INDEX('Vendor COIs'!$C$4:$C$503,(_calc!$E$470-500))))=0,"","Insurer: "&amp;IF(LEN(INDEX('Vendor COIs'!$C$4:$C$503,(_calc!$E$470-500)))=0,"",INDEX('Vendor COIs'!$C$4:$C$503,(_calc!$E$470-500)))&amp;". ")&amp;IF(LEN(IF(LEN(INDEX('Vendor COIs'!$D$4:$D$503,(_calc!$E$470-500)))=0,"",INDEX('Vendor COIs'!$D$4:$D$503,(_calc!$E$470-500))))=0,"","Policy no.: "&amp;IF(LEN(INDEX('Vendor COIs'!$D$4:$D$503,(_calc!$E$470-500)))=0,"",INDEX('Vendor COIs'!$D$4:$D$503,(_calc!$E$470-500)))&amp;". ")&amp;IF(LEN(IF(LEN(INDEX('Vendor COIs'!$F$4:$F$503,(_calc!$E$470-500)))=0,"",INDEX('Vendor COIs'!$F$4:$F$503,(_calc!$E$470-500))))=0,"","Meets minimum: "&amp;IF(LEN(INDEX('Vendor COIs'!$F$4:$F$503,(_calc!$E$470-500)))=0,"",INDEX('Vendor COIs'!$F$4:$F$503,(_calc!$E$470-500)))&amp;". ")&amp;IF(LEN(IF(LEN(INDEX('Vendor COIs'!$G$4:$G$503,(_calc!$E$470-500)))=0,"",INDEX('Vendor COIs'!$G$4:$G$503,(_calc!$E$470-500))))=0,"","Additional insured: "&amp;IF(LEN(INDEX('Vendor COIs'!$G$4:$G$503,(_calc!$E$470-500)))=0,"",INDEX('Vendor COIs'!$G$4:$G$503,(_calc!$E$470-500)))&amp;". ")&amp;IF(LEN(IF(LEN(INDEX('Vendor COIs'!$M$4:$M$503,(_calc!$E$470-500)))=0,"",INDEX('Vendor COIs'!$M$4:$M$503,(_calc!$E$470-500))))=0,"","Vendor contact: "&amp;IF(LEN(INDEX('Vendor COIs'!$M$4:$M$503,(_calc!$E$470-500)))=0,"",INDEX('Vendor COIs'!$M$4:$M$503,(_calc!$E$470-500)))&amp;". ")&amp;IF(LEN(IF(LEN(INDEX('Vendor COIs'!$P$4:$P$503,(_calc!$E$470-500)))=0,"",INDEX('Vendor COIs'!$P$4:$P$503,(_calc!$E$470-500))))=0,"",IF(LEN(INDEX('Vendor COIs'!$P$4:$P$503,(_calc!$E$470-500)))=0,"",INDEX('Vendor COIs'!$P$4:$P$503,(_calc!$E$470-500)))))))</f>
        <v/>
      </c>
      <c r="G468" s="46">
        <f>IF(_calc!$E$470="","",IF(_calc!$E$470&lt;=500,IF(LEN(INDEX('Our policies'!$R$4:$R$503,_calc!$E$470))=0,"",INDEX('Our policies'!$R$4:$R$503,_calc!$E$470)),IF(LEN(INDEX('Vendor COIs'!$O$4:$O$503,(_calc!$E$470-500)))=0,"",INDEX('Vendor COIs'!$O$4:$O$503,(_calc!$E$470-500)))))</f>
        <v/>
      </c>
      <c r="H468" s="46">
        <f>IF(_calc!$E$470="","",IF(_calc!$E$470&lt;=500,IF(LEN(INDEX('Our policies'!$G$4:$G$503,_calc!$E$470))=0,"",INDEX('Our policies'!$G$4:$G$503,_calc!$E$470)),""))</f>
        <v/>
      </c>
      <c r="I468" s="46">
        <f>IF(_calc!$E$470="","",IF(_calc!$E$470&lt;=500,IF(LEN(INDEX('Our policies'!$H$4:$H$503,_calc!$E$470))=0,"",INDEX('Our policies'!$H$4:$H$503,_calc!$E$470)),""))</f>
        <v/>
      </c>
      <c r="K468" s="46">
        <f>IF(_calc!$E$470="","",IF(_calc!$E$470&lt;=500,IF(LEN(INDEX('Our policies'!$P$4:$P$503,_calc!$E$470))=0,"",INDEX('Our policies'!$P$4:$P$503,_calc!$E$470)),IF(LEN(INDEX('Vendor COIs'!$N$4:$N$503,(_calc!$E$470-500)))=0,"",INDEX('Vendor COIs'!$N$4:$N$503,(_calc!$E$470-500)))))</f>
        <v/>
      </c>
    </row>
    <row r="469">
      <c r="A469" s="46">
        <f>IF(_calc!$E$471="","",IF(_calc!$E$471&lt;=500,IF(LEN(INDEX('Our policies'!$A$4:$A$503,_calc!$E$471))=0,"",INDEX('Our policies'!$A$4:$A$503,_calc!$E$471)),"COI – "&amp;IF(LEN(INDEX('Vendor COIs'!$A$4:$A$503,(_calc!$E$471-500)))=0,"",INDEX('Vendor COIs'!$A$4:$A$503,(_calc!$E$471-500)))&amp;" – "&amp;IF(LEN(INDEX('Vendor COIs'!$B$4:$B$503,(_calc!$E$471-500)))=0,"",INDEX('Vendor COIs'!$B$4:$B$503,(_calc!$E$471-500)))))</f>
        <v/>
      </c>
      <c r="B469" s="46">
        <f>IF(_calc!$E$471="","",IF(_calc!$E$471&lt;=500,IF(ISNUMBER(INDEX('Our policies'!$J$4:$J$503,_calc!$E$471)),TEXT(INDEX('Our policies'!$J$4:$J$503,_calc!$E$471),"yyyy-mm-dd"),""),IF(ISNUMBER(INDEX('Vendor COIs'!$H$4:$H$503,(_calc!$E$471-500))),TEXT(INDEX('Vendor COIs'!$H$4:$H$503,(_calc!$E$471-500)),"yyyy-mm-dd"),"")))</f>
        <v/>
      </c>
      <c r="C469" s="46">
        <f>IF(_calc!$E$471="","",IF(_calc!$E$471&lt;=500,"Insurance","Certificate of insurance"))</f>
        <v/>
      </c>
      <c r="D469" s="46">
        <f>IF(_calc!$E$471="","",IF(_calc!$E$471&lt;=500,IF(ISNUMBER(INDEX('Our policies'!$I$4:$I$503,_calc!$E$471)),TEXT(INDEX('Our policies'!$I$4:$I$503,_calc!$E$471),"yyyy-mm-dd"),""),""))</f>
        <v/>
      </c>
      <c r="E469" s="46">
        <f>IF(_calc!$E$471="","",IF(_calc!$E$471&lt;=500,IF(LEN(INDEX('Our policies'!$Q$4:$Q$503,_calc!$E$471))=0,"",INDEX('Our policies'!$Q$4:$Q$503,_calc!$E$471)),"Medium"))</f>
        <v/>
      </c>
      <c r="F469" s="46">
        <f>IF(_calc!$E$471="","",IF(_calc!$E$471&lt;=500,TRIM(IF(LEN(IF(LEN(INDEX('Our policies'!$B$4:$B$503,_calc!$E$471))=0,"",INDEX('Our policies'!$B$4:$B$503,_calc!$E$471)))=0,"","Cover: "&amp;IF(LEN(INDEX('Our policies'!$B$4:$B$503,_calc!$E$471))=0,"",INDEX('Our policies'!$B$4:$B$503,_calc!$E$471))&amp;". ")&amp;IF(LEN(IF(LEN(INDEX('Our policies'!$C$4:$C$503,_calc!$E$471))=0,"",INDEX('Our policies'!$C$4:$C$503,_calc!$E$471)))=0,"","Insurer: "&amp;IF(LEN(INDEX('Our policies'!$C$4:$C$503,_calc!$E$471))=0,"",INDEX('Our policies'!$C$4:$C$503,_calc!$E$471))&amp;". ")&amp;IF(LEN(IF(LEN(INDEX('Our policies'!$D$4:$D$503,_calc!$E$471))=0,"",INDEX('Our policies'!$D$4:$D$503,_calc!$E$471)))=0,"","Broker: "&amp;IF(LEN(INDEX('Our policies'!$D$4:$D$503,_calc!$E$471))=0,"",INDEX('Our policies'!$D$4:$D$503,_calc!$E$471))&amp;". ")&amp;IF(LEN(IF(LEN(INDEX('Our policies'!$E$4:$E$503,_calc!$E$471))=0,"",INDEX('Our policies'!$E$4:$E$503,_calc!$E$471)))=0,"","Policy no.: "&amp;IF(LEN(INDEX('Our policies'!$E$4:$E$503,_calc!$E$471))=0,"",INDEX('Our policies'!$E$4:$E$503,_calc!$E$471))&amp;". ")&amp;IF(LEN(IF(LEN(INDEX('Our policies'!$S$4:$S$503,_calc!$E$471))=0,"",INDEX('Our policies'!$S$4:$S$503,_calc!$E$471)))=0,"",IF(LEN(INDEX('Our policies'!$S$4:$S$503,_calc!$E$471))=0,"",INDEX('Our policies'!$S$4:$S$503,_calc!$E$471)))),TRIM(IF(LEN(IF(LEN(INDEX('Vendor COIs'!$C$4:$C$503,(_calc!$E$471-500)))=0,"",INDEX('Vendor COIs'!$C$4:$C$503,(_calc!$E$471-500))))=0,"","Insurer: "&amp;IF(LEN(INDEX('Vendor COIs'!$C$4:$C$503,(_calc!$E$471-500)))=0,"",INDEX('Vendor COIs'!$C$4:$C$503,(_calc!$E$471-500)))&amp;". ")&amp;IF(LEN(IF(LEN(INDEX('Vendor COIs'!$D$4:$D$503,(_calc!$E$471-500)))=0,"",INDEX('Vendor COIs'!$D$4:$D$503,(_calc!$E$471-500))))=0,"","Policy no.: "&amp;IF(LEN(INDEX('Vendor COIs'!$D$4:$D$503,(_calc!$E$471-500)))=0,"",INDEX('Vendor COIs'!$D$4:$D$503,(_calc!$E$471-500)))&amp;". ")&amp;IF(LEN(IF(LEN(INDEX('Vendor COIs'!$F$4:$F$503,(_calc!$E$471-500)))=0,"",INDEX('Vendor COIs'!$F$4:$F$503,(_calc!$E$471-500))))=0,"","Meets minimum: "&amp;IF(LEN(INDEX('Vendor COIs'!$F$4:$F$503,(_calc!$E$471-500)))=0,"",INDEX('Vendor COIs'!$F$4:$F$503,(_calc!$E$471-500)))&amp;". ")&amp;IF(LEN(IF(LEN(INDEX('Vendor COIs'!$G$4:$G$503,(_calc!$E$471-500)))=0,"",INDEX('Vendor COIs'!$G$4:$G$503,(_calc!$E$471-500))))=0,"","Additional insured: "&amp;IF(LEN(INDEX('Vendor COIs'!$G$4:$G$503,(_calc!$E$471-500)))=0,"",INDEX('Vendor COIs'!$G$4:$G$503,(_calc!$E$471-500)))&amp;". ")&amp;IF(LEN(IF(LEN(INDEX('Vendor COIs'!$M$4:$M$503,(_calc!$E$471-500)))=0,"",INDEX('Vendor COIs'!$M$4:$M$503,(_calc!$E$471-500))))=0,"","Vendor contact: "&amp;IF(LEN(INDEX('Vendor COIs'!$M$4:$M$503,(_calc!$E$471-500)))=0,"",INDEX('Vendor COIs'!$M$4:$M$503,(_calc!$E$471-500)))&amp;". ")&amp;IF(LEN(IF(LEN(INDEX('Vendor COIs'!$P$4:$P$503,(_calc!$E$471-500)))=0,"",INDEX('Vendor COIs'!$P$4:$P$503,(_calc!$E$471-500))))=0,"",IF(LEN(INDEX('Vendor COIs'!$P$4:$P$503,(_calc!$E$471-500)))=0,"",INDEX('Vendor COIs'!$P$4:$P$503,(_calc!$E$471-500)))))))</f>
        <v/>
      </c>
      <c r="G469" s="46">
        <f>IF(_calc!$E$471="","",IF(_calc!$E$471&lt;=500,IF(LEN(INDEX('Our policies'!$R$4:$R$503,_calc!$E$471))=0,"",INDEX('Our policies'!$R$4:$R$503,_calc!$E$471)),IF(LEN(INDEX('Vendor COIs'!$O$4:$O$503,(_calc!$E$471-500)))=0,"",INDEX('Vendor COIs'!$O$4:$O$503,(_calc!$E$471-500)))))</f>
        <v/>
      </c>
      <c r="H469" s="46">
        <f>IF(_calc!$E$471="","",IF(_calc!$E$471&lt;=500,IF(LEN(INDEX('Our policies'!$G$4:$G$503,_calc!$E$471))=0,"",INDEX('Our policies'!$G$4:$G$503,_calc!$E$471)),""))</f>
        <v/>
      </c>
      <c r="I469" s="46">
        <f>IF(_calc!$E$471="","",IF(_calc!$E$471&lt;=500,IF(LEN(INDEX('Our policies'!$H$4:$H$503,_calc!$E$471))=0,"",INDEX('Our policies'!$H$4:$H$503,_calc!$E$471)),""))</f>
        <v/>
      </c>
      <c r="K469" s="46">
        <f>IF(_calc!$E$471="","",IF(_calc!$E$471&lt;=500,IF(LEN(INDEX('Our policies'!$P$4:$P$503,_calc!$E$471))=0,"",INDEX('Our policies'!$P$4:$P$503,_calc!$E$471)),IF(LEN(INDEX('Vendor COIs'!$N$4:$N$503,(_calc!$E$471-500)))=0,"",INDEX('Vendor COIs'!$N$4:$N$503,(_calc!$E$471-500)))))</f>
        <v/>
      </c>
    </row>
    <row r="470">
      <c r="A470" s="46">
        <f>IF(_calc!$E$472="","",IF(_calc!$E$472&lt;=500,IF(LEN(INDEX('Our policies'!$A$4:$A$503,_calc!$E$472))=0,"",INDEX('Our policies'!$A$4:$A$503,_calc!$E$472)),"COI – "&amp;IF(LEN(INDEX('Vendor COIs'!$A$4:$A$503,(_calc!$E$472-500)))=0,"",INDEX('Vendor COIs'!$A$4:$A$503,(_calc!$E$472-500)))&amp;" – "&amp;IF(LEN(INDEX('Vendor COIs'!$B$4:$B$503,(_calc!$E$472-500)))=0,"",INDEX('Vendor COIs'!$B$4:$B$503,(_calc!$E$472-500)))))</f>
        <v/>
      </c>
      <c r="B470" s="46">
        <f>IF(_calc!$E$472="","",IF(_calc!$E$472&lt;=500,IF(ISNUMBER(INDEX('Our policies'!$J$4:$J$503,_calc!$E$472)),TEXT(INDEX('Our policies'!$J$4:$J$503,_calc!$E$472),"yyyy-mm-dd"),""),IF(ISNUMBER(INDEX('Vendor COIs'!$H$4:$H$503,(_calc!$E$472-500))),TEXT(INDEX('Vendor COIs'!$H$4:$H$503,(_calc!$E$472-500)),"yyyy-mm-dd"),"")))</f>
        <v/>
      </c>
      <c r="C470" s="46">
        <f>IF(_calc!$E$472="","",IF(_calc!$E$472&lt;=500,"Insurance","Certificate of insurance"))</f>
        <v/>
      </c>
      <c r="D470" s="46">
        <f>IF(_calc!$E$472="","",IF(_calc!$E$472&lt;=500,IF(ISNUMBER(INDEX('Our policies'!$I$4:$I$503,_calc!$E$472)),TEXT(INDEX('Our policies'!$I$4:$I$503,_calc!$E$472),"yyyy-mm-dd"),""),""))</f>
        <v/>
      </c>
      <c r="E470" s="46">
        <f>IF(_calc!$E$472="","",IF(_calc!$E$472&lt;=500,IF(LEN(INDEX('Our policies'!$Q$4:$Q$503,_calc!$E$472))=0,"",INDEX('Our policies'!$Q$4:$Q$503,_calc!$E$472)),"Medium"))</f>
        <v/>
      </c>
      <c r="F470" s="46">
        <f>IF(_calc!$E$472="","",IF(_calc!$E$472&lt;=500,TRIM(IF(LEN(IF(LEN(INDEX('Our policies'!$B$4:$B$503,_calc!$E$472))=0,"",INDEX('Our policies'!$B$4:$B$503,_calc!$E$472)))=0,"","Cover: "&amp;IF(LEN(INDEX('Our policies'!$B$4:$B$503,_calc!$E$472))=0,"",INDEX('Our policies'!$B$4:$B$503,_calc!$E$472))&amp;". ")&amp;IF(LEN(IF(LEN(INDEX('Our policies'!$C$4:$C$503,_calc!$E$472))=0,"",INDEX('Our policies'!$C$4:$C$503,_calc!$E$472)))=0,"","Insurer: "&amp;IF(LEN(INDEX('Our policies'!$C$4:$C$503,_calc!$E$472))=0,"",INDEX('Our policies'!$C$4:$C$503,_calc!$E$472))&amp;". ")&amp;IF(LEN(IF(LEN(INDEX('Our policies'!$D$4:$D$503,_calc!$E$472))=0,"",INDEX('Our policies'!$D$4:$D$503,_calc!$E$472)))=0,"","Broker: "&amp;IF(LEN(INDEX('Our policies'!$D$4:$D$503,_calc!$E$472))=0,"",INDEX('Our policies'!$D$4:$D$503,_calc!$E$472))&amp;". ")&amp;IF(LEN(IF(LEN(INDEX('Our policies'!$E$4:$E$503,_calc!$E$472))=0,"",INDEX('Our policies'!$E$4:$E$503,_calc!$E$472)))=0,"","Policy no.: "&amp;IF(LEN(INDEX('Our policies'!$E$4:$E$503,_calc!$E$472))=0,"",INDEX('Our policies'!$E$4:$E$503,_calc!$E$472))&amp;". ")&amp;IF(LEN(IF(LEN(INDEX('Our policies'!$S$4:$S$503,_calc!$E$472))=0,"",INDEX('Our policies'!$S$4:$S$503,_calc!$E$472)))=0,"",IF(LEN(INDEX('Our policies'!$S$4:$S$503,_calc!$E$472))=0,"",INDEX('Our policies'!$S$4:$S$503,_calc!$E$472)))),TRIM(IF(LEN(IF(LEN(INDEX('Vendor COIs'!$C$4:$C$503,(_calc!$E$472-500)))=0,"",INDEX('Vendor COIs'!$C$4:$C$503,(_calc!$E$472-500))))=0,"","Insurer: "&amp;IF(LEN(INDEX('Vendor COIs'!$C$4:$C$503,(_calc!$E$472-500)))=0,"",INDEX('Vendor COIs'!$C$4:$C$503,(_calc!$E$472-500)))&amp;". ")&amp;IF(LEN(IF(LEN(INDEX('Vendor COIs'!$D$4:$D$503,(_calc!$E$472-500)))=0,"",INDEX('Vendor COIs'!$D$4:$D$503,(_calc!$E$472-500))))=0,"","Policy no.: "&amp;IF(LEN(INDEX('Vendor COIs'!$D$4:$D$503,(_calc!$E$472-500)))=0,"",INDEX('Vendor COIs'!$D$4:$D$503,(_calc!$E$472-500)))&amp;". ")&amp;IF(LEN(IF(LEN(INDEX('Vendor COIs'!$F$4:$F$503,(_calc!$E$472-500)))=0,"",INDEX('Vendor COIs'!$F$4:$F$503,(_calc!$E$472-500))))=0,"","Meets minimum: "&amp;IF(LEN(INDEX('Vendor COIs'!$F$4:$F$503,(_calc!$E$472-500)))=0,"",INDEX('Vendor COIs'!$F$4:$F$503,(_calc!$E$472-500)))&amp;". ")&amp;IF(LEN(IF(LEN(INDEX('Vendor COIs'!$G$4:$G$503,(_calc!$E$472-500)))=0,"",INDEX('Vendor COIs'!$G$4:$G$503,(_calc!$E$472-500))))=0,"","Additional insured: "&amp;IF(LEN(INDEX('Vendor COIs'!$G$4:$G$503,(_calc!$E$472-500)))=0,"",INDEX('Vendor COIs'!$G$4:$G$503,(_calc!$E$472-500)))&amp;". ")&amp;IF(LEN(IF(LEN(INDEX('Vendor COIs'!$M$4:$M$503,(_calc!$E$472-500)))=0,"",INDEX('Vendor COIs'!$M$4:$M$503,(_calc!$E$472-500))))=0,"","Vendor contact: "&amp;IF(LEN(INDEX('Vendor COIs'!$M$4:$M$503,(_calc!$E$472-500)))=0,"",INDEX('Vendor COIs'!$M$4:$M$503,(_calc!$E$472-500)))&amp;". ")&amp;IF(LEN(IF(LEN(INDEX('Vendor COIs'!$P$4:$P$503,(_calc!$E$472-500)))=0,"",INDEX('Vendor COIs'!$P$4:$P$503,(_calc!$E$472-500))))=0,"",IF(LEN(INDEX('Vendor COIs'!$P$4:$P$503,(_calc!$E$472-500)))=0,"",INDEX('Vendor COIs'!$P$4:$P$503,(_calc!$E$472-500)))))))</f>
        <v/>
      </c>
      <c r="G470" s="46">
        <f>IF(_calc!$E$472="","",IF(_calc!$E$472&lt;=500,IF(LEN(INDEX('Our policies'!$R$4:$R$503,_calc!$E$472))=0,"",INDEX('Our policies'!$R$4:$R$503,_calc!$E$472)),IF(LEN(INDEX('Vendor COIs'!$O$4:$O$503,(_calc!$E$472-500)))=0,"",INDEX('Vendor COIs'!$O$4:$O$503,(_calc!$E$472-500)))))</f>
        <v/>
      </c>
      <c r="H470" s="46">
        <f>IF(_calc!$E$472="","",IF(_calc!$E$472&lt;=500,IF(LEN(INDEX('Our policies'!$G$4:$G$503,_calc!$E$472))=0,"",INDEX('Our policies'!$G$4:$G$503,_calc!$E$472)),""))</f>
        <v/>
      </c>
      <c r="I470" s="46">
        <f>IF(_calc!$E$472="","",IF(_calc!$E$472&lt;=500,IF(LEN(INDEX('Our policies'!$H$4:$H$503,_calc!$E$472))=0,"",INDEX('Our policies'!$H$4:$H$503,_calc!$E$472)),""))</f>
        <v/>
      </c>
      <c r="K470" s="46">
        <f>IF(_calc!$E$472="","",IF(_calc!$E$472&lt;=500,IF(LEN(INDEX('Our policies'!$P$4:$P$503,_calc!$E$472))=0,"",INDEX('Our policies'!$P$4:$P$503,_calc!$E$472)),IF(LEN(INDEX('Vendor COIs'!$N$4:$N$503,(_calc!$E$472-500)))=0,"",INDEX('Vendor COIs'!$N$4:$N$503,(_calc!$E$472-500)))))</f>
        <v/>
      </c>
    </row>
    <row r="471">
      <c r="A471" s="46">
        <f>IF(_calc!$E$473="","",IF(_calc!$E$473&lt;=500,IF(LEN(INDEX('Our policies'!$A$4:$A$503,_calc!$E$473))=0,"",INDEX('Our policies'!$A$4:$A$503,_calc!$E$473)),"COI – "&amp;IF(LEN(INDEX('Vendor COIs'!$A$4:$A$503,(_calc!$E$473-500)))=0,"",INDEX('Vendor COIs'!$A$4:$A$503,(_calc!$E$473-500)))&amp;" – "&amp;IF(LEN(INDEX('Vendor COIs'!$B$4:$B$503,(_calc!$E$473-500)))=0,"",INDEX('Vendor COIs'!$B$4:$B$503,(_calc!$E$473-500)))))</f>
        <v/>
      </c>
      <c r="B471" s="46">
        <f>IF(_calc!$E$473="","",IF(_calc!$E$473&lt;=500,IF(ISNUMBER(INDEX('Our policies'!$J$4:$J$503,_calc!$E$473)),TEXT(INDEX('Our policies'!$J$4:$J$503,_calc!$E$473),"yyyy-mm-dd"),""),IF(ISNUMBER(INDEX('Vendor COIs'!$H$4:$H$503,(_calc!$E$473-500))),TEXT(INDEX('Vendor COIs'!$H$4:$H$503,(_calc!$E$473-500)),"yyyy-mm-dd"),"")))</f>
        <v/>
      </c>
      <c r="C471" s="46">
        <f>IF(_calc!$E$473="","",IF(_calc!$E$473&lt;=500,"Insurance","Certificate of insurance"))</f>
        <v/>
      </c>
      <c r="D471" s="46">
        <f>IF(_calc!$E$473="","",IF(_calc!$E$473&lt;=500,IF(ISNUMBER(INDEX('Our policies'!$I$4:$I$503,_calc!$E$473)),TEXT(INDEX('Our policies'!$I$4:$I$503,_calc!$E$473),"yyyy-mm-dd"),""),""))</f>
        <v/>
      </c>
      <c r="E471" s="46">
        <f>IF(_calc!$E$473="","",IF(_calc!$E$473&lt;=500,IF(LEN(INDEX('Our policies'!$Q$4:$Q$503,_calc!$E$473))=0,"",INDEX('Our policies'!$Q$4:$Q$503,_calc!$E$473)),"Medium"))</f>
        <v/>
      </c>
      <c r="F471" s="46">
        <f>IF(_calc!$E$473="","",IF(_calc!$E$473&lt;=500,TRIM(IF(LEN(IF(LEN(INDEX('Our policies'!$B$4:$B$503,_calc!$E$473))=0,"",INDEX('Our policies'!$B$4:$B$503,_calc!$E$473)))=0,"","Cover: "&amp;IF(LEN(INDEX('Our policies'!$B$4:$B$503,_calc!$E$473))=0,"",INDEX('Our policies'!$B$4:$B$503,_calc!$E$473))&amp;". ")&amp;IF(LEN(IF(LEN(INDEX('Our policies'!$C$4:$C$503,_calc!$E$473))=0,"",INDEX('Our policies'!$C$4:$C$503,_calc!$E$473)))=0,"","Insurer: "&amp;IF(LEN(INDEX('Our policies'!$C$4:$C$503,_calc!$E$473))=0,"",INDEX('Our policies'!$C$4:$C$503,_calc!$E$473))&amp;". ")&amp;IF(LEN(IF(LEN(INDEX('Our policies'!$D$4:$D$503,_calc!$E$473))=0,"",INDEX('Our policies'!$D$4:$D$503,_calc!$E$473)))=0,"","Broker: "&amp;IF(LEN(INDEX('Our policies'!$D$4:$D$503,_calc!$E$473))=0,"",INDEX('Our policies'!$D$4:$D$503,_calc!$E$473))&amp;". ")&amp;IF(LEN(IF(LEN(INDEX('Our policies'!$E$4:$E$503,_calc!$E$473))=0,"",INDEX('Our policies'!$E$4:$E$503,_calc!$E$473)))=0,"","Policy no.: "&amp;IF(LEN(INDEX('Our policies'!$E$4:$E$503,_calc!$E$473))=0,"",INDEX('Our policies'!$E$4:$E$503,_calc!$E$473))&amp;". ")&amp;IF(LEN(IF(LEN(INDEX('Our policies'!$S$4:$S$503,_calc!$E$473))=0,"",INDEX('Our policies'!$S$4:$S$503,_calc!$E$473)))=0,"",IF(LEN(INDEX('Our policies'!$S$4:$S$503,_calc!$E$473))=0,"",INDEX('Our policies'!$S$4:$S$503,_calc!$E$473)))),TRIM(IF(LEN(IF(LEN(INDEX('Vendor COIs'!$C$4:$C$503,(_calc!$E$473-500)))=0,"",INDEX('Vendor COIs'!$C$4:$C$503,(_calc!$E$473-500))))=0,"","Insurer: "&amp;IF(LEN(INDEX('Vendor COIs'!$C$4:$C$503,(_calc!$E$473-500)))=0,"",INDEX('Vendor COIs'!$C$4:$C$503,(_calc!$E$473-500)))&amp;". ")&amp;IF(LEN(IF(LEN(INDEX('Vendor COIs'!$D$4:$D$503,(_calc!$E$473-500)))=0,"",INDEX('Vendor COIs'!$D$4:$D$503,(_calc!$E$473-500))))=0,"","Policy no.: "&amp;IF(LEN(INDEX('Vendor COIs'!$D$4:$D$503,(_calc!$E$473-500)))=0,"",INDEX('Vendor COIs'!$D$4:$D$503,(_calc!$E$473-500)))&amp;". ")&amp;IF(LEN(IF(LEN(INDEX('Vendor COIs'!$F$4:$F$503,(_calc!$E$473-500)))=0,"",INDEX('Vendor COIs'!$F$4:$F$503,(_calc!$E$473-500))))=0,"","Meets minimum: "&amp;IF(LEN(INDEX('Vendor COIs'!$F$4:$F$503,(_calc!$E$473-500)))=0,"",INDEX('Vendor COIs'!$F$4:$F$503,(_calc!$E$473-500)))&amp;". ")&amp;IF(LEN(IF(LEN(INDEX('Vendor COIs'!$G$4:$G$503,(_calc!$E$473-500)))=0,"",INDEX('Vendor COIs'!$G$4:$G$503,(_calc!$E$473-500))))=0,"","Additional insured: "&amp;IF(LEN(INDEX('Vendor COIs'!$G$4:$G$503,(_calc!$E$473-500)))=0,"",INDEX('Vendor COIs'!$G$4:$G$503,(_calc!$E$473-500)))&amp;". ")&amp;IF(LEN(IF(LEN(INDEX('Vendor COIs'!$M$4:$M$503,(_calc!$E$473-500)))=0,"",INDEX('Vendor COIs'!$M$4:$M$503,(_calc!$E$473-500))))=0,"","Vendor contact: "&amp;IF(LEN(INDEX('Vendor COIs'!$M$4:$M$503,(_calc!$E$473-500)))=0,"",INDEX('Vendor COIs'!$M$4:$M$503,(_calc!$E$473-500)))&amp;". ")&amp;IF(LEN(IF(LEN(INDEX('Vendor COIs'!$P$4:$P$503,(_calc!$E$473-500)))=0,"",INDEX('Vendor COIs'!$P$4:$P$503,(_calc!$E$473-500))))=0,"",IF(LEN(INDEX('Vendor COIs'!$P$4:$P$503,(_calc!$E$473-500)))=0,"",INDEX('Vendor COIs'!$P$4:$P$503,(_calc!$E$473-500)))))))</f>
        <v/>
      </c>
      <c r="G471" s="46">
        <f>IF(_calc!$E$473="","",IF(_calc!$E$473&lt;=500,IF(LEN(INDEX('Our policies'!$R$4:$R$503,_calc!$E$473))=0,"",INDEX('Our policies'!$R$4:$R$503,_calc!$E$473)),IF(LEN(INDEX('Vendor COIs'!$O$4:$O$503,(_calc!$E$473-500)))=0,"",INDEX('Vendor COIs'!$O$4:$O$503,(_calc!$E$473-500)))))</f>
        <v/>
      </c>
      <c r="H471" s="46">
        <f>IF(_calc!$E$473="","",IF(_calc!$E$473&lt;=500,IF(LEN(INDEX('Our policies'!$G$4:$G$503,_calc!$E$473))=0,"",INDEX('Our policies'!$G$4:$G$503,_calc!$E$473)),""))</f>
        <v/>
      </c>
      <c r="I471" s="46">
        <f>IF(_calc!$E$473="","",IF(_calc!$E$473&lt;=500,IF(LEN(INDEX('Our policies'!$H$4:$H$503,_calc!$E$473))=0,"",INDEX('Our policies'!$H$4:$H$503,_calc!$E$473)),""))</f>
        <v/>
      </c>
      <c r="K471" s="46">
        <f>IF(_calc!$E$473="","",IF(_calc!$E$473&lt;=500,IF(LEN(INDEX('Our policies'!$P$4:$P$503,_calc!$E$473))=0,"",INDEX('Our policies'!$P$4:$P$503,_calc!$E$473)),IF(LEN(INDEX('Vendor COIs'!$N$4:$N$503,(_calc!$E$473-500)))=0,"",INDEX('Vendor COIs'!$N$4:$N$503,(_calc!$E$473-500)))))</f>
        <v/>
      </c>
    </row>
    <row r="472">
      <c r="A472" s="46">
        <f>IF(_calc!$E$474="","",IF(_calc!$E$474&lt;=500,IF(LEN(INDEX('Our policies'!$A$4:$A$503,_calc!$E$474))=0,"",INDEX('Our policies'!$A$4:$A$503,_calc!$E$474)),"COI – "&amp;IF(LEN(INDEX('Vendor COIs'!$A$4:$A$503,(_calc!$E$474-500)))=0,"",INDEX('Vendor COIs'!$A$4:$A$503,(_calc!$E$474-500)))&amp;" – "&amp;IF(LEN(INDEX('Vendor COIs'!$B$4:$B$503,(_calc!$E$474-500)))=0,"",INDEX('Vendor COIs'!$B$4:$B$503,(_calc!$E$474-500)))))</f>
        <v/>
      </c>
      <c r="B472" s="46">
        <f>IF(_calc!$E$474="","",IF(_calc!$E$474&lt;=500,IF(ISNUMBER(INDEX('Our policies'!$J$4:$J$503,_calc!$E$474)),TEXT(INDEX('Our policies'!$J$4:$J$503,_calc!$E$474),"yyyy-mm-dd"),""),IF(ISNUMBER(INDEX('Vendor COIs'!$H$4:$H$503,(_calc!$E$474-500))),TEXT(INDEX('Vendor COIs'!$H$4:$H$503,(_calc!$E$474-500)),"yyyy-mm-dd"),"")))</f>
        <v/>
      </c>
      <c r="C472" s="46">
        <f>IF(_calc!$E$474="","",IF(_calc!$E$474&lt;=500,"Insurance","Certificate of insurance"))</f>
        <v/>
      </c>
      <c r="D472" s="46">
        <f>IF(_calc!$E$474="","",IF(_calc!$E$474&lt;=500,IF(ISNUMBER(INDEX('Our policies'!$I$4:$I$503,_calc!$E$474)),TEXT(INDEX('Our policies'!$I$4:$I$503,_calc!$E$474),"yyyy-mm-dd"),""),""))</f>
        <v/>
      </c>
      <c r="E472" s="46">
        <f>IF(_calc!$E$474="","",IF(_calc!$E$474&lt;=500,IF(LEN(INDEX('Our policies'!$Q$4:$Q$503,_calc!$E$474))=0,"",INDEX('Our policies'!$Q$4:$Q$503,_calc!$E$474)),"Medium"))</f>
        <v/>
      </c>
      <c r="F472" s="46">
        <f>IF(_calc!$E$474="","",IF(_calc!$E$474&lt;=500,TRIM(IF(LEN(IF(LEN(INDEX('Our policies'!$B$4:$B$503,_calc!$E$474))=0,"",INDEX('Our policies'!$B$4:$B$503,_calc!$E$474)))=0,"","Cover: "&amp;IF(LEN(INDEX('Our policies'!$B$4:$B$503,_calc!$E$474))=0,"",INDEX('Our policies'!$B$4:$B$503,_calc!$E$474))&amp;". ")&amp;IF(LEN(IF(LEN(INDEX('Our policies'!$C$4:$C$503,_calc!$E$474))=0,"",INDEX('Our policies'!$C$4:$C$503,_calc!$E$474)))=0,"","Insurer: "&amp;IF(LEN(INDEX('Our policies'!$C$4:$C$503,_calc!$E$474))=0,"",INDEX('Our policies'!$C$4:$C$503,_calc!$E$474))&amp;". ")&amp;IF(LEN(IF(LEN(INDEX('Our policies'!$D$4:$D$503,_calc!$E$474))=0,"",INDEX('Our policies'!$D$4:$D$503,_calc!$E$474)))=0,"","Broker: "&amp;IF(LEN(INDEX('Our policies'!$D$4:$D$503,_calc!$E$474))=0,"",INDEX('Our policies'!$D$4:$D$503,_calc!$E$474))&amp;". ")&amp;IF(LEN(IF(LEN(INDEX('Our policies'!$E$4:$E$503,_calc!$E$474))=0,"",INDEX('Our policies'!$E$4:$E$503,_calc!$E$474)))=0,"","Policy no.: "&amp;IF(LEN(INDEX('Our policies'!$E$4:$E$503,_calc!$E$474))=0,"",INDEX('Our policies'!$E$4:$E$503,_calc!$E$474))&amp;". ")&amp;IF(LEN(IF(LEN(INDEX('Our policies'!$S$4:$S$503,_calc!$E$474))=0,"",INDEX('Our policies'!$S$4:$S$503,_calc!$E$474)))=0,"",IF(LEN(INDEX('Our policies'!$S$4:$S$503,_calc!$E$474))=0,"",INDEX('Our policies'!$S$4:$S$503,_calc!$E$474)))),TRIM(IF(LEN(IF(LEN(INDEX('Vendor COIs'!$C$4:$C$503,(_calc!$E$474-500)))=0,"",INDEX('Vendor COIs'!$C$4:$C$503,(_calc!$E$474-500))))=0,"","Insurer: "&amp;IF(LEN(INDEX('Vendor COIs'!$C$4:$C$503,(_calc!$E$474-500)))=0,"",INDEX('Vendor COIs'!$C$4:$C$503,(_calc!$E$474-500)))&amp;". ")&amp;IF(LEN(IF(LEN(INDEX('Vendor COIs'!$D$4:$D$503,(_calc!$E$474-500)))=0,"",INDEX('Vendor COIs'!$D$4:$D$503,(_calc!$E$474-500))))=0,"","Policy no.: "&amp;IF(LEN(INDEX('Vendor COIs'!$D$4:$D$503,(_calc!$E$474-500)))=0,"",INDEX('Vendor COIs'!$D$4:$D$503,(_calc!$E$474-500)))&amp;". ")&amp;IF(LEN(IF(LEN(INDEX('Vendor COIs'!$F$4:$F$503,(_calc!$E$474-500)))=0,"",INDEX('Vendor COIs'!$F$4:$F$503,(_calc!$E$474-500))))=0,"","Meets minimum: "&amp;IF(LEN(INDEX('Vendor COIs'!$F$4:$F$503,(_calc!$E$474-500)))=0,"",INDEX('Vendor COIs'!$F$4:$F$503,(_calc!$E$474-500)))&amp;". ")&amp;IF(LEN(IF(LEN(INDEX('Vendor COIs'!$G$4:$G$503,(_calc!$E$474-500)))=0,"",INDEX('Vendor COIs'!$G$4:$G$503,(_calc!$E$474-500))))=0,"","Additional insured: "&amp;IF(LEN(INDEX('Vendor COIs'!$G$4:$G$503,(_calc!$E$474-500)))=0,"",INDEX('Vendor COIs'!$G$4:$G$503,(_calc!$E$474-500)))&amp;". ")&amp;IF(LEN(IF(LEN(INDEX('Vendor COIs'!$M$4:$M$503,(_calc!$E$474-500)))=0,"",INDEX('Vendor COIs'!$M$4:$M$503,(_calc!$E$474-500))))=0,"","Vendor contact: "&amp;IF(LEN(INDEX('Vendor COIs'!$M$4:$M$503,(_calc!$E$474-500)))=0,"",INDEX('Vendor COIs'!$M$4:$M$503,(_calc!$E$474-500)))&amp;". ")&amp;IF(LEN(IF(LEN(INDEX('Vendor COIs'!$P$4:$P$503,(_calc!$E$474-500)))=0,"",INDEX('Vendor COIs'!$P$4:$P$503,(_calc!$E$474-500))))=0,"",IF(LEN(INDEX('Vendor COIs'!$P$4:$P$503,(_calc!$E$474-500)))=0,"",INDEX('Vendor COIs'!$P$4:$P$503,(_calc!$E$474-500)))))))</f>
        <v/>
      </c>
      <c r="G472" s="46">
        <f>IF(_calc!$E$474="","",IF(_calc!$E$474&lt;=500,IF(LEN(INDEX('Our policies'!$R$4:$R$503,_calc!$E$474))=0,"",INDEX('Our policies'!$R$4:$R$503,_calc!$E$474)),IF(LEN(INDEX('Vendor COIs'!$O$4:$O$503,(_calc!$E$474-500)))=0,"",INDEX('Vendor COIs'!$O$4:$O$503,(_calc!$E$474-500)))))</f>
        <v/>
      </c>
      <c r="H472" s="46">
        <f>IF(_calc!$E$474="","",IF(_calc!$E$474&lt;=500,IF(LEN(INDEX('Our policies'!$G$4:$G$503,_calc!$E$474))=0,"",INDEX('Our policies'!$G$4:$G$503,_calc!$E$474)),""))</f>
        <v/>
      </c>
      <c r="I472" s="46">
        <f>IF(_calc!$E$474="","",IF(_calc!$E$474&lt;=500,IF(LEN(INDEX('Our policies'!$H$4:$H$503,_calc!$E$474))=0,"",INDEX('Our policies'!$H$4:$H$503,_calc!$E$474)),""))</f>
        <v/>
      </c>
      <c r="K472" s="46">
        <f>IF(_calc!$E$474="","",IF(_calc!$E$474&lt;=500,IF(LEN(INDEX('Our policies'!$P$4:$P$503,_calc!$E$474))=0,"",INDEX('Our policies'!$P$4:$P$503,_calc!$E$474)),IF(LEN(INDEX('Vendor COIs'!$N$4:$N$503,(_calc!$E$474-500)))=0,"",INDEX('Vendor COIs'!$N$4:$N$503,(_calc!$E$474-500)))))</f>
        <v/>
      </c>
    </row>
    <row r="473">
      <c r="A473" s="46">
        <f>IF(_calc!$E$475="","",IF(_calc!$E$475&lt;=500,IF(LEN(INDEX('Our policies'!$A$4:$A$503,_calc!$E$475))=0,"",INDEX('Our policies'!$A$4:$A$503,_calc!$E$475)),"COI – "&amp;IF(LEN(INDEX('Vendor COIs'!$A$4:$A$503,(_calc!$E$475-500)))=0,"",INDEX('Vendor COIs'!$A$4:$A$503,(_calc!$E$475-500)))&amp;" – "&amp;IF(LEN(INDEX('Vendor COIs'!$B$4:$B$503,(_calc!$E$475-500)))=0,"",INDEX('Vendor COIs'!$B$4:$B$503,(_calc!$E$475-500)))))</f>
        <v/>
      </c>
      <c r="B473" s="46">
        <f>IF(_calc!$E$475="","",IF(_calc!$E$475&lt;=500,IF(ISNUMBER(INDEX('Our policies'!$J$4:$J$503,_calc!$E$475)),TEXT(INDEX('Our policies'!$J$4:$J$503,_calc!$E$475),"yyyy-mm-dd"),""),IF(ISNUMBER(INDEX('Vendor COIs'!$H$4:$H$503,(_calc!$E$475-500))),TEXT(INDEX('Vendor COIs'!$H$4:$H$503,(_calc!$E$475-500)),"yyyy-mm-dd"),"")))</f>
        <v/>
      </c>
      <c r="C473" s="46">
        <f>IF(_calc!$E$475="","",IF(_calc!$E$475&lt;=500,"Insurance","Certificate of insurance"))</f>
        <v/>
      </c>
      <c r="D473" s="46">
        <f>IF(_calc!$E$475="","",IF(_calc!$E$475&lt;=500,IF(ISNUMBER(INDEX('Our policies'!$I$4:$I$503,_calc!$E$475)),TEXT(INDEX('Our policies'!$I$4:$I$503,_calc!$E$475),"yyyy-mm-dd"),""),""))</f>
        <v/>
      </c>
      <c r="E473" s="46">
        <f>IF(_calc!$E$475="","",IF(_calc!$E$475&lt;=500,IF(LEN(INDEX('Our policies'!$Q$4:$Q$503,_calc!$E$475))=0,"",INDEX('Our policies'!$Q$4:$Q$503,_calc!$E$475)),"Medium"))</f>
        <v/>
      </c>
      <c r="F473" s="46">
        <f>IF(_calc!$E$475="","",IF(_calc!$E$475&lt;=500,TRIM(IF(LEN(IF(LEN(INDEX('Our policies'!$B$4:$B$503,_calc!$E$475))=0,"",INDEX('Our policies'!$B$4:$B$503,_calc!$E$475)))=0,"","Cover: "&amp;IF(LEN(INDEX('Our policies'!$B$4:$B$503,_calc!$E$475))=0,"",INDEX('Our policies'!$B$4:$B$503,_calc!$E$475))&amp;". ")&amp;IF(LEN(IF(LEN(INDEX('Our policies'!$C$4:$C$503,_calc!$E$475))=0,"",INDEX('Our policies'!$C$4:$C$503,_calc!$E$475)))=0,"","Insurer: "&amp;IF(LEN(INDEX('Our policies'!$C$4:$C$503,_calc!$E$475))=0,"",INDEX('Our policies'!$C$4:$C$503,_calc!$E$475))&amp;". ")&amp;IF(LEN(IF(LEN(INDEX('Our policies'!$D$4:$D$503,_calc!$E$475))=0,"",INDEX('Our policies'!$D$4:$D$503,_calc!$E$475)))=0,"","Broker: "&amp;IF(LEN(INDEX('Our policies'!$D$4:$D$503,_calc!$E$475))=0,"",INDEX('Our policies'!$D$4:$D$503,_calc!$E$475))&amp;". ")&amp;IF(LEN(IF(LEN(INDEX('Our policies'!$E$4:$E$503,_calc!$E$475))=0,"",INDEX('Our policies'!$E$4:$E$503,_calc!$E$475)))=0,"","Policy no.: "&amp;IF(LEN(INDEX('Our policies'!$E$4:$E$503,_calc!$E$475))=0,"",INDEX('Our policies'!$E$4:$E$503,_calc!$E$475))&amp;". ")&amp;IF(LEN(IF(LEN(INDEX('Our policies'!$S$4:$S$503,_calc!$E$475))=0,"",INDEX('Our policies'!$S$4:$S$503,_calc!$E$475)))=0,"",IF(LEN(INDEX('Our policies'!$S$4:$S$503,_calc!$E$475))=0,"",INDEX('Our policies'!$S$4:$S$503,_calc!$E$475)))),TRIM(IF(LEN(IF(LEN(INDEX('Vendor COIs'!$C$4:$C$503,(_calc!$E$475-500)))=0,"",INDEX('Vendor COIs'!$C$4:$C$503,(_calc!$E$475-500))))=0,"","Insurer: "&amp;IF(LEN(INDEX('Vendor COIs'!$C$4:$C$503,(_calc!$E$475-500)))=0,"",INDEX('Vendor COIs'!$C$4:$C$503,(_calc!$E$475-500)))&amp;". ")&amp;IF(LEN(IF(LEN(INDEX('Vendor COIs'!$D$4:$D$503,(_calc!$E$475-500)))=0,"",INDEX('Vendor COIs'!$D$4:$D$503,(_calc!$E$475-500))))=0,"","Policy no.: "&amp;IF(LEN(INDEX('Vendor COIs'!$D$4:$D$503,(_calc!$E$475-500)))=0,"",INDEX('Vendor COIs'!$D$4:$D$503,(_calc!$E$475-500)))&amp;". ")&amp;IF(LEN(IF(LEN(INDEX('Vendor COIs'!$F$4:$F$503,(_calc!$E$475-500)))=0,"",INDEX('Vendor COIs'!$F$4:$F$503,(_calc!$E$475-500))))=0,"","Meets minimum: "&amp;IF(LEN(INDEX('Vendor COIs'!$F$4:$F$503,(_calc!$E$475-500)))=0,"",INDEX('Vendor COIs'!$F$4:$F$503,(_calc!$E$475-500)))&amp;". ")&amp;IF(LEN(IF(LEN(INDEX('Vendor COIs'!$G$4:$G$503,(_calc!$E$475-500)))=0,"",INDEX('Vendor COIs'!$G$4:$G$503,(_calc!$E$475-500))))=0,"","Additional insured: "&amp;IF(LEN(INDEX('Vendor COIs'!$G$4:$G$503,(_calc!$E$475-500)))=0,"",INDEX('Vendor COIs'!$G$4:$G$503,(_calc!$E$475-500)))&amp;". ")&amp;IF(LEN(IF(LEN(INDEX('Vendor COIs'!$M$4:$M$503,(_calc!$E$475-500)))=0,"",INDEX('Vendor COIs'!$M$4:$M$503,(_calc!$E$475-500))))=0,"","Vendor contact: "&amp;IF(LEN(INDEX('Vendor COIs'!$M$4:$M$503,(_calc!$E$475-500)))=0,"",INDEX('Vendor COIs'!$M$4:$M$503,(_calc!$E$475-500)))&amp;". ")&amp;IF(LEN(IF(LEN(INDEX('Vendor COIs'!$P$4:$P$503,(_calc!$E$475-500)))=0,"",INDEX('Vendor COIs'!$P$4:$P$503,(_calc!$E$475-500))))=0,"",IF(LEN(INDEX('Vendor COIs'!$P$4:$P$503,(_calc!$E$475-500)))=0,"",INDEX('Vendor COIs'!$P$4:$P$503,(_calc!$E$475-500)))))))</f>
        <v/>
      </c>
      <c r="G473" s="46">
        <f>IF(_calc!$E$475="","",IF(_calc!$E$475&lt;=500,IF(LEN(INDEX('Our policies'!$R$4:$R$503,_calc!$E$475))=0,"",INDEX('Our policies'!$R$4:$R$503,_calc!$E$475)),IF(LEN(INDEX('Vendor COIs'!$O$4:$O$503,(_calc!$E$475-500)))=0,"",INDEX('Vendor COIs'!$O$4:$O$503,(_calc!$E$475-500)))))</f>
        <v/>
      </c>
      <c r="H473" s="46">
        <f>IF(_calc!$E$475="","",IF(_calc!$E$475&lt;=500,IF(LEN(INDEX('Our policies'!$G$4:$G$503,_calc!$E$475))=0,"",INDEX('Our policies'!$G$4:$G$503,_calc!$E$475)),""))</f>
        <v/>
      </c>
      <c r="I473" s="46">
        <f>IF(_calc!$E$475="","",IF(_calc!$E$475&lt;=500,IF(LEN(INDEX('Our policies'!$H$4:$H$503,_calc!$E$475))=0,"",INDEX('Our policies'!$H$4:$H$503,_calc!$E$475)),""))</f>
        <v/>
      </c>
      <c r="K473" s="46">
        <f>IF(_calc!$E$475="","",IF(_calc!$E$475&lt;=500,IF(LEN(INDEX('Our policies'!$P$4:$P$503,_calc!$E$475))=0,"",INDEX('Our policies'!$P$4:$P$503,_calc!$E$475)),IF(LEN(INDEX('Vendor COIs'!$N$4:$N$503,(_calc!$E$475-500)))=0,"",INDEX('Vendor COIs'!$N$4:$N$503,(_calc!$E$475-500)))))</f>
        <v/>
      </c>
    </row>
    <row r="474">
      <c r="A474" s="46">
        <f>IF(_calc!$E$476="","",IF(_calc!$E$476&lt;=500,IF(LEN(INDEX('Our policies'!$A$4:$A$503,_calc!$E$476))=0,"",INDEX('Our policies'!$A$4:$A$503,_calc!$E$476)),"COI – "&amp;IF(LEN(INDEX('Vendor COIs'!$A$4:$A$503,(_calc!$E$476-500)))=0,"",INDEX('Vendor COIs'!$A$4:$A$503,(_calc!$E$476-500)))&amp;" – "&amp;IF(LEN(INDEX('Vendor COIs'!$B$4:$B$503,(_calc!$E$476-500)))=0,"",INDEX('Vendor COIs'!$B$4:$B$503,(_calc!$E$476-500)))))</f>
        <v/>
      </c>
      <c r="B474" s="46">
        <f>IF(_calc!$E$476="","",IF(_calc!$E$476&lt;=500,IF(ISNUMBER(INDEX('Our policies'!$J$4:$J$503,_calc!$E$476)),TEXT(INDEX('Our policies'!$J$4:$J$503,_calc!$E$476),"yyyy-mm-dd"),""),IF(ISNUMBER(INDEX('Vendor COIs'!$H$4:$H$503,(_calc!$E$476-500))),TEXT(INDEX('Vendor COIs'!$H$4:$H$503,(_calc!$E$476-500)),"yyyy-mm-dd"),"")))</f>
        <v/>
      </c>
      <c r="C474" s="46">
        <f>IF(_calc!$E$476="","",IF(_calc!$E$476&lt;=500,"Insurance","Certificate of insurance"))</f>
        <v/>
      </c>
      <c r="D474" s="46">
        <f>IF(_calc!$E$476="","",IF(_calc!$E$476&lt;=500,IF(ISNUMBER(INDEX('Our policies'!$I$4:$I$503,_calc!$E$476)),TEXT(INDEX('Our policies'!$I$4:$I$503,_calc!$E$476),"yyyy-mm-dd"),""),""))</f>
        <v/>
      </c>
      <c r="E474" s="46">
        <f>IF(_calc!$E$476="","",IF(_calc!$E$476&lt;=500,IF(LEN(INDEX('Our policies'!$Q$4:$Q$503,_calc!$E$476))=0,"",INDEX('Our policies'!$Q$4:$Q$503,_calc!$E$476)),"Medium"))</f>
        <v/>
      </c>
      <c r="F474" s="46">
        <f>IF(_calc!$E$476="","",IF(_calc!$E$476&lt;=500,TRIM(IF(LEN(IF(LEN(INDEX('Our policies'!$B$4:$B$503,_calc!$E$476))=0,"",INDEX('Our policies'!$B$4:$B$503,_calc!$E$476)))=0,"","Cover: "&amp;IF(LEN(INDEX('Our policies'!$B$4:$B$503,_calc!$E$476))=0,"",INDEX('Our policies'!$B$4:$B$503,_calc!$E$476))&amp;". ")&amp;IF(LEN(IF(LEN(INDEX('Our policies'!$C$4:$C$503,_calc!$E$476))=0,"",INDEX('Our policies'!$C$4:$C$503,_calc!$E$476)))=0,"","Insurer: "&amp;IF(LEN(INDEX('Our policies'!$C$4:$C$503,_calc!$E$476))=0,"",INDEX('Our policies'!$C$4:$C$503,_calc!$E$476))&amp;". ")&amp;IF(LEN(IF(LEN(INDEX('Our policies'!$D$4:$D$503,_calc!$E$476))=0,"",INDEX('Our policies'!$D$4:$D$503,_calc!$E$476)))=0,"","Broker: "&amp;IF(LEN(INDEX('Our policies'!$D$4:$D$503,_calc!$E$476))=0,"",INDEX('Our policies'!$D$4:$D$503,_calc!$E$476))&amp;". ")&amp;IF(LEN(IF(LEN(INDEX('Our policies'!$E$4:$E$503,_calc!$E$476))=0,"",INDEX('Our policies'!$E$4:$E$503,_calc!$E$476)))=0,"","Policy no.: "&amp;IF(LEN(INDEX('Our policies'!$E$4:$E$503,_calc!$E$476))=0,"",INDEX('Our policies'!$E$4:$E$503,_calc!$E$476))&amp;". ")&amp;IF(LEN(IF(LEN(INDEX('Our policies'!$S$4:$S$503,_calc!$E$476))=0,"",INDEX('Our policies'!$S$4:$S$503,_calc!$E$476)))=0,"",IF(LEN(INDEX('Our policies'!$S$4:$S$503,_calc!$E$476))=0,"",INDEX('Our policies'!$S$4:$S$503,_calc!$E$476)))),TRIM(IF(LEN(IF(LEN(INDEX('Vendor COIs'!$C$4:$C$503,(_calc!$E$476-500)))=0,"",INDEX('Vendor COIs'!$C$4:$C$503,(_calc!$E$476-500))))=0,"","Insurer: "&amp;IF(LEN(INDEX('Vendor COIs'!$C$4:$C$503,(_calc!$E$476-500)))=0,"",INDEX('Vendor COIs'!$C$4:$C$503,(_calc!$E$476-500)))&amp;". ")&amp;IF(LEN(IF(LEN(INDEX('Vendor COIs'!$D$4:$D$503,(_calc!$E$476-500)))=0,"",INDEX('Vendor COIs'!$D$4:$D$503,(_calc!$E$476-500))))=0,"","Policy no.: "&amp;IF(LEN(INDEX('Vendor COIs'!$D$4:$D$503,(_calc!$E$476-500)))=0,"",INDEX('Vendor COIs'!$D$4:$D$503,(_calc!$E$476-500)))&amp;". ")&amp;IF(LEN(IF(LEN(INDEX('Vendor COIs'!$F$4:$F$503,(_calc!$E$476-500)))=0,"",INDEX('Vendor COIs'!$F$4:$F$503,(_calc!$E$476-500))))=0,"","Meets minimum: "&amp;IF(LEN(INDEX('Vendor COIs'!$F$4:$F$503,(_calc!$E$476-500)))=0,"",INDEX('Vendor COIs'!$F$4:$F$503,(_calc!$E$476-500)))&amp;". ")&amp;IF(LEN(IF(LEN(INDEX('Vendor COIs'!$G$4:$G$503,(_calc!$E$476-500)))=0,"",INDEX('Vendor COIs'!$G$4:$G$503,(_calc!$E$476-500))))=0,"","Additional insured: "&amp;IF(LEN(INDEX('Vendor COIs'!$G$4:$G$503,(_calc!$E$476-500)))=0,"",INDEX('Vendor COIs'!$G$4:$G$503,(_calc!$E$476-500)))&amp;". ")&amp;IF(LEN(IF(LEN(INDEX('Vendor COIs'!$M$4:$M$503,(_calc!$E$476-500)))=0,"",INDEX('Vendor COIs'!$M$4:$M$503,(_calc!$E$476-500))))=0,"","Vendor contact: "&amp;IF(LEN(INDEX('Vendor COIs'!$M$4:$M$503,(_calc!$E$476-500)))=0,"",INDEX('Vendor COIs'!$M$4:$M$503,(_calc!$E$476-500)))&amp;". ")&amp;IF(LEN(IF(LEN(INDEX('Vendor COIs'!$P$4:$P$503,(_calc!$E$476-500)))=0,"",INDEX('Vendor COIs'!$P$4:$P$503,(_calc!$E$476-500))))=0,"",IF(LEN(INDEX('Vendor COIs'!$P$4:$P$503,(_calc!$E$476-500)))=0,"",INDEX('Vendor COIs'!$P$4:$P$503,(_calc!$E$476-500)))))))</f>
        <v/>
      </c>
      <c r="G474" s="46">
        <f>IF(_calc!$E$476="","",IF(_calc!$E$476&lt;=500,IF(LEN(INDEX('Our policies'!$R$4:$R$503,_calc!$E$476))=0,"",INDEX('Our policies'!$R$4:$R$503,_calc!$E$476)),IF(LEN(INDEX('Vendor COIs'!$O$4:$O$503,(_calc!$E$476-500)))=0,"",INDEX('Vendor COIs'!$O$4:$O$503,(_calc!$E$476-500)))))</f>
        <v/>
      </c>
      <c r="H474" s="46">
        <f>IF(_calc!$E$476="","",IF(_calc!$E$476&lt;=500,IF(LEN(INDEX('Our policies'!$G$4:$G$503,_calc!$E$476))=0,"",INDEX('Our policies'!$G$4:$G$503,_calc!$E$476)),""))</f>
        <v/>
      </c>
      <c r="I474" s="46">
        <f>IF(_calc!$E$476="","",IF(_calc!$E$476&lt;=500,IF(LEN(INDEX('Our policies'!$H$4:$H$503,_calc!$E$476))=0,"",INDEX('Our policies'!$H$4:$H$503,_calc!$E$476)),""))</f>
        <v/>
      </c>
      <c r="K474" s="46">
        <f>IF(_calc!$E$476="","",IF(_calc!$E$476&lt;=500,IF(LEN(INDEX('Our policies'!$P$4:$P$503,_calc!$E$476))=0,"",INDEX('Our policies'!$P$4:$P$503,_calc!$E$476)),IF(LEN(INDEX('Vendor COIs'!$N$4:$N$503,(_calc!$E$476-500)))=0,"",INDEX('Vendor COIs'!$N$4:$N$503,(_calc!$E$476-500)))))</f>
        <v/>
      </c>
    </row>
    <row r="475">
      <c r="A475" s="46">
        <f>IF(_calc!$E$477="","",IF(_calc!$E$477&lt;=500,IF(LEN(INDEX('Our policies'!$A$4:$A$503,_calc!$E$477))=0,"",INDEX('Our policies'!$A$4:$A$503,_calc!$E$477)),"COI – "&amp;IF(LEN(INDEX('Vendor COIs'!$A$4:$A$503,(_calc!$E$477-500)))=0,"",INDEX('Vendor COIs'!$A$4:$A$503,(_calc!$E$477-500)))&amp;" – "&amp;IF(LEN(INDEX('Vendor COIs'!$B$4:$B$503,(_calc!$E$477-500)))=0,"",INDEX('Vendor COIs'!$B$4:$B$503,(_calc!$E$477-500)))))</f>
        <v/>
      </c>
      <c r="B475" s="46">
        <f>IF(_calc!$E$477="","",IF(_calc!$E$477&lt;=500,IF(ISNUMBER(INDEX('Our policies'!$J$4:$J$503,_calc!$E$477)),TEXT(INDEX('Our policies'!$J$4:$J$503,_calc!$E$477),"yyyy-mm-dd"),""),IF(ISNUMBER(INDEX('Vendor COIs'!$H$4:$H$503,(_calc!$E$477-500))),TEXT(INDEX('Vendor COIs'!$H$4:$H$503,(_calc!$E$477-500)),"yyyy-mm-dd"),"")))</f>
        <v/>
      </c>
      <c r="C475" s="46">
        <f>IF(_calc!$E$477="","",IF(_calc!$E$477&lt;=500,"Insurance","Certificate of insurance"))</f>
        <v/>
      </c>
      <c r="D475" s="46">
        <f>IF(_calc!$E$477="","",IF(_calc!$E$477&lt;=500,IF(ISNUMBER(INDEX('Our policies'!$I$4:$I$503,_calc!$E$477)),TEXT(INDEX('Our policies'!$I$4:$I$503,_calc!$E$477),"yyyy-mm-dd"),""),""))</f>
        <v/>
      </c>
      <c r="E475" s="46">
        <f>IF(_calc!$E$477="","",IF(_calc!$E$477&lt;=500,IF(LEN(INDEX('Our policies'!$Q$4:$Q$503,_calc!$E$477))=0,"",INDEX('Our policies'!$Q$4:$Q$503,_calc!$E$477)),"Medium"))</f>
        <v/>
      </c>
      <c r="F475" s="46">
        <f>IF(_calc!$E$477="","",IF(_calc!$E$477&lt;=500,TRIM(IF(LEN(IF(LEN(INDEX('Our policies'!$B$4:$B$503,_calc!$E$477))=0,"",INDEX('Our policies'!$B$4:$B$503,_calc!$E$477)))=0,"","Cover: "&amp;IF(LEN(INDEX('Our policies'!$B$4:$B$503,_calc!$E$477))=0,"",INDEX('Our policies'!$B$4:$B$503,_calc!$E$477))&amp;". ")&amp;IF(LEN(IF(LEN(INDEX('Our policies'!$C$4:$C$503,_calc!$E$477))=0,"",INDEX('Our policies'!$C$4:$C$503,_calc!$E$477)))=0,"","Insurer: "&amp;IF(LEN(INDEX('Our policies'!$C$4:$C$503,_calc!$E$477))=0,"",INDEX('Our policies'!$C$4:$C$503,_calc!$E$477))&amp;". ")&amp;IF(LEN(IF(LEN(INDEX('Our policies'!$D$4:$D$503,_calc!$E$477))=0,"",INDEX('Our policies'!$D$4:$D$503,_calc!$E$477)))=0,"","Broker: "&amp;IF(LEN(INDEX('Our policies'!$D$4:$D$503,_calc!$E$477))=0,"",INDEX('Our policies'!$D$4:$D$503,_calc!$E$477))&amp;". ")&amp;IF(LEN(IF(LEN(INDEX('Our policies'!$E$4:$E$503,_calc!$E$477))=0,"",INDEX('Our policies'!$E$4:$E$503,_calc!$E$477)))=0,"","Policy no.: "&amp;IF(LEN(INDEX('Our policies'!$E$4:$E$503,_calc!$E$477))=0,"",INDEX('Our policies'!$E$4:$E$503,_calc!$E$477))&amp;". ")&amp;IF(LEN(IF(LEN(INDEX('Our policies'!$S$4:$S$503,_calc!$E$477))=0,"",INDEX('Our policies'!$S$4:$S$503,_calc!$E$477)))=0,"",IF(LEN(INDEX('Our policies'!$S$4:$S$503,_calc!$E$477))=0,"",INDEX('Our policies'!$S$4:$S$503,_calc!$E$477)))),TRIM(IF(LEN(IF(LEN(INDEX('Vendor COIs'!$C$4:$C$503,(_calc!$E$477-500)))=0,"",INDEX('Vendor COIs'!$C$4:$C$503,(_calc!$E$477-500))))=0,"","Insurer: "&amp;IF(LEN(INDEX('Vendor COIs'!$C$4:$C$503,(_calc!$E$477-500)))=0,"",INDEX('Vendor COIs'!$C$4:$C$503,(_calc!$E$477-500)))&amp;". ")&amp;IF(LEN(IF(LEN(INDEX('Vendor COIs'!$D$4:$D$503,(_calc!$E$477-500)))=0,"",INDEX('Vendor COIs'!$D$4:$D$503,(_calc!$E$477-500))))=0,"","Policy no.: "&amp;IF(LEN(INDEX('Vendor COIs'!$D$4:$D$503,(_calc!$E$477-500)))=0,"",INDEX('Vendor COIs'!$D$4:$D$503,(_calc!$E$477-500)))&amp;". ")&amp;IF(LEN(IF(LEN(INDEX('Vendor COIs'!$F$4:$F$503,(_calc!$E$477-500)))=0,"",INDEX('Vendor COIs'!$F$4:$F$503,(_calc!$E$477-500))))=0,"","Meets minimum: "&amp;IF(LEN(INDEX('Vendor COIs'!$F$4:$F$503,(_calc!$E$477-500)))=0,"",INDEX('Vendor COIs'!$F$4:$F$503,(_calc!$E$477-500)))&amp;". ")&amp;IF(LEN(IF(LEN(INDEX('Vendor COIs'!$G$4:$G$503,(_calc!$E$477-500)))=0,"",INDEX('Vendor COIs'!$G$4:$G$503,(_calc!$E$477-500))))=0,"","Additional insured: "&amp;IF(LEN(INDEX('Vendor COIs'!$G$4:$G$503,(_calc!$E$477-500)))=0,"",INDEX('Vendor COIs'!$G$4:$G$503,(_calc!$E$477-500)))&amp;". ")&amp;IF(LEN(IF(LEN(INDEX('Vendor COIs'!$M$4:$M$503,(_calc!$E$477-500)))=0,"",INDEX('Vendor COIs'!$M$4:$M$503,(_calc!$E$477-500))))=0,"","Vendor contact: "&amp;IF(LEN(INDEX('Vendor COIs'!$M$4:$M$503,(_calc!$E$477-500)))=0,"",INDEX('Vendor COIs'!$M$4:$M$503,(_calc!$E$477-500)))&amp;". ")&amp;IF(LEN(IF(LEN(INDEX('Vendor COIs'!$P$4:$P$503,(_calc!$E$477-500)))=0,"",INDEX('Vendor COIs'!$P$4:$P$503,(_calc!$E$477-500))))=0,"",IF(LEN(INDEX('Vendor COIs'!$P$4:$P$503,(_calc!$E$477-500)))=0,"",INDEX('Vendor COIs'!$P$4:$P$503,(_calc!$E$477-500)))))))</f>
        <v/>
      </c>
      <c r="G475" s="46">
        <f>IF(_calc!$E$477="","",IF(_calc!$E$477&lt;=500,IF(LEN(INDEX('Our policies'!$R$4:$R$503,_calc!$E$477))=0,"",INDEX('Our policies'!$R$4:$R$503,_calc!$E$477)),IF(LEN(INDEX('Vendor COIs'!$O$4:$O$503,(_calc!$E$477-500)))=0,"",INDEX('Vendor COIs'!$O$4:$O$503,(_calc!$E$477-500)))))</f>
        <v/>
      </c>
      <c r="H475" s="46">
        <f>IF(_calc!$E$477="","",IF(_calc!$E$477&lt;=500,IF(LEN(INDEX('Our policies'!$G$4:$G$503,_calc!$E$477))=0,"",INDEX('Our policies'!$G$4:$G$503,_calc!$E$477)),""))</f>
        <v/>
      </c>
      <c r="I475" s="46">
        <f>IF(_calc!$E$477="","",IF(_calc!$E$477&lt;=500,IF(LEN(INDEX('Our policies'!$H$4:$H$503,_calc!$E$477))=0,"",INDEX('Our policies'!$H$4:$H$503,_calc!$E$477)),""))</f>
        <v/>
      </c>
      <c r="K475" s="46">
        <f>IF(_calc!$E$477="","",IF(_calc!$E$477&lt;=500,IF(LEN(INDEX('Our policies'!$P$4:$P$503,_calc!$E$477))=0,"",INDEX('Our policies'!$P$4:$P$503,_calc!$E$477)),IF(LEN(INDEX('Vendor COIs'!$N$4:$N$503,(_calc!$E$477-500)))=0,"",INDEX('Vendor COIs'!$N$4:$N$503,(_calc!$E$477-500)))))</f>
        <v/>
      </c>
    </row>
    <row r="476">
      <c r="A476" s="46">
        <f>IF(_calc!$E$478="","",IF(_calc!$E$478&lt;=500,IF(LEN(INDEX('Our policies'!$A$4:$A$503,_calc!$E$478))=0,"",INDEX('Our policies'!$A$4:$A$503,_calc!$E$478)),"COI – "&amp;IF(LEN(INDEX('Vendor COIs'!$A$4:$A$503,(_calc!$E$478-500)))=0,"",INDEX('Vendor COIs'!$A$4:$A$503,(_calc!$E$478-500)))&amp;" – "&amp;IF(LEN(INDEX('Vendor COIs'!$B$4:$B$503,(_calc!$E$478-500)))=0,"",INDEX('Vendor COIs'!$B$4:$B$503,(_calc!$E$478-500)))))</f>
        <v/>
      </c>
      <c r="B476" s="46">
        <f>IF(_calc!$E$478="","",IF(_calc!$E$478&lt;=500,IF(ISNUMBER(INDEX('Our policies'!$J$4:$J$503,_calc!$E$478)),TEXT(INDEX('Our policies'!$J$4:$J$503,_calc!$E$478),"yyyy-mm-dd"),""),IF(ISNUMBER(INDEX('Vendor COIs'!$H$4:$H$503,(_calc!$E$478-500))),TEXT(INDEX('Vendor COIs'!$H$4:$H$503,(_calc!$E$478-500)),"yyyy-mm-dd"),"")))</f>
        <v/>
      </c>
      <c r="C476" s="46">
        <f>IF(_calc!$E$478="","",IF(_calc!$E$478&lt;=500,"Insurance","Certificate of insurance"))</f>
        <v/>
      </c>
      <c r="D476" s="46">
        <f>IF(_calc!$E$478="","",IF(_calc!$E$478&lt;=500,IF(ISNUMBER(INDEX('Our policies'!$I$4:$I$503,_calc!$E$478)),TEXT(INDEX('Our policies'!$I$4:$I$503,_calc!$E$478),"yyyy-mm-dd"),""),""))</f>
        <v/>
      </c>
      <c r="E476" s="46">
        <f>IF(_calc!$E$478="","",IF(_calc!$E$478&lt;=500,IF(LEN(INDEX('Our policies'!$Q$4:$Q$503,_calc!$E$478))=0,"",INDEX('Our policies'!$Q$4:$Q$503,_calc!$E$478)),"Medium"))</f>
        <v/>
      </c>
      <c r="F476" s="46">
        <f>IF(_calc!$E$478="","",IF(_calc!$E$478&lt;=500,TRIM(IF(LEN(IF(LEN(INDEX('Our policies'!$B$4:$B$503,_calc!$E$478))=0,"",INDEX('Our policies'!$B$4:$B$503,_calc!$E$478)))=0,"","Cover: "&amp;IF(LEN(INDEX('Our policies'!$B$4:$B$503,_calc!$E$478))=0,"",INDEX('Our policies'!$B$4:$B$503,_calc!$E$478))&amp;". ")&amp;IF(LEN(IF(LEN(INDEX('Our policies'!$C$4:$C$503,_calc!$E$478))=0,"",INDEX('Our policies'!$C$4:$C$503,_calc!$E$478)))=0,"","Insurer: "&amp;IF(LEN(INDEX('Our policies'!$C$4:$C$503,_calc!$E$478))=0,"",INDEX('Our policies'!$C$4:$C$503,_calc!$E$478))&amp;". ")&amp;IF(LEN(IF(LEN(INDEX('Our policies'!$D$4:$D$503,_calc!$E$478))=0,"",INDEX('Our policies'!$D$4:$D$503,_calc!$E$478)))=0,"","Broker: "&amp;IF(LEN(INDEX('Our policies'!$D$4:$D$503,_calc!$E$478))=0,"",INDEX('Our policies'!$D$4:$D$503,_calc!$E$478))&amp;". ")&amp;IF(LEN(IF(LEN(INDEX('Our policies'!$E$4:$E$503,_calc!$E$478))=0,"",INDEX('Our policies'!$E$4:$E$503,_calc!$E$478)))=0,"","Policy no.: "&amp;IF(LEN(INDEX('Our policies'!$E$4:$E$503,_calc!$E$478))=0,"",INDEX('Our policies'!$E$4:$E$503,_calc!$E$478))&amp;". ")&amp;IF(LEN(IF(LEN(INDEX('Our policies'!$S$4:$S$503,_calc!$E$478))=0,"",INDEX('Our policies'!$S$4:$S$503,_calc!$E$478)))=0,"",IF(LEN(INDEX('Our policies'!$S$4:$S$503,_calc!$E$478))=0,"",INDEX('Our policies'!$S$4:$S$503,_calc!$E$478)))),TRIM(IF(LEN(IF(LEN(INDEX('Vendor COIs'!$C$4:$C$503,(_calc!$E$478-500)))=0,"",INDEX('Vendor COIs'!$C$4:$C$503,(_calc!$E$478-500))))=0,"","Insurer: "&amp;IF(LEN(INDEX('Vendor COIs'!$C$4:$C$503,(_calc!$E$478-500)))=0,"",INDEX('Vendor COIs'!$C$4:$C$503,(_calc!$E$478-500)))&amp;". ")&amp;IF(LEN(IF(LEN(INDEX('Vendor COIs'!$D$4:$D$503,(_calc!$E$478-500)))=0,"",INDEX('Vendor COIs'!$D$4:$D$503,(_calc!$E$478-500))))=0,"","Policy no.: "&amp;IF(LEN(INDEX('Vendor COIs'!$D$4:$D$503,(_calc!$E$478-500)))=0,"",INDEX('Vendor COIs'!$D$4:$D$503,(_calc!$E$478-500)))&amp;". ")&amp;IF(LEN(IF(LEN(INDEX('Vendor COIs'!$F$4:$F$503,(_calc!$E$478-500)))=0,"",INDEX('Vendor COIs'!$F$4:$F$503,(_calc!$E$478-500))))=0,"","Meets minimum: "&amp;IF(LEN(INDEX('Vendor COIs'!$F$4:$F$503,(_calc!$E$478-500)))=0,"",INDEX('Vendor COIs'!$F$4:$F$503,(_calc!$E$478-500)))&amp;". ")&amp;IF(LEN(IF(LEN(INDEX('Vendor COIs'!$G$4:$G$503,(_calc!$E$478-500)))=0,"",INDEX('Vendor COIs'!$G$4:$G$503,(_calc!$E$478-500))))=0,"","Additional insured: "&amp;IF(LEN(INDEX('Vendor COIs'!$G$4:$G$503,(_calc!$E$478-500)))=0,"",INDEX('Vendor COIs'!$G$4:$G$503,(_calc!$E$478-500)))&amp;". ")&amp;IF(LEN(IF(LEN(INDEX('Vendor COIs'!$M$4:$M$503,(_calc!$E$478-500)))=0,"",INDEX('Vendor COIs'!$M$4:$M$503,(_calc!$E$478-500))))=0,"","Vendor contact: "&amp;IF(LEN(INDEX('Vendor COIs'!$M$4:$M$503,(_calc!$E$478-500)))=0,"",INDEX('Vendor COIs'!$M$4:$M$503,(_calc!$E$478-500)))&amp;". ")&amp;IF(LEN(IF(LEN(INDEX('Vendor COIs'!$P$4:$P$503,(_calc!$E$478-500)))=0,"",INDEX('Vendor COIs'!$P$4:$P$503,(_calc!$E$478-500))))=0,"",IF(LEN(INDEX('Vendor COIs'!$P$4:$P$503,(_calc!$E$478-500)))=0,"",INDEX('Vendor COIs'!$P$4:$P$503,(_calc!$E$478-500)))))))</f>
        <v/>
      </c>
      <c r="G476" s="46">
        <f>IF(_calc!$E$478="","",IF(_calc!$E$478&lt;=500,IF(LEN(INDEX('Our policies'!$R$4:$R$503,_calc!$E$478))=0,"",INDEX('Our policies'!$R$4:$R$503,_calc!$E$478)),IF(LEN(INDEX('Vendor COIs'!$O$4:$O$503,(_calc!$E$478-500)))=0,"",INDEX('Vendor COIs'!$O$4:$O$503,(_calc!$E$478-500)))))</f>
        <v/>
      </c>
      <c r="H476" s="46">
        <f>IF(_calc!$E$478="","",IF(_calc!$E$478&lt;=500,IF(LEN(INDEX('Our policies'!$G$4:$G$503,_calc!$E$478))=0,"",INDEX('Our policies'!$G$4:$G$503,_calc!$E$478)),""))</f>
        <v/>
      </c>
      <c r="I476" s="46">
        <f>IF(_calc!$E$478="","",IF(_calc!$E$478&lt;=500,IF(LEN(INDEX('Our policies'!$H$4:$H$503,_calc!$E$478))=0,"",INDEX('Our policies'!$H$4:$H$503,_calc!$E$478)),""))</f>
        <v/>
      </c>
      <c r="K476" s="46">
        <f>IF(_calc!$E$478="","",IF(_calc!$E$478&lt;=500,IF(LEN(INDEX('Our policies'!$P$4:$P$503,_calc!$E$478))=0,"",INDEX('Our policies'!$P$4:$P$503,_calc!$E$478)),IF(LEN(INDEX('Vendor COIs'!$N$4:$N$503,(_calc!$E$478-500)))=0,"",INDEX('Vendor COIs'!$N$4:$N$503,(_calc!$E$478-500)))))</f>
        <v/>
      </c>
    </row>
    <row r="477">
      <c r="A477" s="46">
        <f>IF(_calc!$E$479="","",IF(_calc!$E$479&lt;=500,IF(LEN(INDEX('Our policies'!$A$4:$A$503,_calc!$E$479))=0,"",INDEX('Our policies'!$A$4:$A$503,_calc!$E$479)),"COI – "&amp;IF(LEN(INDEX('Vendor COIs'!$A$4:$A$503,(_calc!$E$479-500)))=0,"",INDEX('Vendor COIs'!$A$4:$A$503,(_calc!$E$479-500)))&amp;" – "&amp;IF(LEN(INDEX('Vendor COIs'!$B$4:$B$503,(_calc!$E$479-500)))=0,"",INDEX('Vendor COIs'!$B$4:$B$503,(_calc!$E$479-500)))))</f>
        <v/>
      </c>
      <c r="B477" s="46">
        <f>IF(_calc!$E$479="","",IF(_calc!$E$479&lt;=500,IF(ISNUMBER(INDEX('Our policies'!$J$4:$J$503,_calc!$E$479)),TEXT(INDEX('Our policies'!$J$4:$J$503,_calc!$E$479),"yyyy-mm-dd"),""),IF(ISNUMBER(INDEX('Vendor COIs'!$H$4:$H$503,(_calc!$E$479-500))),TEXT(INDEX('Vendor COIs'!$H$4:$H$503,(_calc!$E$479-500)),"yyyy-mm-dd"),"")))</f>
        <v/>
      </c>
      <c r="C477" s="46">
        <f>IF(_calc!$E$479="","",IF(_calc!$E$479&lt;=500,"Insurance","Certificate of insurance"))</f>
        <v/>
      </c>
      <c r="D477" s="46">
        <f>IF(_calc!$E$479="","",IF(_calc!$E$479&lt;=500,IF(ISNUMBER(INDEX('Our policies'!$I$4:$I$503,_calc!$E$479)),TEXT(INDEX('Our policies'!$I$4:$I$503,_calc!$E$479),"yyyy-mm-dd"),""),""))</f>
        <v/>
      </c>
      <c r="E477" s="46">
        <f>IF(_calc!$E$479="","",IF(_calc!$E$479&lt;=500,IF(LEN(INDEX('Our policies'!$Q$4:$Q$503,_calc!$E$479))=0,"",INDEX('Our policies'!$Q$4:$Q$503,_calc!$E$479)),"Medium"))</f>
        <v/>
      </c>
      <c r="F477" s="46">
        <f>IF(_calc!$E$479="","",IF(_calc!$E$479&lt;=500,TRIM(IF(LEN(IF(LEN(INDEX('Our policies'!$B$4:$B$503,_calc!$E$479))=0,"",INDEX('Our policies'!$B$4:$B$503,_calc!$E$479)))=0,"","Cover: "&amp;IF(LEN(INDEX('Our policies'!$B$4:$B$503,_calc!$E$479))=0,"",INDEX('Our policies'!$B$4:$B$503,_calc!$E$479))&amp;". ")&amp;IF(LEN(IF(LEN(INDEX('Our policies'!$C$4:$C$503,_calc!$E$479))=0,"",INDEX('Our policies'!$C$4:$C$503,_calc!$E$479)))=0,"","Insurer: "&amp;IF(LEN(INDEX('Our policies'!$C$4:$C$503,_calc!$E$479))=0,"",INDEX('Our policies'!$C$4:$C$503,_calc!$E$479))&amp;". ")&amp;IF(LEN(IF(LEN(INDEX('Our policies'!$D$4:$D$503,_calc!$E$479))=0,"",INDEX('Our policies'!$D$4:$D$503,_calc!$E$479)))=0,"","Broker: "&amp;IF(LEN(INDEX('Our policies'!$D$4:$D$503,_calc!$E$479))=0,"",INDEX('Our policies'!$D$4:$D$503,_calc!$E$479))&amp;". ")&amp;IF(LEN(IF(LEN(INDEX('Our policies'!$E$4:$E$503,_calc!$E$479))=0,"",INDEX('Our policies'!$E$4:$E$503,_calc!$E$479)))=0,"","Policy no.: "&amp;IF(LEN(INDEX('Our policies'!$E$4:$E$503,_calc!$E$479))=0,"",INDEX('Our policies'!$E$4:$E$503,_calc!$E$479))&amp;". ")&amp;IF(LEN(IF(LEN(INDEX('Our policies'!$S$4:$S$503,_calc!$E$479))=0,"",INDEX('Our policies'!$S$4:$S$503,_calc!$E$479)))=0,"",IF(LEN(INDEX('Our policies'!$S$4:$S$503,_calc!$E$479))=0,"",INDEX('Our policies'!$S$4:$S$503,_calc!$E$479)))),TRIM(IF(LEN(IF(LEN(INDEX('Vendor COIs'!$C$4:$C$503,(_calc!$E$479-500)))=0,"",INDEX('Vendor COIs'!$C$4:$C$503,(_calc!$E$479-500))))=0,"","Insurer: "&amp;IF(LEN(INDEX('Vendor COIs'!$C$4:$C$503,(_calc!$E$479-500)))=0,"",INDEX('Vendor COIs'!$C$4:$C$503,(_calc!$E$479-500)))&amp;". ")&amp;IF(LEN(IF(LEN(INDEX('Vendor COIs'!$D$4:$D$503,(_calc!$E$479-500)))=0,"",INDEX('Vendor COIs'!$D$4:$D$503,(_calc!$E$479-500))))=0,"","Policy no.: "&amp;IF(LEN(INDEX('Vendor COIs'!$D$4:$D$503,(_calc!$E$479-500)))=0,"",INDEX('Vendor COIs'!$D$4:$D$503,(_calc!$E$479-500)))&amp;". ")&amp;IF(LEN(IF(LEN(INDEX('Vendor COIs'!$F$4:$F$503,(_calc!$E$479-500)))=0,"",INDEX('Vendor COIs'!$F$4:$F$503,(_calc!$E$479-500))))=0,"","Meets minimum: "&amp;IF(LEN(INDEX('Vendor COIs'!$F$4:$F$503,(_calc!$E$479-500)))=0,"",INDEX('Vendor COIs'!$F$4:$F$503,(_calc!$E$479-500)))&amp;". ")&amp;IF(LEN(IF(LEN(INDEX('Vendor COIs'!$G$4:$G$503,(_calc!$E$479-500)))=0,"",INDEX('Vendor COIs'!$G$4:$G$503,(_calc!$E$479-500))))=0,"","Additional insured: "&amp;IF(LEN(INDEX('Vendor COIs'!$G$4:$G$503,(_calc!$E$479-500)))=0,"",INDEX('Vendor COIs'!$G$4:$G$503,(_calc!$E$479-500)))&amp;". ")&amp;IF(LEN(IF(LEN(INDEX('Vendor COIs'!$M$4:$M$503,(_calc!$E$479-500)))=0,"",INDEX('Vendor COIs'!$M$4:$M$503,(_calc!$E$479-500))))=0,"","Vendor contact: "&amp;IF(LEN(INDEX('Vendor COIs'!$M$4:$M$503,(_calc!$E$479-500)))=0,"",INDEX('Vendor COIs'!$M$4:$M$503,(_calc!$E$479-500)))&amp;". ")&amp;IF(LEN(IF(LEN(INDEX('Vendor COIs'!$P$4:$P$503,(_calc!$E$479-500)))=0,"",INDEX('Vendor COIs'!$P$4:$P$503,(_calc!$E$479-500))))=0,"",IF(LEN(INDEX('Vendor COIs'!$P$4:$P$503,(_calc!$E$479-500)))=0,"",INDEX('Vendor COIs'!$P$4:$P$503,(_calc!$E$479-500)))))))</f>
        <v/>
      </c>
      <c r="G477" s="46">
        <f>IF(_calc!$E$479="","",IF(_calc!$E$479&lt;=500,IF(LEN(INDEX('Our policies'!$R$4:$R$503,_calc!$E$479))=0,"",INDEX('Our policies'!$R$4:$R$503,_calc!$E$479)),IF(LEN(INDEX('Vendor COIs'!$O$4:$O$503,(_calc!$E$479-500)))=0,"",INDEX('Vendor COIs'!$O$4:$O$503,(_calc!$E$479-500)))))</f>
        <v/>
      </c>
      <c r="H477" s="46">
        <f>IF(_calc!$E$479="","",IF(_calc!$E$479&lt;=500,IF(LEN(INDEX('Our policies'!$G$4:$G$503,_calc!$E$479))=0,"",INDEX('Our policies'!$G$4:$G$503,_calc!$E$479)),""))</f>
        <v/>
      </c>
      <c r="I477" s="46">
        <f>IF(_calc!$E$479="","",IF(_calc!$E$479&lt;=500,IF(LEN(INDEX('Our policies'!$H$4:$H$503,_calc!$E$479))=0,"",INDEX('Our policies'!$H$4:$H$503,_calc!$E$479)),""))</f>
        <v/>
      </c>
      <c r="K477" s="46">
        <f>IF(_calc!$E$479="","",IF(_calc!$E$479&lt;=500,IF(LEN(INDEX('Our policies'!$P$4:$P$503,_calc!$E$479))=0,"",INDEX('Our policies'!$P$4:$P$503,_calc!$E$479)),IF(LEN(INDEX('Vendor COIs'!$N$4:$N$503,(_calc!$E$479-500)))=0,"",INDEX('Vendor COIs'!$N$4:$N$503,(_calc!$E$479-500)))))</f>
        <v/>
      </c>
    </row>
    <row r="478">
      <c r="A478" s="46">
        <f>IF(_calc!$E$480="","",IF(_calc!$E$480&lt;=500,IF(LEN(INDEX('Our policies'!$A$4:$A$503,_calc!$E$480))=0,"",INDEX('Our policies'!$A$4:$A$503,_calc!$E$480)),"COI – "&amp;IF(LEN(INDEX('Vendor COIs'!$A$4:$A$503,(_calc!$E$480-500)))=0,"",INDEX('Vendor COIs'!$A$4:$A$503,(_calc!$E$480-500)))&amp;" – "&amp;IF(LEN(INDEX('Vendor COIs'!$B$4:$B$503,(_calc!$E$480-500)))=0,"",INDEX('Vendor COIs'!$B$4:$B$503,(_calc!$E$480-500)))))</f>
        <v/>
      </c>
      <c r="B478" s="46">
        <f>IF(_calc!$E$480="","",IF(_calc!$E$480&lt;=500,IF(ISNUMBER(INDEX('Our policies'!$J$4:$J$503,_calc!$E$480)),TEXT(INDEX('Our policies'!$J$4:$J$503,_calc!$E$480),"yyyy-mm-dd"),""),IF(ISNUMBER(INDEX('Vendor COIs'!$H$4:$H$503,(_calc!$E$480-500))),TEXT(INDEX('Vendor COIs'!$H$4:$H$503,(_calc!$E$480-500)),"yyyy-mm-dd"),"")))</f>
        <v/>
      </c>
      <c r="C478" s="46">
        <f>IF(_calc!$E$480="","",IF(_calc!$E$480&lt;=500,"Insurance","Certificate of insurance"))</f>
        <v/>
      </c>
      <c r="D478" s="46">
        <f>IF(_calc!$E$480="","",IF(_calc!$E$480&lt;=500,IF(ISNUMBER(INDEX('Our policies'!$I$4:$I$503,_calc!$E$480)),TEXT(INDEX('Our policies'!$I$4:$I$503,_calc!$E$480),"yyyy-mm-dd"),""),""))</f>
        <v/>
      </c>
      <c r="E478" s="46">
        <f>IF(_calc!$E$480="","",IF(_calc!$E$480&lt;=500,IF(LEN(INDEX('Our policies'!$Q$4:$Q$503,_calc!$E$480))=0,"",INDEX('Our policies'!$Q$4:$Q$503,_calc!$E$480)),"Medium"))</f>
        <v/>
      </c>
      <c r="F478" s="46">
        <f>IF(_calc!$E$480="","",IF(_calc!$E$480&lt;=500,TRIM(IF(LEN(IF(LEN(INDEX('Our policies'!$B$4:$B$503,_calc!$E$480))=0,"",INDEX('Our policies'!$B$4:$B$503,_calc!$E$480)))=0,"","Cover: "&amp;IF(LEN(INDEX('Our policies'!$B$4:$B$503,_calc!$E$480))=0,"",INDEX('Our policies'!$B$4:$B$503,_calc!$E$480))&amp;". ")&amp;IF(LEN(IF(LEN(INDEX('Our policies'!$C$4:$C$503,_calc!$E$480))=0,"",INDEX('Our policies'!$C$4:$C$503,_calc!$E$480)))=0,"","Insurer: "&amp;IF(LEN(INDEX('Our policies'!$C$4:$C$503,_calc!$E$480))=0,"",INDEX('Our policies'!$C$4:$C$503,_calc!$E$480))&amp;". ")&amp;IF(LEN(IF(LEN(INDEX('Our policies'!$D$4:$D$503,_calc!$E$480))=0,"",INDEX('Our policies'!$D$4:$D$503,_calc!$E$480)))=0,"","Broker: "&amp;IF(LEN(INDEX('Our policies'!$D$4:$D$503,_calc!$E$480))=0,"",INDEX('Our policies'!$D$4:$D$503,_calc!$E$480))&amp;". ")&amp;IF(LEN(IF(LEN(INDEX('Our policies'!$E$4:$E$503,_calc!$E$480))=0,"",INDEX('Our policies'!$E$4:$E$503,_calc!$E$480)))=0,"","Policy no.: "&amp;IF(LEN(INDEX('Our policies'!$E$4:$E$503,_calc!$E$480))=0,"",INDEX('Our policies'!$E$4:$E$503,_calc!$E$480))&amp;". ")&amp;IF(LEN(IF(LEN(INDEX('Our policies'!$S$4:$S$503,_calc!$E$480))=0,"",INDEX('Our policies'!$S$4:$S$503,_calc!$E$480)))=0,"",IF(LEN(INDEX('Our policies'!$S$4:$S$503,_calc!$E$480))=0,"",INDEX('Our policies'!$S$4:$S$503,_calc!$E$480)))),TRIM(IF(LEN(IF(LEN(INDEX('Vendor COIs'!$C$4:$C$503,(_calc!$E$480-500)))=0,"",INDEX('Vendor COIs'!$C$4:$C$503,(_calc!$E$480-500))))=0,"","Insurer: "&amp;IF(LEN(INDEX('Vendor COIs'!$C$4:$C$503,(_calc!$E$480-500)))=0,"",INDEX('Vendor COIs'!$C$4:$C$503,(_calc!$E$480-500)))&amp;". ")&amp;IF(LEN(IF(LEN(INDEX('Vendor COIs'!$D$4:$D$503,(_calc!$E$480-500)))=0,"",INDEX('Vendor COIs'!$D$4:$D$503,(_calc!$E$480-500))))=0,"","Policy no.: "&amp;IF(LEN(INDEX('Vendor COIs'!$D$4:$D$503,(_calc!$E$480-500)))=0,"",INDEX('Vendor COIs'!$D$4:$D$503,(_calc!$E$480-500)))&amp;". ")&amp;IF(LEN(IF(LEN(INDEX('Vendor COIs'!$F$4:$F$503,(_calc!$E$480-500)))=0,"",INDEX('Vendor COIs'!$F$4:$F$503,(_calc!$E$480-500))))=0,"","Meets minimum: "&amp;IF(LEN(INDEX('Vendor COIs'!$F$4:$F$503,(_calc!$E$480-500)))=0,"",INDEX('Vendor COIs'!$F$4:$F$503,(_calc!$E$480-500)))&amp;". ")&amp;IF(LEN(IF(LEN(INDEX('Vendor COIs'!$G$4:$G$503,(_calc!$E$480-500)))=0,"",INDEX('Vendor COIs'!$G$4:$G$503,(_calc!$E$480-500))))=0,"","Additional insured: "&amp;IF(LEN(INDEX('Vendor COIs'!$G$4:$G$503,(_calc!$E$480-500)))=0,"",INDEX('Vendor COIs'!$G$4:$G$503,(_calc!$E$480-500)))&amp;". ")&amp;IF(LEN(IF(LEN(INDEX('Vendor COIs'!$M$4:$M$503,(_calc!$E$480-500)))=0,"",INDEX('Vendor COIs'!$M$4:$M$503,(_calc!$E$480-500))))=0,"","Vendor contact: "&amp;IF(LEN(INDEX('Vendor COIs'!$M$4:$M$503,(_calc!$E$480-500)))=0,"",INDEX('Vendor COIs'!$M$4:$M$503,(_calc!$E$480-500)))&amp;". ")&amp;IF(LEN(IF(LEN(INDEX('Vendor COIs'!$P$4:$P$503,(_calc!$E$480-500)))=0,"",INDEX('Vendor COIs'!$P$4:$P$503,(_calc!$E$480-500))))=0,"",IF(LEN(INDEX('Vendor COIs'!$P$4:$P$503,(_calc!$E$480-500)))=0,"",INDEX('Vendor COIs'!$P$4:$P$503,(_calc!$E$480-500)))))))</f>
        <v/>
      </c>
      <c r="G478" s="46">
        <f>IF(_calc!$E$480="","",IF(_calc!$E$480&lt;=500,IF(LEN(INDEX('Our policies'!$R$4:$R$503,_calc!$E$480))=0,"",INDEX('Our policies'!$R$4:$R$503,_calc!$E$480)),IF(LEN(INDEX('Vendor COIs'!$O$4:$O$503,(_calc!$E$480-500)))=0,"",INDEX('Vendor COIs'!$O$4:$O$503,(_calc!$E$480-500)))))</f>
        <v/>
      </c>
      <c r="H478" s="46">
        <f>IF(_calc!$E$480="","",IF(_calc!$E$480&lt;=500,IF(LEN(INDEX('Our policies'!$G$4:$G$503,_calc!$E$480))=0,"",INDEX('Our policies'!$G$4:$G$503,_calc!$E$480)),""))</f>
        <v/>
      </c>
      <c r="I478" s="46">
        <f>IF(_calc!$E$480="","",IF(_calc!$E$480&lt;=500,IF(LEN(INDEX('Our policies'!$H$4:$H$503,_calc!$E$480))=0,"",INDEX('Our policies'!$H$4:$H$503,_calc!$E$480)),""))</f>
        <v/>
      </c>
      <c r="K478" s="46">
        <f>IF(_calc!$E$480="","",IF(_calc!$E$480&lt;=500,IF(LEN(INDEX('Our policies'!$P$4:$P$503,_calc!$E$480))=0,"",INDEX('Our policies'!$P$4:$P$503,_calc!$E$480)),IF(LEN(INDEX('Vendor COIs'!$N$4:$N$503,(_calc!$E$480-500)))=0,"",INDEX('Vendor COIs'!$N$4:$N$503,(_calc!$E$480-500)))))</f>
        <v/>
      </c>
    </row>
    <row r="479">
      <c r="A479" s="46">
        <f>IF(_calc!$E$481="","",IF(_calc!$E$481&lt;=500,IF(LEN(INDEX('Our policies'!$A$4:$A$503,_calc!$E$481))=0,"",INDEX('Our policies'!$A$4:$A$503,_calc!$E$481)),"COI – "&amp;IF(LEN(INDEX('Vendor COIs'!$A$4:$A$503,(_calc!$E$481-500)))=0,"",INDEX('Vendor COIs'!$A$4:$A$503,(_calc!$E$481-500)))&amp;" – "&amp;IF(LEN(INDEX('Vendor COIs'!$B$4:$B$503,(_calc!$E$481-500)))=0,"",INDEX('Vendor COIs'!$B$4:$B$503,(_calc!$E$481-500)))))</f>
        <v/>
      </c>
      <c r="B479" s="46">
        <f>IF(_calc!$E$481="","",IF(_calc!$E$481&lt;=500,IF(ISNUMBER(INDEX('Our policies'!$J$4:$J$503,_calc!$E$481)),TEXT(INDEX('Our policies'!$J$4:$J$503,_calc!$E$481),"yyyy-mm-dd"),""),IF(ISNUMBER(INDEX('Vendor COIs'!$H$4:$H$503,(_calc!$E$481-500))),TEXT(INDEX('Vendor COIs'!$H$4:$H$503,(_calc!$E$481-500)),"yyyy-mm-dd"),"")))</f>
        <v/>
      </c>
      <c r="C479" s="46">
        <f>IF(_calc!$E$481="","",IF(_calc!$E$481&lt;=500,"Insurance","Certificate of insurance"))</f>
        <v/>
      </c>
      <c r="D479" s="46">
        <f>IF(_calc!$E$481="","",IF(_calc!$E$481&lt;=500,IF(ISNUMBER(INDEX('Our policies'!$I$4:$I$503,_calc!$E$481)),TEXT(INDEX('Our policies'!$I$4:$I$503,_calc!$E$481),"yyyy-mm-dd"),""),""))</f>
        <v/>
      </c>
      <c r="E479" s="46">
        <f>IF(_calc!$E$481="","",IF(_calc!$E$481&lt;=500,IF(LEN(INDEX('Our policies'!$Q$4:$Q$503,_calc!$E$481))=0,"",INDEX('Our policies'!$Q$4:$Q$503,_calc!$E$481)),"Medium"))</f>
        <v/>
      </c>
      <c r="F479" s="46">
        <f>IF(_calc!$E$481="","",IF(_calc!$E$481&lt;=500,TRIM(IF(LEN(IF(LEN(INDEX('Our policies'!$B$4:$B$503,_calc!$E$481))=0,"",INDEX('Our policies'!$B$4:$B$503,_calc!$E$481)))=0,"","Cover: "&amp;IF(LEN(INDEX('Our policies'!$B$4:$B$503,_calc!$E$481))=0,"",INDEX('Our policies'!$B$4:$B$503,_calc!$E$481))&amp;". ")&amp;IF(LEN(IF(LEN(INDEX('Our policies'!$C$4:$C$503,_calc!$E$481))=0,"",INDEX('Our policies'!$C$4:$C$503,_calc!$E$481)))=0,"","Insurer: "&amp;IF(LEN(INDEX('Our policies'!$C$4:$C$503,_calc!$E$481))=0,"",INDEX('Our policies'!$C$4:$C$503,_calc!$E$481))&amp;". ")&amp;IF(LEN(IF(LEN(INDEX('Our policies'!$D$4:$D$503,_calc!$E$481))=0,"",INDEX('Our policies'!$D$4:$D$503,_calc!$E$481)))=0,"","Broker: "&amp;IF(LEN(INDEX('Our policies'!$D$4:$D$503,_calc!$E$481))=0,"",INDEX('Our policies'!$D$4:$D$503,_calc!$E$481))&amp;". ")&amp;IF(LEN(IF(LEN(INDEX('Our policies'!$E$4:$E$503,_calc!$E$481))=0,"",INDEX('Our policies'!$E$4:$E$503,_calc!$E$481)))=0,"","Policy no.: "&amp;IF(LEN(INDEX('Our policies'!$E$4:$E$503,_calc!$E$481))=0,"",INDEX('Our policies'!$E$4:$E$503,_calc!$E$481))&amp;". ")&amp;IF(LEN(IF(LEN(INDEX('Our policies'!$S$4:$S$503,_calc!$E$481))=0,"",INDEX('Our policies'!$S$4:$S$503,_calc!$E$481)))=0,"",IF(LEN(INDEX('Our policies'!$S$4:$S$503,_calc!$E$481))=0,"",INDEX('Our policies'!$S$4:$S$503,_calc!$E$481)))),TRIM(IF(LEN(IF(LEN(INDEX('Vendor COIs'!$C$4:$C$503,(_calc!$E$481-500)))=0,"",INDEX('Vendor COIs'!$C$4:$C$503,(_calc!$E$481-500))))=0,"","Insurer: "&amp;IF(LEN(INDEX('Vendor COIs'!$C$4:$C$503,(_calc!$E$481-500)))=0,"",INDEX('Vendor COIs'!$C$4:$C$503,(_calc!$E$481-500)))&amp;". ")&amp;IF(LEN(IF(LEN(INDEX('Vendor COIs'!$D$4:$D$503,(_calc!$E$481-500)))=0,"",INDEX('Vendor COIs'!$D$4:$D$503,(_calc!$E$481-500))))=0,"","Policy no.: "&amp;IF(LEN(INDEX('Vendor COIs'!$D$4:$D$503,(_calc!$E$481-500)))=0,"",INDEX('Vendor COIs'!$D$4:$D$503,(_calc!$E$481-500)))&amp;". ")&amp;IF(LEN(IF(LEN(INDEX('Vendor COIs'!$F$4:$F$503,(_calc!$E$481-500)))=0,"",INDEX('Vendor COIs'!$F$4:$F$503,(_calc!$E$481-500))))=0,"","Meets minimum: "&amp;IF(LEN(INDEX('Vendor COIs'!$F$4:$F$503,(_calc!$E$481-500)))=0,"",INDEX('Vendor COIs'!$F$4:$F$503,(_calc!$E$481-500)))&amp;". ")&amp;IF(LEN(IF(LEN(INDEX('Vendor COIs'!$G$4:$G$503,(_calc!$E$481-500)))=0,"",INDEX('Vendor COIs'!$G$4:$G$503,(_calc!$E$481-500))))=0,"","Additional insured: "&amp;IF(LEN(INDEX('Vendor COIs'!$G$4:$G$503,(_calc!$E$481-500)))=0,"",INDEX('Vendor COIs'!$G$4:$G$503,(_calc!$E$481-500)))&amp;". ")&amp;IF(LEN(IF(LEN(INDEX('Vendor COIs'!$M$4:$M$503,(_calc!$E$481-500)))=0,"",INDEX('Vendor COIs'!$M$4:$M$503,(_calc!$E$481-500))))=0,"","Vendor contact: "&amp;IF(LEN(INDEX('Vendor COIs'!$M$4:$M$503,(_calc!$E$481-500)))=0,"",INDEX('Vendor COIs'!$M$4:$M$503,(_calc!$E$481-500)))&amp;". ")&amp;IF(LEN(IF(LEN(INDEX('Vendor COIs'!$P$4:$P$503,(_calc!$E$481-500)))=0,"",INDEX('Vendor COIs'!$P$4:$P$503,(_calc!$E$481-500))))=0,"",IF(LEN(INDEX('Vendor COIs'!$P$4:$P$503,(_calc!$E$481-500)))=0,"",INDEX('Vendor COIs'!$P$4:$P$503,(_calc!$E$481-500)))))))</f>
        <v/>
      </c>
      <c r="G479" s="46">
        <f>IF(_calc!$E$481="","",IF(_calc!$E$481&lt;=500,IF(LEN(INDEX('Our policies'!$R$4:$R$503,_calc!$E$481))=0,"",INDEX('Our policies'!$R$4:$R$503,_calc!$E$481)),IF(LEN(INDEX('Vendor COIs'!$O$4:$O$503,(_calc!$E$481-500)))=0,"",INDEX('Vendor COIs'!$O$4:$O$503,(_calc!$E$481-500)))))</f>
        <v/>
      </c>
      <c r="H479" s="46">
        <f>IF(_calc!$E$481="","",IF(_calc!$E$481&lt;=500,IF(LEN(INDEX('Our policies'!$G$4:$G$503,_calc!$E$481))=0,"",INDEX('Our policies'!$G$4:$G$503,_calc!$E$481)),""))</f>
        <v/>
      </c>
      <c r="I479" s="46">
        <f>IF(_calc!$E$481="","",IF(_calc!$E$481&lt;=500,IF(LEN(INDEX('Our policies'!$H$4:$H$503,_calc!$E$481))=0,"",INDEX('Our policies'!$H$4:$H$503,_calc!$E$481)),""))</f>
        <v/>
      </c>
      <c r="K479" s="46">
        <f>IF(_calc!$E$481="","",IF(_calc!$E$481&lt;=500,IF(LEN(INDEX('Our policies'!$P$4:$P$503,_calc!$E$481))=0,"",INDEX('Our policies'!$P$4:$P$503,_calc!$E$481)),IF(LEN(INDEX('Vendor COIs'!$N$4:$N$503,(_calc!$E$481-500)))=0,"",INDEX('Vendor COIs'!$N$4:$N$503,(_calc!$E$481-500)))))</f>
        <v/>
      </c>
    </row>
    <row r="480">
      <c r="A480" s="46">
        <f>IF(_calc!$E$482="","",IF(_calc!$E$482&lt;=500,IF(LEN(INDEX('Our policies'!$A$4:$A$503,_calc!$E$482))=0,"",INDEX('Our policies'!$A$4:$A$503,_calc!$E$482)),"COI – "&amp;IF(LEN(INDEX('Vendor COIs'!$A$4:$A$503,(_calc!$E$482-500)))=0,"",INDEX('Vendor COIs'!$A$4:$A$503,(_calc!$E$482-500)))&amp;" – "&amp;IF(LEN(INDEX('Vendor COIs'!$B$4:$B$503,(_calc!$E$482-500)))=0,"",INDEX('Vendor COIs'!$B$4:$B$503,(_calc!$E$482-500)))))</f>
        <v/>
      </c>
      <c r="B480" s="46">
        <f>IF(_calc!$E$482="","",IF(_calc!$E$482&lt;=500,IF(ISNUMBER(INDEX('Our policies'!$J$4:$J$503,_calc!$E$482)),TEXT(INDEX('Our policies'!$J$4:$J$503,_calc!$E$482),"yyyy-mm-dd"),""),IF(ISNUMBER(INDEX('Vendor COIs'!$H$4:$H$503,(_calc!$E$482-500))),TEXT(INDEX('Vendor COIs'!$H$4:$H$503,(_calc!$E$482-500)),"yyyy-mm-dd"),"")))</f>
        <v/>
      </c>
      <c r="C480" s="46">
        <f>IF(_calc!$E$482="","",IF(_calc!$E$482&lt;=500,"Insurance","Certificate of insurance"))</f>
        <v/>
      </c>
      <c r="D480" s="46">
        <f>IF(_calc!$E$482="","",IF(_calc!$E$482&lt;=500,IF(ISNUMBER(INDEX('Our policies'!$I$4:$I$503,_calc!$E$482)),TEXT(INDEX('Our policies'!$I$4:$I$503,_calc!$E$482),"yyyy-mm-dd"),""),""))</f>
        <v/>
      </c>
      <c r="E480" s="46">
        <f>IF(_calc!$E$482="","",IF(_calc!$E$482&lt;=500,IF(LEN(INDEX('Our policies'!$Q$4:$Q$503,_calc!$E$482))=0,"",INDEX('Our policies'!$Q$4:$Q$503,_calc!$E$482)),"Medium"))</f>
        <v/>
      </c>
      <c r="F480" s="46">
        <f>IF(_calc!$E$482="","",IF(_calc!$E$482&lt;=500,TRIM(IF(LEN(IF(LEN(INDEX('Our policies'!$B$4:$B$503,_calc!$E$482))=0,"",INDEX('Our policies'!$B$4:$B$503,_calc!$E$482)))=0,"","Cover: "&amp;IF(LEN(INDEX('Our policies'!$B$4:$B$503,_calc!$E$482))=0,"",INDEX('Our policies'!$B$4:$B$503,_calc!$E$482))&amp;". ")&amp;IF(LEN(IF(LEN(INDEX('Our policies'!$C$4:$C$503,_calc!$E$482))=0,"",INDEX('Our policies'!$C$4:$C$503,_calc!$E$482)))=0,"","Insurer: "&amp;IF(LEN(INDEX('Our policies'!$C$4:$C$503,_calc!$E$482))=0,"",INDEX('Our policies'!$C$4:$C$503,_calc!$E$482))&amp;". ")&amp;IF(LEN(IF(LEN(INDEX('Our policies'!$D$4:$D$503,_calc!$E$482))=0,"",INDEX('Our policies'!$D$4:$D$503,_calc!$E$482)))=0,"","Broker: "&amp;IF(LEN(INDEX('Our policies'!$D$4:$D$503,_calc!$E$482))=0,"",INDEX('Our policies'!$D$4:$D$503,_calc!$E$482))&amp;". ")&amp;IF(LEN(IF(LEN(INDEX('Our policies'!$E$4:$E$503,_calc!$E$482))=0,"",INDEX('Our policies'!$E$4:$E$503,_calc!$E$482)))=0,"","Policy no.: "&amp;IF(LEN(INDEX('Our policies'!$E$4:$E$503,_calc!$E$482))=0,"",INDEX('Our policies'!$E$4:$E$503,_calc!$E$482))&amp;". ")&amp;IF(LEN(IF(LEN(INDEX('Our policies'!$S$4:$S$503,_calc!$E$482))=0,"",INDEX('Our policies'!$S$4:$S$503,_calc!$E$482)))=0,"",IF(LEN(INDEX('Our policies'!$S$4:$S$503,_calc!$E$482))=0,"",INDEX('Our policies'!$S$4:$S$503,_calc!$E$482)))),TRIM(IF(LEN(IF(LEN(INDEX('Vendor COIs'!$C$4:$C$503,(_calc!$E$482-500)))=0,"",INDEX('Vendor COIs'!$C$4:$C$503,(_calc!$E$482-500))))=0,"","Insurer: "&amp;IF(LEN(INDEX('Vendor COIs'!$C$4:$C$503,(_calc!$E$482-500)))=0,"",INDEX('Vendor COIs'!$C$4:$C$503,(_calc!$E$482-500)))&amp;". ")&amp;IF(LEN(IF(LEN(INDEX('Vendor COIs'!$D$4:$D$503,(_calc!$E$482-500)))=0,"",INDEX('Vendor COIs'!$D$4:$D$503,(_calc!$E$482-500))))=0,"","Policy no.: "&amp;IF(LEN(INDEX('Vendor COIs'!$D$4:$D$503,(_calc!$E$482-500)))=0,"",INDEX('Vendor COIs'!$D$4:$D$503,(_calc!$E$482-500)))&amp;". ")&amp;IF(LEN(IF(LEN(INDEX('Vendor COIs'!$F$4:$F$503,(_calc!$E$482-500)))=0,"",INDEX('Vendor COIs'!$F$4:$F$503,(_calc!$E$482-500))))=0,"","Meets minimum: "&amp;IF(LEN(INDEX('Vendor COIs'!$F$4:$F$503,(_calc!$E$482-500)))=0,"",INDEX('Vendor COIs'!$F$4:$F$503,(_calc!$E$482-500)))&amp;". ")&amp;IF(LEN(IF(LEN(INDEX('Vendor COIs'!$G$4:$G$503,(_calc!$E$482-500)))=0,"",INDEX('Vendor COIs'!$G$4:$G$503,(_calc!$E$482-500))))=0,"","Additional insured: "&amp;IF(LEN(INDEX('Vendor COIs'!$G$4:$G$503,(_calc!$E$482-500)))=0,"",INDEX('Vendor COIs'!$G$4:$G$503,(_calc!$E$482-500)))&amp;". ")&amp;IF(LEN(IF(LEN(INDEX('Vendor COIs'!$M$4:$M$503,(_calc!$E$482-500)))=0,"",INDEX('Vendor COIs'!$M$4:$M$503,(_calc!$E$482-500))))=0,"","Vendor contact: "&amp;IF(LEN(INDEX('Vendor COIs'!$M$4:$M$503,(_calc!$E$482-500)))=0,"",INDEX('Vendor COIs'!$M$4:$M$503,(_calc!$E$482-500)))&amp;". ")&amp;IF(LEN(IF(LEN(INDEX('Vendor COIs'!$P$4:$P$503,(_calc!$E$482-500)))=0,"",INDEX('Vendor COIs'!$P$4:$P$503,(_calc!$E$482-500))))=0,"",IF(LEN(INDEX('Vendor COIs'!$P$4:$P$503,(_calc!$E$482-500)))=0,"",INDEX('Vendor COIs'!$P$4:$P$503,(_calc!$E$482-500)))))))</f>
        <v/>
      </c>
      <c r="G480" s="46">
        <f>IF(_calc!$E$482="","",IF(_calc!$E$482&lt;=500,IF(LEN(INDEX('Our policies'!$R$4:$R$503,_calc!$E$482))=0,"",INDEX('Our policies'!$R$4:$R$503,_calc!$E$482)),IF(LEN(INDEX('Vendor COIs'!$O$4:$O$503,(_calc!$E$482-500)))=0,"",INDEX('Vendor COIs'!$O$4:$O$503,(_calc!$E$482-500)))))</f>
        <v/>
      </c>
      <c r="H480" s="46">
        <f>IF(_calc!$E$482="","",IF(_calc!$E$482&lt;=500,IF(LEN(INDEX('Our policies'!$G$4:$G$503,_calc!$E$482))=0,"",INDEX('Our policies'!$G$4:$G$503,_calc!$E$482)),""))</f>
        <v/>
      </c>
      <c r="I480" s="46">
        <f>IF(_calc!$E$482="","",IF(_calc!$E$482&lt;=500,IF(LEN(INDEX('Our policies'!$H$4:$H$503,_calc!$E$482))=0,"",INDEX('Our policies'!$H$4:$H$503,_calc!$E$482)),""))</f>
        <v/>
      </c>
      <c r="K480" s="46">
        <f>IF(_calc!$E$482="","",IF(_calc!$E$482&lt;=500,IF(LEN(INDEX('Our policies'!$P$4:$P$503,_calc!$E$482))=0,"",INDEX('Our policies'!$P$4:$P$503,_calc!$E$482)),IF(LEN(INDEX('Vendor COIs'!$N$4:$N$503,(_calc!$E$482-500)))=0,"",INDEX('Vendor COIs'!$N$4:$N$503,(_calc!$E$482-500)))))</f>
        <v/>
      </c>
    </row>
    <row r="481">
      <c r="A481" s="46">
        <f>IF(_calc!$E$483="","",IF(_calc!$E$483&lt;=500,IF(LEN(INDEX('Our policies'!$A$4:$A$503,_calc!$E$483))=0,"",INDEX('Our policies'!$A$4:$A$503,_calc!$E$483)),"COI – "&amp;IF(LEN(INDEX('Vendor COIs'!$A$4:$A$503,(_calc!$E$483-500)))=0,"",INDEX('Vendor COIs'!$A$4:$A$503,(_calc!$E$483-500)))&amp;" – "&amp;IF(LEN(INDEX('Vendor COIs'!$B$4:$B$503,(_calc!$E$483-500)))=0,"",INDEX('Vendor COIs'!$B$4:$B$503,(_calc!$E$483-500)))))</f>
        <v/>
      </c>
      <c r="B481" s="46">
        <f>IF(_calc!$E$483="","",IF(_calc!$E$483&lt;=500,IF(ISNUMBER(INDEX('Our policies'!$J$4:$J$503,_calc!$E$483)),TEXT(INDEX('Our policies'!$J$4:$J$503,_calc!$E$483),"yyyy-mm-dd"),""),IF(ISNUMBER(INDEX('Vendor COIs'!$H$4:$H$503,(_calc!$E$483-500))),TEXT(INDEX('Vendor COIs'!$H$4:$H$503,(_calc!$E$483-500)),"yyyy-mm-dd"),"")))</f>
        <v/>
      </c>
      <c r="C481" s="46">
        <f>IF(_calc!$E$483="","",IF(_calc!$E$483&lt;=500,"Insurance","Certificate of insurance"))</f>
        <v/>
      </c>
      <c r="D481" s="46">
        <f>IF(_calc!$E$483="","",IF(_calc!$E$483&lt;=500,IF(ISNUMBER(INDEX('Our policies'!$I$4:$I$503,_calc!$E$483)),TEXT(INDEX('Our policies'!$I$4:$I$503,_calc!$E$483),"yyyy-mm-dd"),""),""))</f>
        <v/>
      </c>
      <c r="E481" s="46">
        <f>IF(_calc!$E$483="","",IF(_calc!$E$483&lt;=500,IF(LEN(INDEX('Our policies'!$Q$4:$Q$503,_calc!$E$483))=0,"",INDEX('Our policies'!$Q$4:$Q$503,_calc!$E$483)),"Medium"))</f>
        <v/>
      </c>
      <c r="F481" s="46">
        <f>IF(_calc!$E$483="","",IF(_calc!$E$483&lt;=500,TRIM(IF(LEN(IF(LEN(INDEX('Our policies'!$B$4:$B$503,_calc!$E$483))=0,"",INDEX('Our policies'!$B$4:$B$503,_calc!$E$483)))=0,"","Cover: "&amp;IF(LEN(INDEX('Our policies'!$B$4:$B$503,_calc!$E$483))=0,"",INDEX('Our policies'!$B$4:$B$503,_calc!$E$483))&amp;". ")&amp;IF(LEN(IF(LEN(INDEX('Our policies'!$C$4:$C$503,_calc!$E$483))=0,"",INDEX('Our policies'!$C$4:$C$503,_calc!$E$483)))=0,"","Insurer: "&amp;IF(LEN(INDEX('Our policies'!$C$4:$C$503,_calc!$E$483))=0,"",INDEX('Our policies'!$C$4:$C$503,_calc!$E$483))&amp;". ")&amp;IF(LEN(IF(LEN(INDEX('Our policies'!$D$4:$D$503,_calc!$E$483))=0,"",INDEX('Our policies'!$D$4:$D$503,_calc!$E$483)))=0,"","Broker: "&amp;IF(LEN(INDEX('Our policies'!$D$4:$D$503,_calc!$E$483))=0,"",INDEX('Our policies'!$D$4:$D$503,_calc!$E$483))&amp;". ")&amp;IF(LEN(IF(LEN(INDEX('Our policies'!$E$4:$E$503,_calc!$E$483))=0,"",INDEX('Our policies'!$E$4:$E$503,_calc!$E$483)))=0,"","Policy no.: "&amp;IF(LEN(INDEX('Our policies'!$E$4:$E$503,_calc!$E$483))=0,"",INDEX('Our policies'!$E$4:$E$503,_calc!$E$483))&amp;". ")&amp;IF(LEN(IF(LEN(INDEX('Our policies'!$S$4:$S$503,_calc!$E$483))=0,"",INDEX('Our policies'!$S$4:$S$503,_calc!$E$483)))=0,"",IF(LEN(INDEX('Our policies'!$S$4:$S$503,_calc!$E$483))=0,"",INDEX('Our policies'!$S$4:$S$503,_calc!$E$483)))),TRIM(IF(LEN(IF(LEN(INDEX('Vendor COIs'!$C$4:$C$503,(_calc!$E$483-500)))=0,"",INDEX('Vendor COIs'!$C$4:$C$503,(_calc!$E$483-500))))=0,"","Insurer: "&amp;IF(LEN(INDEX('Vendor COIs'!$C$4:$C$503,(_calc!$E$483-500)))=0,"",INDEX('Vendor COIs'!$C$4:$C$503,(_calc!$E$483-500)))&amp;". ")&amp;IF(LEN(IF(LEN(INDEX('Vendor COIs'!$D$4:$D$503,(_calc!$E$483-500)))=0,"",INDEX('Vendor COIs'!$D$4:$D$503,(_calc!$E$483-500))))=0,"","Policy no.: "&amp;IF(LEN(INDEX('Vendor COIs'!$D$4:$D$503,(_calc!$E$483-500)))=0,"",INDEX('Vendor COIs'!$D$4:$D$503,(_calc!$E$483-500)))&amp;". ")&amp;IF(LEN(IF(LEN(INDEX('Vendor COIs'!$F$4:$F$503,(_calc!$E$483-500)))=0,"",INDEX('Vendor COIs'!$F$4:$F$503,(_calc!$E$483-500))))=0,"","Meets minimum: "&amp;IF(LEN(INDEX('Vendor COIs'!$F$4:$F$503,(_calc!$E$483-500)))=0,"",INDEX('Vendor COIs'!$F$4:$F$503,(_calc!$E$483-500)))&amp;". ")&amp;IF(LEN(IF(LEN(INDEX('Vendor COIs'!$G$4:$G$503,(_calc!$E$483-500)))=0,"",INDEX('Vendor COIs'!$G$4:$G$503,(_calc!$E$483-500))))=0,"","Additional insured: "&amp;IF(LEN(INDEX('Vendor COIs'!$G$4:$G$503,(_calc!$E$483-500)))=0,"",INDEX('Vendor COIs'!$G$4:$G$503,(_calc!$E$483-500)))&amp;". ")&amp;IF(LEN(IF(LEN(INDEX('Vendor COIs'!$M$4:$M$503,(_calc!$E$483-500)))=0,"",INDEX('Vendor COIs'!$M$4:$M$503,(_calc!$E$483-500))))=0,"","Vendor contact: "&amp;IF(LEN(INDEX('Vendor COIs'!$M$4:$M$503,(_calc!$E$483-500)))=0,"",INDEX('Vendor COIs'!$M$4:$M$503,(_calc!$E$483-500)))&amp;". ")&amp;IF(LEN(IF(LEN(INDEX('Vendor COIs'!$P$4:$P$503,(_calc!$E$483-500)))=0,"",INDEX('Vendor COIs'!$P$4:$P$503,(_calc!$E$483-500))))=0,"",IF(LEN(INDEX('Vendor COIs'!$P$4:$P$503,(_calc!$E$483-500)))=0,"",INDEX('Vendor COIs'!$P$4:$P$503,(_calc!$E$483-500)))))))</f>
        <v/>
      </c>
      <c r="G481" s="46">
        <f>IF(_calc!$E$483="","",IF(_calc!$E$483&lt;=500,IF(LEN(INDEX('Our policies'!$R$4:$R$503,_calc!$E$483))=0,"",INDEX('Our policies'!$R$4:$R$503,_calc!$E$483)),IF(LEN(INDEX('Vendor COIs'!$O$4:$O$503,(_calc!$E$483-500)))=0,"",INDEX('Vendor COIs'!$O$4:$O$503,(_calc!$E$483-500)))))</f>
        <v/>
      </c>
      <c r="H481" s="46">
        <f>IF(_calc!$E$483="","",IF(_calc!$E$483&lt;=500,IF(LEN(INDEX('Our policies'!$G$4:$G$503,_calc!$E$483))=0,"",INDEX('Our policies'!$G$4:$G$503,_calc!$E$483)),""))</f>
        <v/>
      </c>
      <c r="I481" s="46">
        <f>IF(_calc!$E$483="","",IF(_calc!$E$483&lt;=500,IF(LEN(INDEX('Our policies'!$H$4:$H$503,_calc!$E$483))=0,"",INDEX('Our policies'!$H$4:$H$503,_calc!$E$483)),""))</f>
        <v/>
      </c>
      <c r="K481" s="46">
        <f>IF(_calc!$E$483="","",IF(_calc!$E$483&lt;=500,IF(LEN(INDEX('Our policies'!$P$4:$P$503,_calc!$E$483))=0,"",INDEX('Our policies'!$P$4:$P$503,_calc!$E$483)),IF(LEN(INDEX('Vendor COIs'!$N$4:$N$503,(_calc!$E$483-500)))=0,"",INDEX('Vendor COIs'!$N$4:$N$503,(_calc!$E$483-500)))))</f>
        <v/>
      </c>
    </row>
    <row r="482">
      <c r="A482" s="46">
        <f>IF(_calc!$E$484="","",IF(_calc!$E$484&lt;=500,IF(LEN(INDEX('Our policies'!$A$4:$A$503,_calc!$E$484))=0,"",INDEX('Our policies'!$A$4:$A$503,_calc!$E$484)),"COI – "&amp;IF(LEN(INDEX('Vendor COIs'!$A$4:$A$503,(_calc!$E$484-500)))=0,"",INDEX('Vendor COIs'!$A$4:$A$503,(_calc!$E$484-500)))&amp;" – "&amp;IF(LEN(INDEX('Vendor COIs'!$B$4:$B$503,(_calc!$E$484-500)))=0,"",INDEX('Vendor COIs'!$B$4:$B$503,(_calc!$E$484-500)))))</f>
        <v/>
      </c>
      <c r="B482" s="46">
        <f>IF(_calc!$E$484="","",IF(_calc!$E$484&lt;=500,IF(ISNUMBER(INDEX('Our policies'!$J$4:$J$503,_calc!$E$484)),TEXT(INDEX('Our policies'!$J$4:$J$503,_calc!$E$484),"yyyy-mm-dd"),""),IF(ISNUMBER(INDEX('Vendor COIs'!$H$4:$H$503,(_calc!$E$484-500))),TEXT(INDEX('Vendor COIs'!$H$4:$H$503,(_calc!$E$484-500)),"yyyy-mm-dd"),"")))</f>
        <v/>
      </c>
      <c r="C482" s="46">
        <f>IF(_calc!$E$484="","",IF(_calc!$E$484&lt;=500,"Insurance","Certificate of insurance"))</f>
        <v/>
      </c>
      <c r="D482" s="46">
        <f>IF(_calc!$E$484="","",IF(_calc!$E$484&lt;=500,IF(ISNUMBER(INDEX('Our policies'!$I$4:$I$503,_calc!$E$484)),TEXT(INDEX('Our policies'!$I$4:$I$503,_calc!$E$484),"yyyy-mm-dd"),""),""))</f>
        <v/>
      </c>
      <c r="E482" s="46">
        <f>IF(_calc!$E$484="","",IF(_calc!$E$484&lt;=500,IF(LEN(INDEX('Our policies'!$Q$4:$Q$503,_calc!$E$484))=0,"",INDEX('Our policies'!$Q$4:$Q$503,_calc!$E$484)),"Medium"))</f>
        <v/>
      </c>
      <c r="F482" s="46">
        <f>IF(_calc!$E$484="","",IF(_calc!$E$484&lt;=500,TRIM(IF(LEN(IF(LEN(INDEX('Our policies'!$B$4:$B$503,_calc!$E$484))=0,"",INDEX('Our policies'!$B$4:$B$503,_calc!$E$484)))=0,"","Cover: "&amp;IF(LEN(INDEX('Our policies'!$B$4:$B$503,_calc!$E$484))=0,"",INDEX('Our policies'!$B$4:$B$503,_calc!$E$484))&amp;". ")&amp;IF(LEN(IF(LEN(INDEX('Our policies'!$C$4:$C$503,_calc!$E$484))=0,"",INDEX('Our policies'!$C$4:$C$503,_calc!$E$484)))=0,"","Insurer: "&amp;IF(LEN(INDEX('Our policies'!$C$4:$C$503,_calc!$E$484))=0,"",INDEX('Our policies'!$C$4:$C$503,_calc!$E$484))&amp;". ")&amp;IF(LEN(IF(LEN(INDEX('Our policies'!$D$4:$D$503,_calc!$E$484))=0,"",INDEX('Our policies'!$D$4:$D$503,_calc!$E$484)))=0,"","Broker: "&amp;IF(LEN(INDEX('Our policies'!$D$4:$D$503,_calc!$E$484))=0,"",INDEX('Our policies'!$D$4:$D$503,_calc!$E$484))&amp;". ")&amp;IF(LEN(IF(LEN(INDEX('Our policies'!$E$4:$E$503,_calc!$E$484))=0,"",INDEX('Our policies'!$E$4:$E$503,_calc!$E$484)))=0,"","Policy no.: "&amp;IF(LEN(INDEX('Our policies'!$E$4:$E$503,_calc!$E$484))=0,"",INDEX('Our policies'!$E$4:$E$503,_calc!$E$484))&amp;". ")&amp;IF(LEN(IF(LEN(INDEX('Our policies'!$S$4:$S$503,_calc!$E$484))=0,"",INDEX('Our policies'!$S$4:$S$503,_calc!$E$484)))=0,"",IF(LEN(INDEX('Our policies'!$S$4:$S$503,_calc!$E$484))=0,"",INDEX('Our policies'!$S$4:$S$503,_calc!$E$484)))),TRIM(IF(LEN(IF(LEN(INDEX('Vendor COIs'!$C$4:$C$503,(_calc!$E$484-500)))=0,"",INDEX('Vendor COIs'!$C$4:$C$503,(_calc!$E$484-500))))=0,"","Insurer: "&amp;IF(LEN(INDEX('Vendor COIs'!$C$4:$C$503,(_calc!$E$484-500)))=0,"",INDEX('Vendor COIs'!$C$4:$C$503,(_calc!$E$484-500)))&amp;". ")&amp;IF(LEN(IF(LEN(INDEX('Vendor COIs'!$D$4:$D$503,(_calc!$E$484-500)))=0,"",INDEX('Vendor COIs'!$D$4:$D$503,(_calc!$E$484-500))))=0,"","Policy no.: "&amp;IF(LEN(INDEX('Vendor COIs'!$D$4:$D$503,(_calc!$E$484-500)))=0,"",INDEX('Vendor COIs'!$D$4:$D$503,(_calc!$E$484-500)))&amp;". ")&amp;IF(LEN(IF(LEN(INDEX('Vendor COIs'!$F$4:$F$503,(_calc!$E$484-500)))=0,"",INDEX('Vendor COIs'!$F$4:$F$503,(_calc!$E$484-500))))=0,"","Meets minimum: "&amp;IF(LEN(INDEX('Vendor COIs'!$F$4:$F$503,(_calc!$E$484-500)))=0,"",INDEX('Vendor COIs'!$F$4:$F$503,(_calc!$E$484-500)))&amp;". ")&amp;IF(LEN(IF(LEN(INDEX('Vendor COIs'!$G$4:$G$503,(_calc!$E$484-500)))=0,"",INDEX('Vendor COIs'!$G$4:$G$503,(_calc!$E$484-500))))=0,"","Additional insured: "&amp;IF(LEN(INDEX('Vendor COIs'!$G$4:$G$503,(_calc!$E$484-500)))=0,"",INDEX('Vendor COIs'!$G$4:$G$503,(_calc!$E$484-500)))&amp;". ")&amp;IF(LEN(IF(LEN(INDEX('Vendor COIs'!$M$4:$M$503,(_calc!$E$484-500)))=0,"",INDEX('Vendor COIs'!$M$4:$M$503,(_calc!$E$484-500))))=0,"","Vendor contact: "&amp;IF(LEN(INDEX('Vendor COIs'!$M$4:$M$503,(_calc!$E$484-500)))=0,"",INDEX('Vendor COIs'!$M$4:$M$503,(_calc!$E$484-500)))&amp;". ")&amp;IF(LEN(IF(LEN(INDEX('Vendor COIs'!$P$4:$P$503,(_calc!$E$484-500)))=0,"",INDEX('Vendor COIs'!$P$4:$P$503,(_calc!$E$484-500))))=0,"",IF(LEN(INDEX('Vendor COIs'!$P$4:$P$503,(_calc!$E$484-500)))=0,"",INDEX('Vendor COIs'!$P$4:$P$503,(_calc!$E$484-500)))))))</f>
        <v/>
      </c>
      <c r="G482" s="46">
        <f>IF(_calc!$E$484="","",IF(_calc!$E$484&lt;=500,IF(LEN(INDEX('Our policies'!$R$4:$R$503,_calc!$E$484))=0,"",INDEX('Our policies'!$R$4:$R$503,_calc!$E$484)),IF(LEN(INDEX('Vendor COIs'!$O$4:$O$503,(_calc!$E$484-500)))=0,"",INDEX('Vendor COIs'!$O$4:$O$503,(_calc!$E$484-500)))))</f>
        <v/>
      </c>
      <c r="H482" s="46">
        <f>IF(_calc!$E$484="","",IF(_calc!$E$484&lt;=500,IF(LEN(INDEX('Our policies'!$G$4:$G$503,_calc!$E$484))=0,"",INDEX('Our policies'!$G$4:$G$503,_calc!$E$484)),""))</f>
        <v/>
      </c>
      <c r="I482" s="46">
        <f>IF(_calc!$E$484="","",IF(_calc!$E$484&lt;=500,IF(LEN(INDEX('Our policies'!$H$4:$H$503,_calc!$E$484))=0,"",INDEX('Our policies'!$H$4:$H$503,_calc!$E$484)),""))</f>
        <v/>
      </c>
      <c r="K482" s="46">
        <f>IF(_calc!$E$484="","",IF(_calc!$E$484&lt;=500,IF(LEN(INDEX('Our policies'!$P$4:$P$503,_calc!$E$484))=0,"",INDEX('Our policies'!$P$4:$P$503,_calc!$E$484)),IF(LEN(INDEX('Vendor COIs'!$N$4:$N$503,(_calc!$E$484-500)))=0,"",INDEX('Vendor COIs'!$N$4:$N$503,(_calc!$E$484-500)))))</f>
        <v/>
      </c>
    </row>
    <row r="483">
      <c r="A483" s="46">
        <f>IF(_calc!$E$485="","",IF(_calc!$E$485&lt;=500,IF(LEN(INDEX('Our policies'!$A$4:$A$503,_calc!$E$485))=0,"",INDEX('Our policies'!$A$4:$A$503,_calc!$E$485)),"COI – "&amp;IF(LEN(INDEX('Vendor COIs'!$A$4:$A$503,(_calc!$E$485-500)))=0,"",INDEX('Vendor COIs'!$A$4:$A$503,(_calc!$E$485-500)))&amp;" – "&amp;IF(LEN(INDEX('Vendor COIs'!$B$4:$B$503,(_calc!$E$485-500)))=0,"",INDEX('Vendor COIs'!$B$4:$B$503,(_calc!$E$485-500)))))</f>
        <v/>
      </c>
      <c r="B483" s="46">
        <f>IF(_calc!$E$485="","",IF(_calc!$E$485&lt;=500,IF(ISNUMBER(INDEX('Our policies'!$J$4:$J$503,_calc!$E$485)),TEXT(INDEX('Our policies'!$J$4:$J$503,_calc!$E$485),"yyyy-mm-dd"),""),IF(ISNUMBER(INDEX('Vendor COIs'!$H$4:$H$503,(_calc!$E$485-500))),TEXT(INDEX('Vendor COIs'!$H$4:$H$503,(_calc!$E$485-500)),"yyyy-mm-dd"),"")))</f>
        <v/>
      </c>
      <c r="C483" s="46">
        <f>IF(_calc!$E$485="","",IF(_calc!$E$485&lt;=500,"Insurance","Certificate of insurance"))</f>
        <v/>
      </c>
      <c r="D483" s="46">
        <f>IF(_calc!$E$485="","",IF(_calc!$E$485&lt;=500,IF(ISNUMBER(INDEX('Our policies'!$I$4:$I$503,_calc!$E$485)),TEXT(INDEX('Our policies'!$I$4:$I$503,_calc!$E$485),"yyyy-mm-dd"),""),""))</f>
        <v/>
      </c>
      <c r="E483" s="46">
        <f>IF(_calc!$E$485="","",IF(_calc!$E$485&lt;=500,IF(LEN(INDEX('Our policies'!$Q$4:$Q$503,_calc!$E$485))=0,"",INDEX('Our policies'!$Q$4:$Q$503,_calc!$E$485)),"Medium"))</f>
        <v/>
      </c>
      <c r="F483" s="46">
        <f>IF(_calc!$E$485="","",IF(_calc!$E$485&lt;=500,TRIM(IF(LEN(IF(LEN(INDEX('Our policies'!$B$4:$B$503,_calc!$E$485))=0,"",INDEX('Our policies'!$B$4:$B$503,_calc!$E$485)))=0,"","Cover: "&amp;IF(LEN(INDEX('Our policies'!$B$4:$B$503,_calc!$E$485))=0,"",INDEX('Our policies'!$B$4:$B$503,_calc!$E$485))&amp;". ")&amp;IF(LEN(IF(LEN(INDEX('Our policies'!$C$4:$C$503,_calc!$E$485))=0,"",INDEX('Our policies'!$C$4:$C$503,_calc!$E$485)))=0,"","Insurer: "&amp;IF(LEN(INDEX('Our policies'!$C$4:$C$503,_calc!$E$485))=0,"",INDEX('Our policies'!$C$4:$C$503,_calc!$E$485))&amp;". ")&amp;IF(LEN(IF(LEN(INDEX('Our policies'!$D$4:$D$503,_calc!$E$485))=0,"",INDEX('Our policies'!$D$4:$D$503,_calc!$E$485)))=0,"","Broker: "&amp;IF(LEN(INDEX('Our policies'!$D$4:$D$503,_calc!$E$485))=0,"",INDEX('Our policies'!$D$4:$D$503,_calc!$E$485))&amp;". ")&amp;IF(LEN(IF(LEN(INDEX('Our policies'!$E$4:$E$503,_calc!$E$485))=0,"",INDEX('Our policies'!$E$4:$E$503,_calc!$E$485)))=0,"","Policy no.: "&amp;IF(LEN(INDEX('Our policies'!$E$4:$E$503,_calc!$E$485))=0,"",INDEX('Our policies'!$E$4:$E$503,_calc!$E$485))&amp;". ")&amp;IF(LEN(IF(LEN(INDEX('Our policies'!$S$4:$S$503,_calc!$E$485))=0,"",INDEX('Our policies'!$S$4:$S$503,_calc!$E$485)))=0,"",IF(LEN(INDEX('Our policies'!$S$4:$S$503,_calc!$E$485))=0,"",INDEX('Our policies'!$S$4:$S$503,_calc!$E$485)))),TRIM(IF(LEN(IF(LEN(INDEX('Vendor COIs'!$C$4:$C$503,(_calc!$E$485-500)))=0,"",INDEX('Vendor COIs'!$C$4:$C$503,(_calc!$E$485-500))))=0,"","Insurer: "&amp;IF(LEN(INDEX('Vendor COIs'!$C$4:$C$503,(_calc!$E$485-500)))=0,"",INDEX('Vendor COIs'!$C$4:$C$503,(_calc!$E$485-500)))&amp;". ")&amp;IF(LEN(IF(LEN(INDEX('Vendor COIs'!$D$4:$D$503,(_calc!$E$485-500)))=0,"",INDEX('Vendor COIs'!$D$4:$D$503,(_calc!$E$485-500))))=0,"","Policy no.: "&amp;IF(LEN(INDEX('Vendor COIs'!$D$4:$D$503,(_calc!$E$485-500)))=0,"",INDEX('Vendor COIs'!$D$4:$D$503,(_calc!$E$485-500)))&amp;". ")&amp;IF(LEN(IF(LEN(INDEX('Vendor COIs'!$F$4:$F$503,(_calc!$E$485-500)))=0,"",INDEX('Vendor COIs'!$F$4:$F$503,(_calc!$E$485-500))))=0,"","Meets minimum: "&amp;IF(LEN(INDEX('Vendor COIs'!$F$4:$F$503,(_calc!$E$485-500)))=0,"",INDEX('Vendor COIs'!$F$4:$F$503,(_calc!$E$485-500)))&amp;". ")&amp;IF(LEN(IF(LEN(INDEX('Vendor COIs'!$G$4:$G$503,(_calc!$E$485-500)))=0,"",INDEX('Vendor COIs'!$G$4:$G$503,(_calc!$E$485-500))))=0,"","Additional insured: "&amp;IF(LEN(INDEX('Vendor COIs'!$G$4:$G$503,(_calc!$E$485-500)))=0,"",INDEX('Vendor COIs'!$G$4:$G$503,(_calc!$E$485-500)))&amp;". ")&amp;IF(LEN(IF(LEN(INDEX('Vendor COIs'!$M$4:$M$503,(_calc!$E$485-500)))=0,"",INDEX('Vendor COIs'!$M$4:$M$503,(_calc!$E$485-500))))=0,"","Vendor contact: "&amp;IF(LEN(INDEX('Vendor COIs'!$M$4:$M$503,(_calc!$E$485-500)))=0,"",INDEX('Vendor COIs'!$M$4:$M$503,(_calc!$E$485-500)))&amp;". ")&amp;IF(LEN(IF(LEN(INDEX('Vendor COIs'!$P$4:$P$503,(_calc!$E$485-500)))=0,"",INDEX('Vendor COIs'!$P$4:$P$503,(_calc!$E$485-500))))=0,"",IF(LEN(INDEX('Vendor COIs'!$P$4:$P$503,(_calc!$E$485-500)))=0,"",INDEX('Vendor COIs'!$P$4:$P$503,(_calc!$E$485-500)))))))</f>
        <v/>
      </c>
      <c r="G483" s="46">
        <f>IF(_calc!$E$485="","",IF(_calc!$E$485&lt;=500,IF(LEN(INDEX('Our policies'!$R$4:$R$503,_calc!$E$485))=0,"",INDEX('Our policies'!$R$4:$R$503,_calc!$E$485)),IF(LEN(INDEX('Vendor COIs'!$O$4:$O$503,(_calc!$E$485-500)))=0,"",INDEX('Vendor COIs'!$O$4:$O$503,(_calc!$E$485-500)))))</f>
        <v/>
      </c>
      <c r="H483" s="46">
        <f>IF(_calc!$E$485="","",IF(_calc!$E$485&lt;=500,IF(LEN(INDEX('Our policies'!$G$4:$G$503,_calc!$E$485))=0,"",INDEX('Our policies'!$G$4:$G$503,_calc!$E$485)),""))</f>
        <v/>
      </c>
      <c r="I483" s="46">
        <f>IF(_calc!$E$485="","",IF(_calc!$E$485&lt;=500,IF(LEN(INDEX('Our policies'!$H$4:$H$503,_calc!$E$485))=0,"",INDEX('Our policies'!$H$4:$H$503,_calc!$E$485)),""))</f>
        <v/>
      </c>
      <c r="K483" s="46">
        <f>IF(_calc!$E$485="","",IF(_calc!$E$485&lt;=500,IF(LEN(INDEX('Our policies'!$P$4:$P$503,_calc!$E$485))=0,"",INDEX('Our policies'!$P$4:$P$503,_calc!$E$485)),IF(LEN(INDEX('Vendor COIs'!$N$4:$N$503,(_calc!$E$485-500)))=0,"",INDEX('Vendor COIs'!$N$4:$N$503,(_calc!$E$485-500)))))</f>
        <v/>
      </c>
    </row>
    <row r="484">
      <c r="A484" s="46">
        <f>IF(_calc!$E$486="","",IF(_calc!$E$486&lt;=500,IF(LEN(INDEX('Our policies'!$A$4:$A$503,_calc!$E$486))=0,"",INDEX('Our policies'!$A$4:$A$503,_calc!$E$486)),"COI – "&amp;IF(LEN(INDEX('Vendor COIs'!$A$4:$A$503,(_calc!$E$486-500)))=0,"",INDEX('Vendor COIs'!$A$4:$A$503,(_calc!$E$486-500)))&amp;" – "&amp;IF(LEN(INDEX('Vendor COIs'!$B$4:$B$503,(_calc!$E$486-500)))=0,"",INDEX('Vendor COIs'!$B$4:$B$503,(_calc!$E$486-500)))))</f>
        <v/>
      </c>
      <c r="B484" s="46">
        <f>IF(_calc!$E$486="","",IF(_calc!$E$486&lt;=500,IF(ISNUMBER(INDEX('Our policies'!$J$4:$J$503,_calc!$E$486)),TEXT(INDEX('Our policies'!$J$4:$J$503,_calc!$E$486),"yyyy-mm-dd"),""),IF(ISNUMBER(INDEX('Vendor COIs'!$H$4:$H$503,(_calc!$E$486-500))),TEXT(INDEX('Vendor COIs'!$H$4:$H$503,(_calc!$E$486-500)),"yyyy-mm-dd"),"")))</f>
        <v/>
      </c>
      <c r="C484" s="46">
        <f>IF(_calc!$E$486="","",IF(_calc!$E$486&lt;=500,"Insurance","Certificate of insurance"))</f>
        <v/>
      </c>
      <c r="D484" s="46">
        <f>IF(_calc!$E$486="","",IF(_calc!$E$486&lt;=500,IF(ISNUMBER(INDEX('Our policies'!$I$4:$I$503,_calc!$E$486)),TEXT(INDEX('Our policies'!$I$4:$I$503,_calc!$E$486),"yyyy-mm-dd"),""),""))</f>
        <v/>
      </c>
      <c r="E484" s="46">
        <f>IF(_calc!$E$486="","",IF(_calc!$E$486&lt;=500,IF(LEN(INDEX('Our policies'!$Q$4:$Q$503,_calc!$E$486))=0,"",INDEX('Our policies'!$Q$4:$Q$503,_calc!$E$486)),"Medium"))</f>
        <v/>
      </c>
      <c r="F484" s="46">
        <f>IF(_calc!$E$486="","",IF(_calc!$E$486&lt;=500,TRIM(IF(LEN(IF(LEN(INDEX('Our policies'!$B$4:$B$503,_calc!$E$486))=0,"",INDEX('Our policies'!$B$4:$B$503,_calc!$E$486)))=0,"","Cover: "&amp;IF(LEN(INDEX('Our policies'!$B$4:$B$503,_calc!$E$486))=0,"",INDEX('Our policies'!$B$4:$B$503,_calc!$E$486))&amp;". ")&amp;IF(LEN(IF(LEN(INDEX('Our policies'!$C$4:$C$503,_calc!$E$486))=0,"",INDEX('Our policies'!$C$4:$C$503,_calc!$E$486)))=0,"","Insurer: "&amp;IF(LEN(INDEX('Our policies'!$C$4:$C$503,_calc!$E$486))=0,"",INDEX('Our policies'!$C$4:$C$503,_calc!$E$486))&amp;". ")&amp;IF(LEN(IF(LEN(INDEX('Our policies'!$D$4:$D$503,_calc!$E$486))=0,"",INDEX('Our policies'!$D$4:$D$503,_calc!$E$486)))=0,"","Broker: "&amp;IF(LEN(INDEX('Our policies'!$D$4:$D$503,_calc!$E$486))=0,"",INDEX('Our policies'!$D$4:$D$503,_calc!$E$486))&amp;". ")&amp;IF(LEN(IF(LEN(INDEX('Our policies'!$E$4:$E$503,_calc!$E$486))=0,"",INDEX('Our policies'!$E$4:$E$503,_calc!$E$486)))=0,"","Policy no.: "&amp;IF(LEN(INDEX('Our policies'!$E$4:$E$503,_calc!$E$486))=0,"",INDEX('Our policies'!$E$4:$E$503,_calc!$E$486))&amp;". ")&amp;IF(LEN(IF(LEN(INDEX('Our policies'!$S$4:$S$503,_calc!$E$486))=0,"",INDEX('Our policies'!$S$4:$S$503,_calc!$E$486)))=0,"",IF(LEN(INDEX('Our policies'!$S$4:$S$503,_calc!$E$486))=0,"",INDEX('Our policies'!$S$4:$S$503,_calc!$E$486)))),TRIM(IF(LEN(IF(LEN(INDEX('Vendor COIs'!$C$4:$C$503,(_calc!$E$486-500)))=0,"",INDEX('Vendor COIs'!$C$4:$C$503,(_calc!$E$486-500))))=0,"","Insurer: "&amp;IF(LEN(INDEX('Vendor COIs'!$C$4:$C$503,(_calc!$E$486-500)))=0,"",INDEX('Vendor COIs'!$C$4:$C$503,(_calc!$E$486-500)))&amp;". ")&amp;IF(LEN(IF(LEN(INDEX('Vendor COIs'!$D$4:$D$503,(_calc!$E$486-500)))=0,"",INDEX('Vendor COIs'!$D$4:$D$503,(_calc!$E$486-500))))=0,"","Policy no.: "&amp;IF(LEN(INDEX('Vendor COIs'!$D$4:$D$503,(_calc!$E$486-500)))=0,"",INDEX('Vendor COIs'!$D$4:$D$503,(_calc!$E$486-500)))&amp;". ")&amp;IF(LEN(IF(LEN(INDEX('Vendor COIs'!$F$4:$F$503,(_calc!$E$486-500)))=0,"",INDEX('Vendor COIs'!$F$4:$F$503,(_calc!$E$486-500))))=0,"","Meets minimum: "&amp;IF(LEN(INDEX('Vendor COIs'!$F$4:$F$503,(_calc!$E$486-500)))=0,"",INDEX('Vendor COIs'!$F$4:$F$503,(_calc!$E$486-500)))&amp;". ")&amp;IF(LEN(IF(LEN(INDEX('Vendor COIs'!$G$4:$G$503,(_calc!$E$486-500)))=0,"",INDEX('Vendor COIs'!$G$4:$G$503,(_calc!$E$486-500))))=0,"","Additional insured: "&amp;IF(LEN(INDEX('Vendor COIs'!$G$4:$G$503,(_calc!$E$486-500)))=0,"",INDEX('Vendor COIs'!$G$4:$G$503,(_calc!$E$486-500)))&amp;". ")&amp;IF(LEN(IF(LEN(INDEX('Vendor COIs'!$M$4:$M$503,(_calc!$E$486-500)))=0,"",INDEX('Vendor COIs'!$M$4:$M$503,(_calc!$E$486-500))))=0,"","Vendor contact: "&amp;IF(LEN(INDEX('Vendor COIs'!$M$4:$M$503,(_calc!$E$486-500)))=0,"",INDEX('Vendor COIs'!$M$4:$M$503,(_calc!$E$486-500)))&amp;". ")&amp;IF(LEN(IF(LEN(INDEX('Vendor COIs'!$P$4:$P$503,(_calc!$E$486-500)))=0,"",INDEX('Vendor COIs'!$P$4:$P$503,(_calc!$E$486-500))))=0,"",IF(LEN(INDEX('Vendor COIs'!$P$4:$P$503,(_calc!$E$486-500)))=0,"",INDEX('Vendor COIs'!$P$4:$P$503,(_calc!$E$486-500)))))))</f>
        <v/>
      </c>
      <c r="G484" s="46">
        <f>IF(_calc!$E$486="","",IF(_calc!$E$486&lt;=500,IF(LEN(INDEX('Our policies'!$R$4:$R$503,_calc!$E$486))=0,"",INDEX('Our policies'!$R$4:$R$503,_calc!$E$486)),IF(LEN(INDEX('Vendor COIs'!$O$4:$O$503,(_calc!$E$486-500)))=0,"",INDEX('Vendor COIs'!$O$4:$O$503,(_calc!$E$486-500)))))</f>
        <v/>
      </c>
      <c r="H484" s="46">
        <f>IF(_calc!$E$486="","",IF(_calc!$E$486&lt;=500,IF(LEN(INDEX('Our policies'!$G$4:$G$503,_calc!$E$486))=0,"",INDEX('Our policies'!$G$4:$G$503,_calc!$E$486)),""))</f>
        <v/>
      </c>
      <c r="I484" s="46">
        <f>IF(_calc!$E$486="","",IF(_calc!$E$486&lt;=500,IF(LEN(INDEX('Our policies'!$H$4:$H$503,_calc!$E$486))=0,"",INDEX('Our policies'!$H$4:$H$503,_calc!$E$486)),""))</f>
        <v/>
      </c>
      <c r="K484" s="46">
        <f>IF(_calc!$E$486="","",IF(_calc!$E$486&lt;=500,IF(LEN(INDEX('Our policies'!$P$4:$P$503,_calc!$E$486))=0,"",INDEX('Our policies'!$P$4:$P$503,_calc!$E$486)),IF(LEN(INDEX('Vendor COIs'!$N$4:$N$503,(_calc!$E$486-500)))=0,"",INDEX('Vendor COIs'!$N$4:$N$503,(_calc!$E$486-500)))))</f>
        <v/>
      </c>
    </row>
    <row r="485">
      <c r="A485" s="46">
        <f>IF(_calc!$E$487="","",IF(_calc!$E$487&lt;=500,IF(LEN(INDEX('Our policies'!$A$4:$A$503,_calc!$E$487))=0,"",INDEX('Our policies'!$A$4:$A$503,_calc!$E$487)),"COI – "&amp;IF(LEN(INDEX('Vendor COIs'!$A$4:$A$503,(_calc!$E$487-500)))=0,"",INDEX('Vendor COIs'!$A$4:$A$503,(_calc!$E$487-500)))&amp;" – "&amp;IF(LEN(INDEX('Vendor COIs'!$B$4:$B$503,(_calc!$E$487-500)))=0,"",INDEX('Vendor COIs'!$B$4:$B$503,(_calc!$E$487-500)))))</f>
        <v/>
      </c>
      <c r="B485" s="46">
        <f>IF(_calc!$E$487="","",IF(_calc!$E$487&lt;=500,IF(ISNUMBER(INDEX('Our policies'!$J$4:$J$503,_calc!$E$487)),TEXT(INDEX('Our policies'!$J$4:$J$503,_calc!$E$487),"yyyy-mm-dd"),""),IF(ISNUMBER(INDEX('Vendor COIs'!$H$4:$H$503,(_calc!$E$487-500))),TEXT(INDEX('Vendor COIs'!$H$4:$H$503,(_calc!$E$487-500)),"yyyy-mm-dd"),"")))</f>
        <v/>
      </c>
      <c r="C485" s="46">
        <f>IF(_calc!$E$487="","",IF(_calc!$E$487&lt;=500,"Insurance","Certificate of insurance"))</f>
        <v/>
      </c>
      <c r="D485" s="46">
        <f>IF(_calc!$E$487="","",IF(_calc!$E$487&lt;=500,IF(ISNUMBER(INDEX('Our policies'!$I$4:$I$503,_calc!$E$487)),TEXT(INDEX('Our policies'!$I$4:$I$503,_calc!$E$487),"yyyy-mm-dd"),""),""))</f>
        <v/>
      </c>
      <c r="E485" s="46">
        <f>IF(_calc!$E$487="","",IF(_calc!$E$487&lt;=500,IF(LEN(INDEX('Our policies'!$Q$4:$Q$503,_calc!$E$487))=0,"",INDEX('Our policies'!$Q$4:$Q$503,_calc!$E$487)),"Medium"))</f>
        <v/>
      </c>
      <c r="F485" s="46">
        <f>IF(_calc!$E$487="","",IF(_calc!$E$487&lt;=500,TRIM(IF(LEN(IF(LEN(INDEX('Our policies'!$B$4:$B$503,_calc!$E$487))=0,"",INDEX('Our policies'!$B$4:$B$503,_calc!$E$487)))=0,"","Cover: "&amp;IF(LEN(INDEX('Our policies'!$B$4:$B$503,_calc!$E$487))=0,"",INDEX('Our policies'!$B$4:$B$503,_calc!$E$487))&amp;". ")&amp;IF(LEN(IF(LEN(INDEX('Our policies'!$C$4:$C$503,_calc!$E$487))=0,"",INDEX('Our policies'!$C$4:$C$503,_calc!$E$487)))=0,"","Insurer: "&amp;IF(LEN(INDEX('Our policies'!$C$4:$C$503,_calc!$E$487))=0,"",INDEX('Our policies'!$C$4:$C$503,_calc!$E$487))&amp;". ")&amp;IF(LEN(IF(LEN(INDEX('Our policies'!$D$4:$D$503,_calc!$E$487))=0,"",INDEX('Our policies'!$D$4:$D$503,_calc!$E$487)))=0,"","Broker: "&amp;IF(LEN(INDEX('Our policies'!$D$4:$D$503,_calc!$E$487))=0,"",INDEX('Our policies'!$D$4:$D$503,_calc!$E$487))&amp;". ")&amp;IF(LEN(IF(LEN(INDEX('Our policies'!$E$4:$E$503,_calc!$E$487))=0,"",INDEX('Our policies'!$E$4:$E$503,_calc!$E$487)))=0,"","Policy no.: "&amp;IF(LEN(INDEX('Our policies'!$E$4:$E$503,_calc!$E$487))=0,"",INDEX('Our policies'!$E$4:$E$503,_calc!$E$487))&amp;". ")&amp;IF(LEN(IF(LEN(INDEX('Our policies'!$S$4:$S$503,_calc!$E$487))=0,"",INDEX('Our policies'!$S$4:$S$503,_calc!$E$487)))=0,"",IF(LEN(INDEX('Our policies'!$S$4:$S$503,_calc!$E$487))=0,"",INDEX('Our policies'!$S$4:$S$503,_calc!$E$487)))),TRIM(IF(LEN(IF(LEN(INDEX('Vendor COIs'!$C$4:$C$503,(_calc!$E$487-500)))=0,"",INDEX('Vendor COIs'!$C$4:$C$503,(_calc!$E$487-500))))=0,"","Insurer: "&amp;IF(LEN(INDEX('Vendor COIs'!$C$4:$C$503,(_calc!$E$487-500)))=0,"",INDEX('Vendor COIs'!$C$4:$C$503,(_calc!$E$487-500)))&amp;". ")&amp;IF(LEN(IF(LEN(INDEX('Vendor COIs'!$D$4:$D$503,(_calc!$E$487-500)))=0,"",INDEX('Vendor COIs'!$D$4:$D$503,(_calc!$E$487-500))))=0,"","Policy no.: "&amp;IF(LEN(INDEX('Vendor COIs'!$D$4:$D$503,(_calc!$E$487-500)))=0,"",INDEX('Vendor COIs'!$D$4:$D$503,(_calc!$E$487-500)))&amp;". ")&amp;IF(LEN(IF(LEN(INDEX('Vendor COIs'!$F$4:$F$503,(_calc!$E$487-500)))=0,"",INDEX('Vendor COIs'!$F$4:$F$503,(_calc!$E$487-500))))=0,"","Meets minimum: "&amp;IF(LEN(INDEX('Vendor COIs'!$F$4:$F$503,(_calc!$E$487-500)))=0,"",INDEX('Vendor COIs'!$F$4:$F$503,(_calc!$E$487-500)))&amp;". ")&amp;IF(LEN(IF(LEN(INDEX('Vendor COIs'!$G$4:$G$503,(_calc!$E$487-500)))=0,"",INDEX('Vendor COIs'!$G$4:$G$503,(_calc!$E$487-500))))=0,"","Additional insured: "&amp;IF(LEN(INDEX('Vendor COIs'!$G$4:$G$503,(_calc!$E$487-500)))=0,"",INDEX('Vendor COIs'!$G$4:$G$503,(_calc!$E$487-500)))&amp;". ")&amp;IF(LEN(IF(LEN(INDEX('Vendor COIs'!$M$4:$M$503,(_calc!$E$487-500)))=0,"",INDEX('Vendor COIs'!$M$4:$M$503,(_calc!$E$487-500))))=0,"","Vendor contact: "&amp;IF(LEN(INDEX('Vendor COIs'!$M$4:$M$503,(_calc!$E$487-500)))=0,"",INDEX('Vendor COIs'!$M$4:$M$503,(_calc!$E$487-500)))&amp;". ")&amp;IF(LEN(IF(LEN(INDEX('Vendor COIs'!$P$4:$P$503,(_calc!$E$487-500)))=0,"",INDEX('Vendor COIs'!$P$4:$P$503,(_calc!$E$487-500))))=0,"",IF(LEN(INDEX('Vendor COIs'!$P$4:$P$503,(_calc!$E$487-500)))=0,"",INDEX('Vendor COIs'!$P$4:$P$503,(_calc!$E$487-500)))))))</f>
        <v/>
      </c>
      <c r="G485" s="46">
        <f>IF(_calc!$E$487="","",IF(_calc!$E$487&lt;=500,IF(LEN(INDEX('Our policies'!$R$4:$R$503,_calc!$E$487))=0,"",INDEX('Our policies'!$R$4:$R$503,_calc!$E$487)),IF(LEN(INDEX('Vendor COIs'!$O$4:$O$503,(_calc!$E$487-500)))=0,"",INDEX('Vendor COIs'!$O$4:$O$503,(_calc!$E$487-500)))))</f>
        <v/>
      </c>
      <c r="H485" s="46">
        <f>IF(_calc!$E$487="","",IF(_calc!$E$487&lt;=500,IF(LEN(INDEX('Our policies'!$G$4:$G$503,_calc!$E$487))=0,"",INDEX('Our policies'!$G$4:$G$503,_calc!$E$487)),""))</f>
        <v/>
      </c>
      <c r="I485" s="46">
        <f>IF(_calc!$E$487="","",IF(_calc!$E$487&lt;=500,IF(LEN(INDEX('Our policies'!$H$4:$H$503,_calc!$E$487))=0,"",INDEX('Our policies'!$H$4:$H$503,_calc!$E$487)),""))</f>
        <v/>
      </c>
      <c r="K485" s="46">
        <f>IF(_calc!$E$487="","",IF(_calc!$E$487&lt;=500,IF(LEN(INDEX('Our policies'!$P$4:$P$503,_calc!$E$487))=0,"",INDEX('Our policies'!$P$4:$P$503,_calc!$E$487)),IF(LEN(INDEX('Vendor COIs'!$N$4:$N$503,(_calc!$E$487-500)))=0,"",INDEX('Vendor COIs'!$N$4:$N$503,(_calc!$E$487-500)))))</f>
        <v/>
      </c>
    </row>
    <row r="486">
      <c r="A486" s="46">
        <f>IF(_calc!$E$488="","",IF(_calc!$E$488&lt;=500,IF(LEN(INDEX('Our policies'!$A$4:$A$503,_calc!$E$488))=0,"",INDEX('Our policies'!$A$4:$A$503,_calc!$E$488)),"COI – "&amp;IF(LEN(INDEX('Vendor COIs'!$A$4:$A$503,(_calc!$E$488-500)))=0,"",INDEX('Vendor COIs'!$A$4:$A$503,(_calc!$E$488-500)))&amp;" – "&amp;IF(LEN(INDEX('Vendor COIs'!$B$4:$B$503,(_calc!$E$488-500)))=0,"",INDEX('Vendor COIs'!$B$4:$B$503,(_calc!$E$488-500)))))</f>
        <v/>
      </c>
      <c r="B486" s="46">
        <f>IF(_calc!$E$488="","",IF(_calc!$E$488&lt;=500,IF(ISNUMBER(INDEX('Our policies'!$J$4:$J$503,_calc!$E$488)),TEXT(INDEX('Our policies'!$J$4:$J$503,_calc!$E$488),"yyyy-mm-dd"),""),IF(ISNUMBER(INDEX('Vendor COIs'!$H$4:$H$503,(_calc!$E$488-500))),TEXT(INDEX('Vendor COIs'!$H$4:$H$503,(_calc!$E$488-500)),"yyyy-mm-dd"),"")))</f>
        <v/>
      </c>
      <c r="C486" s="46">
        <f>IF(_calc!$E$488="","",IF(_calc!$E$488&lt;=500,"Insurance","Certificate of insurance"))</f>
        <v/>
      </c>
      <c r="D486" s="46">
        <f>IF(_calc!$E$488="","",IF(_calc!$E$488&lt;=500,IF(ISNUMBER(INDEX('Our policies'!$I$4:$I$503,_calc!$E$488)),TEXT(INDEX('Our policies'!$I$4:$I$503,_calc!$E$488),"yyyy-mm-dd"),""),""))</f>
        <v/>
      </c>
      <c r="E486" s="46">
        <f>IF(_calc!$E$488="","",IF(_calc!$E$488&lt;=500,IF(LEN(INDEX('Our policies'!$Q$4:$Q$503,_calc!$E$488))=0,"",INDEX('Our policies'!$Q$4:$Q$503,_calc!$E$488)),"Medium"))</f>
        <v/>
      </c>
      <c r="F486" s="46">
        <f>IF(_calc!$E$488="","",IF(_calc!$E$488&lt;=500,TRIM(IF(LEN(IF(LEN(INDEX('Our policies'!$B$4:$B$503,_calc!$E$488))=0,"",INDEX('Our policies'!$B$4:$B$503,_calc!$E$488)))=0,"","Cover: "&amp;IF(LEN(INDEX('Our policies'!$B$4:$B$503,_calc!$E$488))=0,"",INDEX('Our policies'!$B$4:$B$503,_calc!$E$488))&amp;". ")&amp;IF(LEN(IF(LEN(INDEX('Our policies'!$C$4:$C$503,_calc!$E$488))=0,"",INDEX('Our policies'!$C$4:$C$503,_calc!$E$488)))=0,"","Insurer: "&amp;IF(LEN(INDEX('Our policies'!$C$4:$C$503,_calc!$E$488))=0,"",INDEX('Our policies'!$C$4:$C$503,_calc!$E$488))&amp;". ")&amp;IF(LEN(IF(LEN(INDEX('Our policies'!$D$4:$D$503,_calc!$E$488))=0,"",INDEX('Our policies'!$D$4:$D$503,_calc!$E$488)))=0,"","Broker: "&amp;IF(LEN(INDEX('Our policies'!$D$4:$D$503,_calc!$E$488))=0,"",INDEX('Our policies'!$D$4:$D$503,_calc!$E$488))&amp;". ")&amp;IF(LEN(IF(LEN(INDEX('Our policies'!$E$4:$E$503,_calc!$E$488))=0,"",INDEX('Our policies'!$E$4:$E$503,_calc!$E$488)))=0,"","Policy no.: "&amp;IF(LEN(INDEX('Our policies'!$E$4:$E$503,_calc!$E$488))=0,"",INDEX('Our policies'!$E$4:$E$503,_calc!$E$488))&amp;". ")&amp;IF(LEN(IF(LEN(INDEX('Our policies'!$S$4:$S$503,_calc!$E$488))=0,"",INDEX('Our policies'!$S$4:$S$503,_calc!$E$488)))=0,"",IF(LEN(INDEX('Our policies'!$S$4:$S$503,_calc!$E$488))=0,"",INDEX('Our policies'!$S$4:$S$503,_calc!$E$488)))),TRIM(IF(LEN(IF(LEN(INDEX('Vendor COIs'!$C$4:$C$503,(_calc!$E$488-500)))=0,"",INDEX('Vendor COIs'!$C$4:$C$503,(_calc!$E$488-500))))=0,"","Insurer: "&amp;IF(LEN(INDEX('Vendor COIs'!$C$4:$C$503,(_calc!$E$488-500)))=0,"",INDEX('Vendor COIs'!$C$4:$C$503,(_calc!$E$488-500)))&amp;". ")&amp;IF(LEN(IF(LEN(INDEX('Vendor COIs'!$D$4:$D$503,(_calc!$E$488-500)))=0,"",INDEX('Vendor COIs'!$D$4:$D$503,(_calc!$E$488-500))))=0,"","Policy no.: "&amp;IF(LEN(INDEX('Vendor COIs'!$D$4:$D$503,(_calc!$E$488-500)))=0,"",INDEX('Vendor COIs'!$D$4:$D$503,(_calc!$E$488-500)))&amp;". ")&amp;IF(LEN(IF(LEN(INDEX('Vendor COIs'!$F$4:$F$503,(_calc!$E$488-500)))=0,"",INDEX('Vendor COIs'!$F$4:$F$503,(_calc!$E$488-500))))=0,"","Meets minimum: "&amp;IF(LEN(INDEX('Vendor COIs'!$F$4:$F$503,(_calc!$E$488-500)))=0,"",INDEX('Vendor COIs'!$F$4:$F$503,(_calc!$E$488-500)))&amp;". ")&amp;IF(LEN(IF(LEN(INDEX('Vendor COIs'!$G$4:$G$503,(_calc!$E$488-500)))=0,"",INDEX('Vendor COIs'!$G$4:$G$503,(_calc!$E$488-500))))=0,"","Additional insured: "&amp;IF(LEN(INDEX('Vendor COIs'!$G$4:$G$503,(_calc!$E$488-500)))=0,"",INDEX('Vendor COIs'!$G$4:$G$503,(_calc!$E$488-500)))&amp;". ")&amp;IF(LEN(IF(LEN(INDEX('Vendor COIs'!$M$4:$M$503,(_calc!$E$488-500)))=0,"",INDEX('Vendor COIs'!$M$4:$M$503,(_calc!$E$488-500))))=0,"","Vendor contact: "&amp;IF(LEN(INDEX('Vendor COIs'!$M$4:$M$503,(_calc!$E$488-500)))=0,"",INDEX('Vendor COIs'!$M$4:$M$503,(_calc!$E$488-500)))&amp;". ")&amp;IF(LEN(IF(LEN(INDEX('Vendor COIs'!$P$4:$P$503,(_calc!$E$488-500)))=0,"",INDEX('Vendor COIs'!$P$4:$P$503,(_calc!$E$488-500))))=0,"",IF(LEN(INDEX('Vendor COIs'!$P$4:$P$503,(_calc!$E$488-500)))=0,"",INDEX('Vendor COIs'!$P$4:$P$503,(_calc!$E$488-500)))))))</f>
        <v/>
      </c>
      <c r="G486" s="46">
        <f>IF(_calc!$E$488="","",IF(_calc!$E$488&lt;=500,IF(LEN(INDEX('Our policies'!$R$4:$R$503,_calc!$E$488))=0,"",INDEX('Our policies'!$R$4:$R$503,_calc!$E$488)),IF(LEN(INDEX('Vendor COIs'!$O$4:$O$503,(_calc!$E$488-500)))=0,"",INDEX('Vendor COIs'!$O$4:$O$503,(_calc!$E$488-500)))))</f>
        <v/>
      </c>
      <c r="H486" s="46">
        <f>IF(_calc!$E$488="","",IF(_calc!$E$488&lt;=500,IF(LEN(INDEX('Our policies'!$G$4:$G$503,_calc!$E$488))=0,"",INDEX('Our policies'!$G$4:$G$503,_calc!$E$488)),""))</f>
        <v/>
      </c>
      <c r="I486" s="46">
        <f>IF(_calc!$E$488="","",IF(_calc!$E$488&lt;=500,IF(LEN(INDEX('Our policies'!$H$4:$H$503,_calc!$E$488))=0,"",INDEX('Our policies'!$H$4:$H$503,_calc!$E$488)),""))</f>
        <v/>
      </c>
      <c r="K486" s="46">
        <f>IF(_calc!$E$488="","",IF(_calc!$E$488&lt;=500,IF(LEN(INDEX('Our policies'!$P$4:$P$503,_calc!$E$488))=0,"",INDEX('Our policies'!$P$4:$P$503,_calc!$E$488)),IF(LEN(INDEX('Vendor COIs'!$N$4:$N$503,(_calc!$E$488-500)))=0,"",INDEX('Vendor COIs'!$N$4:$N$503,(_calc!$E$488-500)))))</f>
        <v/>
      </c>
    </row>
    <row r="487">
      <c r="A487" s="46">
        <f>IF(_calc!$E$489="","",IF(_calc!$E$489&lt;=500,IF(LEN(INDEX('Our policies'!$A$4:$A$503,_calc!$E$489))=0,"",INDEX('Our policies'!$A$4:$A$503,_calc!$E$489)),"COI – "&amp;IF(LEN(INDEX('Vendor COIs'!$A$4:$A$503,(_calc!$E$489-500)))=0,"",INDEX('Vendor COIs'!$A$4:$A$503,(_calc!$E$489-500)))&amp;" – "&amp;IF(LEN(INDEX('Vendor COIs'!$B$4:$B$503,(_calc!$E$489-500)))=0,"",INDEX('Vendor COIs'!$B$4:$B$503,(_calc!$E$489-500)))))</f>
        <v/>
      </c>
      <c r="B487" s="46">
        <f>IF(_calc!$E$489="","",IF(_calc!$E$489&lt;=500,IF(ISNUMBER(INDEX('Our policies'!$J$4:$J$503,_calc!$E$489)),TEXT(INDEX('Our policies'!$J$4:$J$503,_calc!$E$489),"yyyy-mm-dd"),""),IF(ISNUMBER(INDEX('Vendor COIs'!$H$4:$H$503,(_calc!$E$489-500))),TEXT(INDEX('Vendor COIs'!$H$4:$H$503,(_calc!$E$489-500)),"yyyy-mm-dd"),"")))</f>
        <v/>
      </c>
      <c r="C487" s="46">
        <f>IF(_calc!$E$489="","",IF(_calc!$E$489&lt;=500,"Insurance","Certificate of insurance"))</f>
        <v/>
      </c>
      <c r="D487" s="46">
        <f>IF(_calc!$E$489="","",IF(_calc!$E$489&lt;=500,IF(ISNUMBER(INDEX('Our policies'!$I$4:$I$503,_calc!$E$489)),TEXT(INDEX('Our policies'!$I$4:$I$503,_calc!$E$489),"yyyy-mm-dd"),""),""))</f>
        <v/>
      </c>
      <c r="E487" s="46">
        <f>IF(_calc!$E$489="","",IF(_calc!$E$489&lt;=500,IF(LEN(INDEX('Our policies'!$Q$4:$Q$503,_calc!$E$489))=0,"",INDEX('Our policies'!$Q$4:$Q$503,_calc!$E$489)),"Medium"))</f>
        <v/>
      </c>
      <c r="F487" s="46">
        <f>IF(_calc!$E$489="","",IF(_calc!$E$489&lt;=500,TRIM(IF(LEN(IF(LEN(INDEX('Our policies'!$B$4:$B$503,_calc!$E$489))=0,"",INDEX('Our policies'!$B$4:$B$503,_calc!$E$489)))=0,"","Cover: "&amp;IF(LEN(INDEX('Our policies'!$B$4:$B$503,_calc!$E$489))=0,"",INDEX('Our policies'!$B$4:$B$503,_calc!$E$489))&amp;". ")&amp;IF(LEN(IF(LEN(INDEX('Our policies'!$C$4:$C$503,_calc!$E$489))=0,"",INDEX('Our policies'!$C$4:$C$503,_calc!$E$489)))=0,"","Insurer: "&amp;IF(LEN(INDEX('Our policies'!$C$4:$C$503,_calc!$E$489))=0,"",INDEX('Our policies'!$C$4:$C$503,_calc!$E$489))&amp;". ")&amp;IF(LEN(IF(LEN(INDEX('Our policies'!$D$4:$D$503,_calc!$E$489))=0,"",INDEX('Our policies'!$D$4:$D$503,_calc!$E$489)))=0,"","Broker: "&amp;IF(LEN(INDEX('Our policies'!$D$4:$D$503,_calc!$E$489))=0,"",INDEX('Our policies'!$D$4:$D$503,_calc!$E$489))&amp;". ")&amp;IF(LEN(IF(LEN(INDEX('Our policies'!$E$4:$E$503,_calc!$E$489))=0,"",INDEX('Our policies'!$E$4:$E$503,_calc!$E$489)))=0,"","Policy no.: "&amp;IF(LEN(INDEX('Our policies'!$E$4:$E$503,_calc!$E$489))=0,"",INDEX('Our policies'!$E$4:$E$503,_calc!$E$489))&amp;". ")&amp;IF(LEN(IF(LEN(INDEX('Our policies'!$S$4:$S$503,_calc!$E$489))=0,"",INDEX('Our policies'!$S$4:$S$503,_calc!$E$489)))=0,"",IF(LEN(INDEX('Our policies'!$S$4:$S$503,_calc!$E$489))=0,"",INDEX('Our policies'!$S$4:$S$503,_calc!$E$489)))),TRIM(IF(LEN(IF(LEN(INDEX('Vendor COIs'!$C$4:$C$503,(_calc!$E$489-500)))=0,"",INDEX('Vendor COIs'!$C$4:$C$503,(_calc!$E$489-500))))=0,"","Insurer: "&amp;IF(LEN(INDEX('Vendor COIs'!$C$4:$C$503,(_calc!$E$489-500)))=0,"",INDEX('Vendor COIs'!$C$4:$C$503,(_calc!$E$489-500)))&amp;". ")&amp;IF(LEN(IF(LEN(INDEX('Vendor COIs'!$D$4:$D$503,(_calc!$E$489-500)))=0,"",INDEX('Vendor COIs'!$D$4:$D$503,(_calc!$E$489-500))))=0,"","Policy no.: "&amp;IF(LEN(INDEX('Vendor COIs'!$D$4:$D$503,(_calc!$E$489-500)))=0,"",INDEX('Vendor COIs'!$D$4:$D$503,(_calc!$E$489-500)))&amp;". ")&amp;IF(LEN(IF(LEN(INDEX('Vendor COIs'!$F$4:$F$503,(_calc!$E$489-500)))=0,"",INDEX('Vendor COIs'!$F$4:$F$503,(_calc!$E$489-500))))=0,"","Meets minimum: "&amp;IF(LEN(INDEX('Vendor COIs'!$F$4:$F$503,(_calc!$E$489-500)))=0,"",INDEX('Vendor COIs'!$F$4:$F$503,(_calc!$E$489-500)))&amp;". ")&amp;IF(LEN(IF(LEN(INDEX('Vendor COIs'!$G$4:$G$503,(_calc!$E$489-500)))=0,"",INDEX('Vendor COIs'!$G$4:$G$503,(_calc!$E$489-500))))=0,"","Additional insured: "&amp;IF(LEN(INDEX('Vendor COIs'!$G$4:$G$503,(_calc!$E$489-500)))=0,"",INDEX('Vendor COIs'!$G$4:$G$503,(_calc!$E$489-500)))&amp;". ")&amp;IF(LEN(IF(LEN(INDEX('Vendor COIs'!$M$4:$M$503,(_calc!$E$489-500)))=0,"",INDEX('Vendor COIs'!$M$4:$M$503,(_calc!$E$489-500))))=0,"","Vendor contact: "&amp;IF(LEN(INDEX('Vendor COIs'!$M$4:$M$503,(_calc!$E$489-500)))=0,"",INDEX('Vendor COIs'!$M$4:$M$503,(_calc!$E$489-500)))&amp;". ")&amp;IF(LEN(IF(LEN(INDEX('Vendor COIs'!$P$4:$P$503,(_calc!$E$489-500)))=0,"",INDEX('Vendor COIs'!$P$4:$P$503,(_calc!$E$489-500))))=0,"",IF(LEN(INDEX('Vendor COIs'!$P$4:$P$503,(_calc!$E$489-500)))=0,"",INDEX('Vendor COIs'!$P$4:$P$503,(_calc!$E$489-500)))))))</f>
        <v/>
      </c>
      <c r="G487" s="46">
        <f>IF(_calc!$E$489="","",IF(_calc!$E$489&lt;=500,IF(LEN(INDEX('Our policies'!$R$4:$R$503,_calc!$E$489))=0,"",INDEX('Our policies'!$R$4:$R$503,_calc!$E$489)),IF(LEN(INDEX('Vendor COIs'!$O$4:$O$503,(_calc!$E$489-500)))=0,"",INDEX('Vendor COIs'!$O$4:$O$503,(_calc!$E$489-500)))))</f>
        <v/>
      </c>
      <c r="H487" s="46">
        <f>IF(_calc!$E$489="","",IF(_calc!$E$489&lt;=500,IF(LEN(INDEX('Our policies'!$G$4:$G$503,_calc!$E$489))=0,"",INDEX('Our policies'!$G$4:$G$503,_calc!$E$489)),""))</f>
        <v/>
      </c>
      <c r="I487" s="46">
        <f>IF(_calc!$E$489="","",IF(_calc!$E$489&lt;=500,IF(LEN(INDEX('Our policies'!$H$4:$H$503,_calc!$E$489))=0,"",INDEX('Our policies'!$H$4:$H$503,_calc!$E$489)),""))</f>
        <v/>
      </c>
      <c r="K487" s="46">
        <f>IF(_calc!$E$489="","",IF(_calc!$E$489&lt;=500,IF(LEN(INDEX('Our policies'!$P$4:$P$503,_calc!$E$489))=0,"",INDEX('Our policies'!$P$4:$P$503,_calc!$E$489)),IF(LEN(INDEX('Vendor COIs'!$N$4:$N$503,(_calc!$E$489-500)))=0,"",INDEX('Vendor COIs'!$N$4:$N$503,(_calc!$E$489-500)))))</f>
        <v/>
      </c>
    </row>
    <row r="488">
      <c r="A488" s="46">
        <f>IF(_calc!$E$490="","",IF(_calc!$E$490&lt;=500,IF(LEN(INDEX('Our policies'!$A$4:$A$503,_calc!$E$490))=0,"",INDEX('Our policies'!$A$4:$A$503,_calc!$E$490)),"COI – "&amp;IF(LEN(INDEX('Vendor COIs'!$A$4:$A$503,(_calc!$E$490-500)))=0,"",INDEX('Vendor COIs'!$A$4:$A$503,(_calc!$E$490-500)))&amp;" – "&amp;IF(LEN(INDEX('Vendor COIs'!$B$4:$B$503,(_calc!$E$490-500)))=0,"",INDEX('Vendor COIs'!$B$4:$B$503,(_calc!$E$490-500)))))</f>
        <v/>
      </c>
      <c r="B488" s="46">
        <f>IF(_calc!$E$490="","",IF(_calc!$E$490&lt;=500,IF(ISNUMBER(INDEX('Our policies'!$J$4:$J$503,_calc!$E$490)),TEXT(INDEX('Our policies'!$J$4:$J$503,_calc!$E$490),"yyyy-mm-dd"),""),IF(ISNUMBER(INDEX('Vendor COIs'!$H$4:$H$503,(_calc!$E$490-500))),TEXT(INDEX('Vendor COIs'!$H$4:$H$503,(_calc!$E$490-500)),"yyyy-mm-dd"),"")))</f>
        <v/>
      </c>
      <c r="C488" s="46">
        <f>IF(_calc!$E$490="","",IF(_calc!$E$490&lt;=500,"Insurance","Certificate of insurance"))</f>
        <v/>
      </c>
      <c r="D488" s="46">
        <f>IF(_calc!$E$490="","",IF(_calc!$E$490&lt;=500,IF(ISNUMBER(INDEX('Our policies'!$I$4:$I$503,_calc!$E$490)),TEXT(INDEX('Our policies'!$I$4:$I$503,_calc!$E$490),"yyyy-mm-dd"),""),""))</f>
        <v/>
      </c>
      <c r="E488" s="46">
        <f>IF(_calc!$E$490="","",IF(_calc!$E$490&lt;=500,IF(LEN(INDEX('Our policies'!$Q$4:$Q$503,_calc!$E$490))=0,"",INDEX('Our policies'!$Q$4:$Q$503,_calc!$E$490)),"Medium"))</f>
        <v/>
      </c>
      <c r="F488" s="46">
        <f>IF(_calc!$E$490="","",IF(_calc!$E$490&lt;=500,TRIM(IF(LEN(IF(LEN(INDEX('Our policies'!$B$4:$B$503,_calc!$E$490))=0,"",INDEX('Our policies'!$B$4:$B$503,_calc!$E$490)))=0,"","Cover: "&amp;IF(LEN(INDEX('Our policies'!$B$4:$B$503,_calc!$E$490))=0,"",INDEX('Our policies'!$B$4:$B$503,_calc!$E$490))&amp;". ")&amp;IF(LEN(IF(LEN(INDEX('Our policies'!$C$4:$C$503,_calc!$E$490))=0,"",INDEX('Our policies'!$C$4:$C$503,_calc!$E$490)))=0,"","Insurer: "&amp;IF(LEN(INDEX('Our policies'!$C$4:$C$503,_calc!$E$490))=0,"",INDEX('Our policies'!$C$4:$C$503,_calc!$E$490))&amp;". ")&amp;IF(LEN(IF(LEN(INDEX('Our policies'!$D$4:$D$503,_calc!$E$490))=0,"",INDEX('Our policies'!$D$4:$D$503,_calc!$E$490)))=0,"","Broker: "&amp;IF(LEN(INDEX('Our policies'!$D$4:$D$503,_calc!$E$490))=0,"",INDEX('Our policies'!$D$4:$D$503,_calc!$E$490))&amp;". ")&amp;IF(LEN(IF(LEN(INDEX('Our policies'!$E$4:$E$503,_calc!$E$490))=0,"",INDEX('Our policies'!$E$4:$E$503,_calc!$E$490)))=0,"","Policy no.: "&amp;IF(LEN(INDEX('Our policies'!$E$4:$E$503,_calc!$E$490))=0,"",INDEX('Our policies'!$E$4:$E$503,_calc!$E$490))&amp;". ")&amp;IF(LEN(IF(LEN(INDEX('Our policies'!$S$4:$S$503,_calc!$E$490))=0,"",INDEX('Our policies'!$S$4:$S$503,_calc!$E$490)))=0,"",IF(LEN(INDEX('Our policies'!$S$4:$S$503,_calc!$E$490))=0,"",INDEX('Our policies'!$S$4:$S$503,_calc!$E$490)))),TRIM(IF(LEN(IF(LEN(INDEX('Vendor COIs'!$C$4:$C$503,(_calc!$E$490-500)))=0,"",INDEX('Vendor COIs'!$C$4:$C$503,(_calc!$E$490-500))))=0,"","Insurer: "&amp;IF(LEN(INDEX('Vendor COIs'!$C$4:$C$503,(_calc!$E$490-500)))=0,"",INDEX('Vendor COIs'!$C$4:$C$503,(_calc!$E$490-500)))&amp;". ")&amp;IF(LEN(IF(LEN(INDEX('Vendor COIs'!$D$4:$D$503,(_calc!$E$490-500)))=0,"",INDEX('Vendor COIs'!$D$4:$D$503,(_calc!$E$490-500))))=0,"","Policy no.: "&amp;IF(LEN(INDEX('Vendor COIs'!$D$4:$D$503,(_calc!$E$490-500)))=0,"",INDEX('Vendor COIs'!$D$4:$D$503,(_calc!$E$490-500)))&amp;". ")&amp;IF(LEN(IF(LEN(INDEX('Vendor COIs'!$F$4:$F$503,(_calc!$E$490-500)))=0,"",INDEX('Vendor COIs'!$F$4:$F$503,(_calc!$E$490-500))))=0,"","Meets minimum: "&amp;IF(LEN(INDEX('Vendor COIs'!$F$4:$F$503,(_calc!$E$490-500)))=0,"",INDEX('Vendor COIs'!$F$4:$F$503,(_calc!$E$490-500)))&amp;". ")&amp;IF(LEN(IF(LEN(INDEX('Vendor COIs'!$G$4:$G$503,(_calc!$E$490-500)))=0,"",INDEX('Vendor COIs'!$G$4:$G$503,(_calc!$E$490-500))))=0,"","Additional insured: "&amp;IF(LEN(INDEX('Vendor COIs'!$G$4:$G$503,(_calc!$E$490-500)))=0,"",INDEX('Vendor COIs'!$G$4:$G$503,(_calc!$E$490-500)))&amp;". ")&amp;IF(LEN(IF(LEN(INDEX('Vendor COIs'!$M$4:$M$503,(_calc!$E$490-500)))=0,"",INDEX('Vendor COIs'!$M$4:$M$503,(_calc!$E$490-500))))=0,"","Vendor contact: "&amp;IF(LEN(INDEX('Vendor COIs'!$M$4:$M$503,(_calc!$E$490-500)))=0,"",INDEX('Vendor COIs'!$M$4:$M$503,(_calc!$E$490-500)))&amp;". ")&amp;IF(LEN(IF(LEN(INDEX('Vendor COIs'!$P$4:$P$503,(_calc!$E$490-500)))=0,"",INDEX('Vendor COIs'!$P$4:$P$503,(_calc!$E$490-500))))=0,"",IF(LEN(INDEX('Vendor COIs'!$P$4:$P$503,(_calc!$E$490-500)))=0,"",INDEX('Vendor COIs'!$P$4:$P$503,(_calc!$E$490-500)))))))</f>
        <v/>
      </c>
      <c r="G488" s="46">
        <f>IF(_calc!$E$490="","",IF(_calc!$E$490&lt;=500,IF(LEN(INDEX('Our policies'!$R$4:$R$503,_calc!$E$490))=0,"",INDEX('Our policies'!$R$4:$R$503,_calc!$E$490)),IF(LEN(INDEX('Vendor COIs'!$O$4:$O$503,(_calc!$E$490-500)))=0,"",INDEX('Vendor COIs'!$O$4:$O$503,(_calc!$E$490-500)))))</f>
        <v/>
      </c>
      <c r="H488" s="46">
        <f>IF(_calc!$E$490="","",IF(_calc!$E$490&lt;=500,IF(LEN(INDEX('Our policies'!$G$4:$G$503,_calc!$E$490))=0,"",INDEX('Our policies'!$G$4:$G$503,_calc!$E$490)),""))</f>
        <v/>
      </c>
      <c r="I488" s="46">
        <f>IF(_calc!$E$490="","",IF(_calc!$E$490&lt;=500,IF(LEN(INDEX('Our policies'!$H$4:$H$503,_calc!$E$490))=0,"",INDEX('Our policies'!$H$4:$H$503,_calc!$E$490)),""))</f>
        <v/>
      </c>
      <c r="K488" s="46">
        <f>IF(_calc!$E$490="","",IF(_calc!$E$490&lt;=500,IF(LEN(INDEX('Our policies'!$P$4:$P$503,_calc!$E$490))=0,"",INDEX('Our policies'!$P$4:$P$503,_calc!$E$490)),IF(LEN(INDEX('Vendor COIs'!$N$4:$N$503,(_calc!$E$490-500)))=0,"",INDEX('Vendor COIs'!$N$4:$N$503,(_calc!$E$490-500)))))</f>
        <v/>
      </c>
    </row>
    <row r="489">
      <c r="A489" s="46">
        <f>IF(_calc!$E$491="","",IF(_calc!$E$491&lt;=500,IF(LEN(INDEX('Our policies'!$A$4:$A$503,_calc!$E$491))=0,"",INDEX('Our policies'!$A$4:$A$503,_calc!$E$491)),"COI – "&amp;IF(LEN(INDEX('Vendor COIs'!$A$4:$A$503,(_calc!$E$491-500)))=0,"",INDEX('Vendor COIs'!$A$4:$A$503,(_calc!$E$491-500)))&amp;" – "&amp;IF(LEN(INDEX('Vendor COIs'!$B$4:$B$503,(_calc!$E$491-500)))=0,"",INDEX('Vendor COIs'!$B$4:$B$503,(_calc!$E$491-500)))))</f>
        <v/>
      </c>
      <c r="B489" s="46">
        <f>IF(_calc!$E$491="","",IF(_calc!$E$491&lt;=500,IF(ISNUMBER(INDEX('Our policies'!$J$4:$J$503,_calc!$E$491)),TEXT(INDEX('Our policies'!$J$4:$J$503,_calc!$E$491),"yyyy-mm-dd"),""),IF(ISNUMBER(INDEX('Vendor COIs'!$H$4:$H$503,(_calc!$E$491-500))),TEXT(INDEX('Vendor COIs'!$H$4:$H$503,(_calc!$E$491-500)),"yyyy-mm-dd"),"")))</f>
        <v/>
      </c>
      <c r="C489" s="46">
        <f>IF(_calc!$E$491="","",IF(_calc!$E$491&lt;=500,"Insurance","Certificate of insurance"))</f>
        <v/>
      </c>
      <c r="D489" s="46">
        <f>IF(_calc!$E$491="","",IF(_calc!$E$491&lt;=500,IF(ISNUMBER(INDEX('Our policies'!$I$4:$I$503,_calc!$E$491)),TEXT(INDEX('Our policies'!$I$4:$I$503,_calc!$E$491),"yyyy-mm-dd"),""),""))</f>
        <v/>
      </c>
      <c r="E489" s="46">
        <f>IF(_calc!$E$491="","",IF(_calc!$E$491&lt;=500,IF(LEN(INDEX('Our policies'!$Q$4:$Q$503,_calc!$E$491))=0,"",INDEX('Our policies'!$Q$4:$Q$503,_calc!$E$491)),"Medium"))</f>
        <v/>
      </c>
      <c r="F489" s="46">
        <f>IF(_calc!$E$491="","",IF(_calc!$E$491&lt;=500,TRIM(IF(LEN(IF(LEN(INDEX('Our policies'!$B$4:$B$503,_calc!$E$491))=0,"",INDEX('Our policies'!$B$4:$B$503,_calc!$E$491)))=0,"","Cover: "&amp;IF(LEN(INDEX('Our policies'!$B$4:$B$503,_calc!$E$491))=0,"",INDEX('Our policies'!$B$4:$B$503,_calc!$E$491))&amp;". ")&amp;IF(LEN(IF(LEN(INDEX('Our policies'!$C$4:$C$503,_calc!$E$491))=0,"",INDEX('Our policies'!$C$4:$C$503,_calc!$E$491)))=0,"","Insurer: "&amp;IF(LEN(INDEX('Our policies'!$C$4:$C$503,_calc!$E$491))=0,"",INDEX('Our policies'!$C$4:$C$503,_calc!$E$491))&amp;". ")&amp;IF(LEN(IF(LEN(INDEX('Our policies'!$D$4:$D$503,_calc!$E$491))=0,"",INDEX('Our policies'!$D$4:$D$503,_calc!$E$491)))=0,"","Broker: "&amp;IF(LEN(INDEX('Our policies'!$D$4:$D$503,_calc!$E$491))=0,"",INDEX('Our policies'!$D$4:$D$503,_calc!$E$491))&amp;". ")&amp;IF(LEN(IF(LEN(INDEX('Our policies'!$E$4:$E$503,_calc!$E$491))=0,"",INDEX('Our policies'!$E$4:$E$503,_calc!$E$491)))=0,"","Policy no.: "&amp;IF(LEN(INDEX('Our policies'!$E$4:$E$503,_calc!$E$491))=0,"",INDEX('Our policies'!$E$4:$E$503,_calc!$E$491))&amp;". ")&amp;IF(LEN(IF(LEN(INDEX('Our policies'!$S$4:$S$503,_calc!$E$491))=0,"",INDEX('Our policies'!$S$4:$S$503,_calc!$E$491)))=0,"",IF(LEN(INDEX('Our policies'!$S$4:$S$503,_calc!$E$491))=0,"",INDEX('Our policies'!$S$4:$S$503,_calc!$E$491)))),TRIM(IF(LEN(IF(LEN(INDEX('Vendor COIs'!$C$4:$C$503,(_calc!$E$491-500)))=0,"",INDEX('Vendor COIs'!$C$4:$C$503,(_calc!$E$491-500))))=0,"","Insurer: "&amp;IF(LEN(INDEX('Vendor COIs'!$C$4:$C$503,(_calc!$E$491-500)))=0,"",INDEX('Vendor COIs'!$C$4:$C$503,(_calc!$E$491-500)))&amp;". ")&amp;IF(LEN(IF(LEN(INDEX('Vendor COIs'!$D$4:$D$503,(_calc!$E$491-500)))=0,"",INDEX('Vendor COIs'!$D$4:$D$503,(_calc!$E$491-500))))=0,"","Policy no.: "&amp;IF(LEN(INDEX('Vendor COIs'!$D$4:$D$503,(_calc!$E$491-500)))=0,"",INDEX('Vendor COIs'!$D$4:$D$503,(_calc!$E$491-500)))&amp;". ")&amp;IF(LEN(IF(LEN(INDEX('Vendor COIs'!$F$4:$F$503,(_calc!$E$491-500)))=0,"",INDEX('Vendor COIs'!$F$4:$F$503,(_calc!$E$491-500))))=0,"","Meets minimum: "&amp;IF(LEN(INDEX('Vendor COIs'!$F$4:$F$503,(_calc!$E$491-500)))=0,"",INDEX('Vendor COIs'!$F$4:$F$503,(_calc!$E$491-500)))&amp;". ")&amp;IF(LEN(IF(LEN(INDEX('Vendor COIs'!$G$4:$G$503,(_calc!$E$491-500)))=0,"",INDEX('Vendor COIs'!$G$4:$G$503,(_calc!$E$491-500))))=0,"","Additional insured: "&amp;IF(LEN(INDEX('Vendor COIs'!$G$4:$G$503,(_calc!$E$491-500)))=0,"",INDEX('Vendor COIs'!$G$4:$G$503,(_calc!$E$491-500)))&amp;". ")&amp;IF(LEN(IF(LEN(INDEX('Vendor COIs'!$M$4:$M$503,(_calc!$E$491-500)))=0,"",INDEX('Vendor COIs'!$M$4:$M$503,(_calc!$E$491-500))))=0,"","Vendor contact: "&amp;IF(LEN(INDEX('Vendor COIs'!$M$4:$M$503,(_calc!$E$491-500)))=0,"",INDEX('Vendor COIs'!$M$4:$M$503,(_calc!$E$491-500)))&amp;". ")&amp;IF(LEN(IF(LEN(INDEX('Vendor COIs'!$P$4:$P$503,(_calc!$E$491-500)))=0,"",INDEX('Vendor COIs'!$P$4:$P$503,(_calc!$E$491-500))))=0,"",IF(LEN(INDEX('Vendor COIs'!$P$4:$P$503,(_calc!$E$491-500)))=0,"",INDEX('Vendor COIs'!$P$4:$P$503,(_calc!$E$491-500)))))))</f>
        <v/>
      </c>
      <c r="G489" s="46">
        <f>IF(_calc!$E$491="","",IF(_calc!$E$491&lt;=500,IF(LEN(INDEX('Our policies'!$R$4:$R$503,_calc!$E$491))=0,"",INDEX('Our policies'!$R$4:$R$503,_calc!$E$491)),IF(LEN(INDEX('Vendor COIs'!$O$4:$O$503,(_calc!$E$491-500)))=0,"",INDEX('Vendor COIs'!$O$4:$O$503,(_calc!$E$491-500)))))</f>
        <v/>
      </c>
      <c r="H489" s="46">
        <f>IF(_calc!$E$491="","",IF(_calc!$E$491&lt;=500,IF(LEN(INDEX('Our policies'!$G$4:$G$503,_calc!$E$491))=0,"",INDEX('Our policies'!$G$4:$G$503,_calc!$E$491)),""))</f>
        <v/>
      </c>
      <c r="I489" s="46">
        <f>IF(_calc!$E$491="","",IF(_calc!$E$491&lt;=500,IF(LEN(INDEX('Our policies'!$H$4:$H$503,_calc!$E$491))=0,"",INDEX('Our policies'!$H$4:$H$503,_calc!$E$491)),""))</f>
        <v/>
      </c>
      <c r="K489" s="46">
        <f>IF(_calc!$E$491="","",IF(_calc!$E$491&lt;=500,IF(LEN(INDEX('Our policies'!$P$4:$P$503,_calc!$E$491))=0,"",INDEX('Our policies'!$P$4:$P$503,_calc!$E$491)),IF(LEN(INDEX('Vendor COIs'!$N$4:$N$503,(_calc!$E$491-500)))=0,"",INDEX('Vendor COIs'!$N$4:$N$503,(_calc!$E$491-500)))))</f>
        <v/>
      </c>
    </row>
    <row r="490">
      <c r="A490" s="46">
        <f>IF(_calc!$E$492="","",IF(_calc!$E$492&lt;=500,IF(LEN(INDEX('Our policies'!$A$4:$A$503,_calc!$E$492))=0,"",INDEX('Our policies'!$A$4:$A$503,_calc!$E$492)),"COI – "&amp;IF(LEN(INDEX('Vendor COIs'!$A$4:$A$503,(_calc!$E$492-500)))=0,"",INDEX('Vendor COIs'!$A$4:$A$503,(_calc!$E$492-500)))&amp;" – "&amp;IF(LEN(INDEX('Vendor COIs'!$B$4:$B$503,(_calc!$E$492-500)))=0,"",INDEX('Vendor COIs'!$B$4:$B$503,(_calc!$E$492-500)))))</f>
        <v/>
      </c>
      <c r="B490" s="46">
        <f>IF(_calc!$E$492="","",IF(_calc!$E$492&lt;=500,IF(ISNUMBER(INDEX('Our policies'!$J$4:$J$503,_calc!$E$492)),TEXT(INDEX('Our policies'!$J$4:$J$503,_calc!$E$492),"yyyy-mm-dd"),""),IF(ISNUMBER(INDEX('Vendor COIs'!$H$4:$H$503,(_calc!$E$492-500))),TEXT(INDEX('Vendor COIs'!$H$4:$H$503,(_calc!$E$492-500)),"yyyy-mm-dd"),"")))</f>
        <v/>
      </c>
      <c r="C490" s="46">
        <f>IF(_calc!$E$492="","",IF(_calc!$E$492&lt;=500,"Insurance","Certificate of insurance"))</f>
        <v/>
      </c>
      <c r="D490" s="46">
        <f>IF(_calc!$E$492="","",IF(_calc!$E$492&lt;=500,IF(ISNUMBER(INDEX('Our policies'!$I$4:$I$503,_calc!$E$492)),TEXT(INDEX('Our policies'!$I$4:$I$503,_calc!$E$492),"yyyy-mm-dd"),""),""))</f>
        <v/>
      </c>
      <c r="E490" s="46">
        <f>IF(_calc!$E$492="","",IF(_calc!$E$492&lt;=500,IF(LEN(INDEX('Our policies'!$Q$4:$Q$503,_calc!$E$492))=0,"",INDEX('Our policies'!$Q$4:$Q$503,_calc!$E$492)),"Medium"))</f>
        <v/>
      </c>
      <c r="F490" s="46">
        <f>IF(_calc!$E$492="","",IF(_calc!$E$492&lt;=500,TRIM(IF(LEN(IF(LEN(INDEX('Our policies'!$B$4:$B$503,_calc!$E$492))=0,"",INDEX('Our policies'!$B$4:$B$503,_calc!$E$492)))=0,"","Cover: "&amp;IF(LEN(INDEX('Our policies'!$B$4:$B$503,_calc!$E$492))=0,"",INDEX('Our policies'!$B$4:$B$503,_calc!$E$492))&amp;". ")&amp;IF(LEN(IF(LEN(INDEX('Our policies'!$C$4:$C$503,_calc!$E$492))=0,"",INDEX('Our policies'!$C$4:$C$503,_calc!$E$492)))=0,"","Insurer: "&amp;IF(LEN(INDEX('Our policies'!$C$4:$C$503,_calc!$E$492))=0,"",INDEX('Our policies'!$C$4:$C$503,_calc!$E$492))&amp;". ")&amp;IF(LEN(IF(LEN(INDEX('Our policies'!$D$4:$D$503,_calc!$E$492))=0,"",INDEX('Our policies'!$D$4:$D$503,_calc!$E$492)))=0,"","Broker: "&amp;IF(LEN(INDEX('Our policies'!$D$4:$D$503,_calc!$E$492))=0,"",INDEX('Our policies'!$D$4:$D$503,_calc!$E$492))&amp;". ")&amp;IF(LEN(IF(LEN(INDEX('Our policies'!$E$4:$E$503,_calc!$E$492))=0,"",INDEX('Our policies'!$E$4:$E$503,_calc!$E$492)))=0,"","Policy no.: "&amp;IF(LEN(INDEX('Our policies'!$E$4:$E$503,_calc!$E$492))=0,"",INDEX('Our policies'!$E$4:$E$503,_calc!$E$492))&amp;". ")&amp;IF(LEN(IF(LEN(INDEX('Our policies'!$S$4:$S$503,_calc!$E$492))=0,"",INDEX('Our policies'!$S$4:$S$503,_calc!$E$492)))=0,"",IF(LEN(INDEX('Our policies'!$S$4:$S$503,_calc!$E$492))=0,"",INDEX('Our policies'!$S$4:$S$503,_calc!$E$492)))),TRIM(IF(LEN(IF(LEN(INDEX('Vendor COIs'!$C$4:$C$503,(_calc!$E$492-500)))=0,"",INDEX('Vendor COIs'!$C$4:$C$503,(_calc!$E$492-500))))=0,"","Insurer: "&amp;IF(LEN(INDEX('Vendor COIs'!$C$4:$C$503,(_calc!$E$492-500)))=0,"",INDEX('Vendor COIs'!$C$4:$C$503,(_calc!$E$492-500)))&amp;". ")&amp;IF(LEN(IF(LEN(INDEX('Vendor COIs'!$D$4:$D$503,(_calc!$E$492-500)))=0,"",INDEX('Vendor COIs'!$D$4:$D$503,(_calc!$E$492-500))))=0,"","Policy no.: "&amp;IF(LEN(INDEX('Vendor COIs'!$D$4:$D$503,(_calc!$E$492-500)))=0,"",INDEX('Vendor COIs'!$D$4:$D$503,(_calc!$E$492-500)))&amp;". ")&amp;IF(LEN(IF(LEN(INDEX('Vendor COIs'!$F$4:$F$503,(_calc!$E$492-500)))=0,"",INDEX('Vendor COIs'!$F$4:$F$503,(_calc!$E$492-500))))=0,"","Meets minimum: "&amp;IF(LEN(INDEX('Vendor COIs'!$F$4:$F$503,(_calc!$E$492-500)))=0,"",INDEX('Vendor COIs'!$F$4:$F$503,(_calc!$E$492-500)))&amp;". ")&amp;IF(LEN(IF(LEN(INDEX('Vendor COIs'!$G$4:$G$503,(_calc!$E$492-500)))=0,"",INDEX('Vendor COIs'!$G$4:$G$503,(_calc!$E$492-500))))=0,"","Additional insured: "&amp;IF(LEN(INDEX('Vendor COIs'!$G$4:$G$503,(_calc!$E$492-500)))=0,"",INDEX('Vendor COIs'!$G$4:$G$503,(_calc!$E$492-500)))&amp;". ")&amp;IF(LEN(IF(LEN(INDEX('Vendor COIs'!$M$4:$M$503,(_calc!$E$492-500)))=0,"",INDEX('Vendor COIs'!$M$4:$M$503,(_calc!$E$492-500))))=0,"","Vendor contact: "&amp;IF(LEN(INDEX('Vendor COIs'!$M$4:$M$503,(_calc!$E$492-500)))=0,"",INDEX('Vendor COIs'!$M$4:$M$503,(_calc!$E$492-500)))&amp;". ")&amp;IF(LEN(IF(LEN(INDEX('Vendor COIs'!$P$4:$P$503,(_calc!$E$492-500)))=0,"",INDEX('Vendor COIs'!$P$4:$P$503,(_calc!$E$492-500))))=0,"",IF(LEN(INDEX('Vendor COIs'!$P$4:$P$503,(_calc!$E$492-500)))=0,"",INDEX('Vendor COIs'!$P$4:$P$503,(_calc!$E$492-500)))))))</f>
        <v/>
      </c>
      <c r="G490" s="46">
        <f>IF(_calc!$E$492="","",IF(_calc!$E$492&lt;=500,IF(LEN(INDEX('Our policies'!$R$4:$R$503,_calc!$E$492))=0,"",INDEX('Our policies'!$R$4:$R$503,_calc!$E$492)),IF(LEN(INDEX('Vendor COIs'!$O$4:$O$503,(_calc!$E$492-500)))=0,"",INDEX('Vendor COIs'!$O$4:$O$503,(_calc!$E$492-500)))))</f>
        <v/>
      </c>
      <c r="H490" s="46">
        <f>IF(_calc!$E$492="","",IF(_calc!$E$492&lt;=500,IF(LEN(INDEX('Our policies'!$G$4:$G$503,_calc!$E$492))=0,"",INDEX('Our policies'!$G$4:$G$503,_calc!$E$492)),""))</f>
        <v/>
      </c>
      <c r="I490" s="46">
        <f>IF(_calc!$E$492="","",IF(_calc!$E$492&lt;=500,IF(LEN(INDEX('Our policies'!$H$4:$H$503,_calc!$E$492))=0,"",INDEX('Our policies'!$H$4:$H$503,_calc!$E$492)),""))</f>
        <v/>
      </c>
      <c r="K490" s="46">
        <f>IF(_calc!$E$492="","",IF(_calc!$E$492&lt;=500,IF(LEN(INDEX('Our policies'!$P$4:$P$503,_calc!$E$492))=0,"",INDEX('Our policies'!$P$4:$P$503,_calc!$E$492)),IF(LEN(INDEX('Vendor COIs'!$N$4:$N$503,(_calc!$E$492-500)))=0,"",INDEX('Vendor COIs'!$N$4:$N$503,(_calc!$E$492-500)))))</f>
        <v/>
      </c>
    </row>
    <row r="491">
      <c r="A491" s="46">
        <f>IF(_calc!$E$493="","",IF(_calc!$E$493&lt;=500,IF(LEN(INDEX('Our policies'!$A$4:$A$503,_calc!$E$493))=0,"",INDEX('Our policies'!$A$4:$A$503,_calc!$E$493)),"COI – "&amp;IF(LEN(INDEX('Vendor COIs'!$A$4:$A$503,(_calc!$E$493-500)))=0,"",INDEX('Vendor COIs'!$A$4:$A$503,(_calc!$E$493-500)))&amp;" – "&amp;IF(LEN(INDEX('Vendor COIs'!$B$4:$B$503,(_calc!$E$493-500)))=0,"",INDEX('Vendor COIs'!$B$4:$B$503,(_calc!$E$493-500)))))</f>
        <v/>
      </c>
      <c r="B491" s="46">
        <f>IF(_calc!$E$493="","",IF(_calc!$E$493&lt;=500,IF(ISNUMBER(INDEX('Our policies'!$J$4:$J$503,_calc!$E$493)),TEXT(INDEX('Our policies'!$J$4:$J$503,_calc!$E$493),"yyyy-mm-dd"),""),IF(ISNUMBER(INDEX('Vendor COIs'!$H$4:$H$503,(_calc!$E$493-500))),TEXT(INDEX('Vendor COIs'!$H$4:$H$503,(_calc!$E$493-500)),"yyyy-mm-dd"),"")))</f>
        <v/>
      </c>
      <c r="C491" s="46">
        <f>IF(_calc!$E$493="","",IF(_calc!$E$493&lt;=500,"Insurance","Certificate of insurance"))</f>
        <v/>
      </c>
      <c r="D491" s="46">
        <f>IF(_calc!$E$493="","",IF(_calc!$E$493&lt;=500,IF(ISNUMBER(INDEX('Our policies'!$I$4:$I$503,_calc!$E$493)),TEXT(INDEX('Our policies'!$I$4:$I$503,_calc!$E$493),"yyyy-mm-dd"),""),""))</f>
        <v/>
      </c>
      <c r="E491" s="46">
        <f>IF(_calc!$E$493="","",IF(_calc!$E$493&lt;=500,IF(LEN(INDEX('Our policies'!$Q$4:$Q$503,_calc!$E$493))=0,"",INDEX('Our policies'!$Q$4:$Q$503,_calc!$E$493)),"Medium"))</f>
        <v/>
      </c>
      <c r="F491" s="46">
        <f>IF(_calc!$E$493="","",IF(_calc!$E$493&lt;=500,TRIM(IF(LEN(IF(LEN(INDEX('Our policies'!$B$4:$B$503,_calc!$E$493))=0,"",INDEX('Our policies'!$B$4:$B$503,_calc!$E$493)))=0,"","Cover: "&amp;IF(LEN(INDEX('Our policies'!$B$4:$B$503,_calc!$E$493))=0,"",INDEX('Our policies'!$B$4:$B$503,_calc!$E$493))&amp;". ")&amp;IF(LEN(IF(LEN(INDEX('Our policies'!$C$4:$C$503,_calc!$E$493))=0,"",INDEX('Our policies'!$C$4:$C$503,_calc!$E$493)))=0,"","Insurer: "&amp;IF(LEN(INDEX('Our policies'!$C$4:$C$503,_calc!$E$493))=0,"",INDEX('Our policies'!$C$4:$C$503,_calc!$E$493))&amp;". ")&amp;IF(LEN(IF(LEN(INDEX('Our policies'!$D$4:$D$503,_calc!$E$493))=0,"",INDEX('Our policies'!$D$4:$D$503,_calc!$E$493)))=0,"","Broker: "&amp;IF(LEN(INDEX('Our policies'!$D$4:$D$503,_calc!$E$493))=0,"",INDEX('Our policies'!$D$4:$D$503,_calc!$E$493))&amp;". ")&amp;IF(LEN(IF(LEN(INDEX('Our policies'!$E$4:$E$503,_calc!$E$493))=0,"",INDEX('Our policies'!$E$4:$E$503,_calc!$E$493)))=0,"","Policy no.: "&amp;IF(LEN(INDEX('Our policies'!$E$4:$E$503,_calc!$E$493))=0,"",INDEX('Our policies'!$E$4:$E$503,_calc!$E$493))&amp;". ")&amp;IF(LEN(IF(LEN(INDEX('Our policies'!$S$4:$S$503,_calc!$E$493))=0,"",INDEX('Our policies'!$S$4:$S$503,_calc!$E$493)))=0,"",IF(LEN(INDEX('Our policies'!$S$4:$S$503,_calc!$E$493))=0,"",INDEX('Our policies'!$S$4:$S$503,_calc!$E$493)))),TRIM(IF(LEN(IF(LEN(INDEX('Vendor COIs'!$C$4:$C$503,(_calc!$E$493-500)))=0,"",INDEX('Vendor COIs'!$C$4:$C$503,(_calc!$E$493-500))))=0,"","Insurer: "&amp;IF(LEN(INDEX('Vendor COIs'!$C$4:$C$503,(_calc!$E$493-500)))=0,"",INDEX('Vendor COIs'!$C$4:$C$503,(_calc!$E$493-500)))&amp;". ")&amp;IF(LEN(IF(LEN(INDEX('Vendor COIs'!$D$4:$D$503,(_calc!$E$493-500)))=0,"",INDEX('Vendor COIs'!$D$4:$D$503,(_calc!$E$493-500))))=0,"","Policy no.: "&amp;IF(LEN(INDEX('Vendor COIs'!$D$4:$D$503,(_calc!$E$493-500)))=0,"",INDEX('Vendor COIs'!$D$4:$D$503,(_calc!$E$493-500)))&amp;". ")&amp;IF(LEN(IF(LEN(INDEX('Vendor COIs'!$F$4:$F$503,(_calc!$E$493-500)))=0,"",INDEX('Vendor COIs'!$F$4:$F$503,(_calc!$E$493-500))))=0,"","Meets minimum: "&amp;IF(LEN(INDEX('Vendor COIs'!$F$4:$F$503,(_calc!$E$493-500)))=0,"",INDEX('Vendor COIs'!$F$4:$F$503,(_calc!$E$493-500)))&amp;". ")&amp;IF(LEN(IF(LEN(INDEX('Vendor COIs'!$G$4:$G$503,(_calc!$E$493-500)))=0,"",INDEX('Vendor COIs'!$G$4:$G$503,(_calc!$E$493-500))))=0,"","Additional insured: "&amp;IF(LEN(INDEX('Vendor COIs'!$G$4:$G$503,(_calc!$E$493-500)))=0,"",INDEX('Vendor COIs'!$G$4:$G$503,(_calc!$E$493-500)))&amp;". ")&amp;IF(LEN(IF(LEN(INDEX('Vendor COIs'!$M$4:$M$503,(_calc!$E$493-500)))=0,"",INDEX('Vendor COIs'!$M$4:$M$503,(_calc!$E$493-500))))=0,"","Vendor contact: "&amp;IF(LEN(INDEX('Vendor COIs'!$M$4:$M$503,(_calc!$E$493-500)))=0,"",INDEX('Vendor COIs'!$M$4:$M$503,(_calc!$E$493-500)))&amp;". ")&amp;IF(LEN(IF(LEN(INDEX('Vendor COIs'!$P$4:$P$503,(_calc!$E$493-500)))=0,"",INDEX('Vendor COIs'!$P$4:$P$503,(_calc!$E$493-500))))=0,"",IF(LEN(INDEX('Vendor COIs'!$P$4:$P$503,(_calc!$E$493-500)))=0,"",INDEX('Vendor COIs'!$P$4:$P$503,(_calc!$E$493-500)))))))</f>
        <v/>
      </c>
      <c r="G491" s="46">
        <f>IF(_calc!$E$493="","",IF(_calc!$E$493&lt;=500,IF(LEN(INDEX('Our policies'!$R$4:$R$503,_calc!$E$493))=0,"",INDEX('Our policies'!$R$4:$R$503,_calc!$E$493)),IF(LEN(INDEX('Vendor COIs'!$O$4:$O$503,(_calc!$E$493-500)))=0,"",INDEX('Vendor COIs'!$O$4:$O$503,(_calc!$E$493-500)))))</f>
        <v/>
      </c>
      <c r="H491" s="46">
        <f>IF(_calc!$E$493="","",IF(_calc!$E$493&lt;=500,IF(LEN(INDEX('Our policies'!$G$4:$G$503,_calc!$E$493))=0,"",INDEX('Our policies'!$G$4:$G$503,_calc!$E$493)),""))</f>
        <v/>
      </c>
      <c r="I491" s="46">
        <f>IF(_calc!$E$493="","",IF(_calc!$E$493&lt;=500,IF(LEN(INDEX('Our policies'!$H$4:$H$503,_calc!$E$493))=0,"",INDEX('Our policies'!$H$4:$H$503,_calc!$E$493)),""))</f>
        <v/>
      </c>
      <c r="K491" s="46">
        <f>IF(_calc!$E$493="","",IF(_calc!$E$493&lt;=500,IF(LEN(INDEX('Our policies'!$P$4:$P$503,_calc!$E$493))=0,"",INDEX('Our policies'!$P$4:$P$503,_calc!$E$493)),IF(LEN(INDEX('Vendor COIs'!$N$4:$N$503,(_calc!$E$493-500)))=0,"",INDEX('Vendor COIs'!$N$4:$N$503,(_calc!$E$493-500)))))</f>
        <v/>
      </c>
    </row>
    <row r="492">
      <c r="A492" s="46">
        <f>IF(_calc!$E$494="","",IF(_calc!$E$494&lt;=500,IF(LEN(INDEX('Our policies'!$A$4:$A$503,_calc!$E$494))=0,"",INDEX('Our policies'!$A$4:$A$503,_calc!$E$494)),"COI – "&amp;IF(LEN(INDEX('Vendor COIs'!$A$4:$A$503,(_calc!$E$494-500)))=0,"",INDEX('Vendor COIs'!$A$4:$A$503,(_calc!$E$494-500)))&amp;" – "&amp;IF(LEN(INDEX('Vendor COIs'!$B$4:$B$503,(_calc!$E$494-500)))=0,"",INDEX('Vendor COIs'!$B$4:$B$503,(_calc!$E$494-500)))))</f>
        <v/>
      </c>
      <c r="B492" s="46">
        <f>IF(_calc!$E$494="","",IF(_calc!$E$494&lt;=500,IF(ISNUMBER(INDEX('Our policies'!$J$4:$J$503,_calc!$E$494)),TEXT(INDEX('Our policies'!$J$4:$J$503,_calc!$E$494),"yyyy-mm-dd"),""),IF(ISNUMBER(INDEX('Vendor COIs'!$H$4:$H$503,(_calc!$E$494-500))),TEXT(INDEX('Vendor COIs'!$H$4:$H$503,(_calc!$E$494-500)),"yyyy-mm-dd"),"")))</f>
        <v/>
      </c>
      <c r="C492" s="46">
        <f>IF(_calc!$E$494="","",IF(_calc!$E$494&lt;=500,"Insurance","Certificate of insurance"))</f>
        <v/>
      </c>
      <c r="D492" s="46">
        <f>IF(_calc!$E$494="","",IF(_calc!$E$494&lt;=500,IF(ISNUMBER(INDEX('Our policies'!$I$4:$I$503,_calc!$E$494)),TEXT(INDEX('Our policies'!$I$4:$I$503,_calc!$E$494),"yyyy-mm-dd"),""),""))</f>
        <v/>
      </c>
      <c r="E492" s="46">
        <f>IF(_calc!$E$494="","",IF(_calc!$E$494&lt;=500,IF(LEN(INDEX('Our policies'!$Q$4:$Q$503,_calc!$E$494))=0,"",INDEX('Our policies'!$Q$4:$Q$503,_calc!$E$494)),"Medium"))</f>
        <v/>
      </c>
      <c r="F492" s="46">
        <f>IF(_calc!$E$494="","",IF(_calc!$E$494&lt;=500,TRIM(IF(LEN(IF(LEN(INDEX('Our policies'!$B$4:$B$503,_calc!$E$494))=0,"",INDEX('Our policies'!$B$4:$B$503,_calc!$E$494)))=0,"","Cover: "&amp;IF(LEN(INDEX('Our policies'!$B$4:$B$503,_calc!$E$494))=0,"",INDEX('Our policies'!$B$4:$B$503,_calc!$E$494))&amp;". ")&amp;IF(LEN(IF(LEN(INDEX('Our policies'!$C$4:$C$503,_calc!$E$494))=0,"",INDEX('Our policies'!$C$4:$C$503,_calc!$E$494)))=0,"","Insurer: "&amp;IF(LEN(INDEX('Our policies'!$C$4:$C$503,_calc!$E$494))=0,"",INDEX('Our policies'!$C$4:$C$503,_calc!$E$494))&amp;". ")&amp;IF(LEN(IF(LEN(INDEX('Our policies'!$D$4:$D$503,_calc!$E$494))=0,"",INDEX('Our policies'!$D$4:$D$503,_calc!$E$494)))=0,"","Broker: "&amp;IF(LEN(INDEX('Our policies'!$D$4:$D$503,_calc!$E$494))=0,"",INDEX('Our policies'!$D$4:$D$503,_calc!$E$494))&amp;". ")&amp;IF(LEN(IF(LEN(INDEX('Our policies'!$E$4:$E$503,_calc!$E$494))=0,"",INDEX('Our policies'!$E$4:$E$503,_calc!$E$494)))=0,"","Policy no.: "&amp;IF(LEN(INDEX('Our policies'!$E$4:$E$503,_calc!$E$494))=0,"",INDEX('Our policies'!$E$4:$E$503,_calc!$E$494))&amp;". ")&amp;IF(LEN(IF(LEN(INDEX('Our policies'!$S$4:$S$503,_calc!$E$494))=0,"",INDEX('Our policies'!$S$4:$S$503,_calc!$E$494)))=0,"",IF(LEN(INDEX('Our policies'!$S$4:$S$503,_calc!$E$494))=0,"",INDEX('Our policies'!$S$4:$S$503,_calc!$E$494)))),TRIM(IF(LEN(IF(LEN(INDEX('Vendor COIs'!$C$4:$C$503,(_calc!$E$494-500)))=0,"",INDEX('Vendor COIs'!$C$4:$C$503,(_calc!$E$494-500))))=0,"","Insurer: "&amp;IF(LEN(INDEX('Vendor COIs'!$C$4:$C$503,(_calc!$E$494-500)))=0,"",INDEX('Vendor COIs'!$C$4:$C$503,(_calc!$E$494-500)))&amp;". ")&amp;IF(LEN(IF(LEN(INDEX('Vendor COIs'!$D$4:$D$503,(_calc!$E$494-500)))=0,"",INDEX('Vendor COIs'!$D$4:$D$503,(_calc!$E$494-500))))=0,"","Policy no.: "&amp;IF(LEN(INDEX('Vendor COIs'!$D$4:$D$503,(_calc!$E$494-500)))=0,"",INDEX('Vendor COIs'!$D$4:$D$503,(_calc!$E$494-500)))&amp;". ")&amp;IF(LEN(IF(LEN(INDEX('Vendor COIs'!$F$4:$F$503,(_calc!$E$494-500)))=0,"",INDEX('Vendor COIs'!$F$4:$F$503,(_calc!$E$494-500))))=0,"","Meets minimum: "&amp;IF(LEN(INDEX('Vendor COIs'!$F$4:$F$503,(_calc!$E$494-500)))=0,"",INDEX('Vendor COIs'!$F$4:$F$503,(_calc!$E$494-500)))&amp;". ")&amp;IF(LEN(IF(LEN(INDEX('Vendor COIs'!$G$4:$G$503,(_calc!$E$494-500)))=0,"",INDEX('Vendor COIs'!$G$4:$G$503,(_calc!$E$494-500))))=0,"","Additional insured: "&amp;IF(LEN(INDEX('Vendor COIs'!$G$4:$G$503,(_calc!$E$494-500)))=0,"",INDEX('Vendor COIs'!$G$4:$G$503,(_calc!$E$494-500)))&amp;". ")&amp;IF(LEN(IF(LEN(INDEX('Vendor COIs'!$M$4:$M$503,(_calc!$E$494-500)))=0,"",INDEX('Vendor COIs'!$M$4:$M$503,(_calc!$E$494-500))))=0,"","Vendor contact: "&amp;IF(LEN(INDEX('Vendor COIs'!$M$4:$M$503,(_calc!$E$494-500)))=0,"",INDEX('Vendor COIs'!$M$4:$M$503,(_calc!$E$494-500)))&amp;". ")&amp;IF(LEN(IF(LEN(INDEX('Vendor COIs'!$P$4:$P$503,(_calc!$E$494-500)))=0,"",INDEX('Vendor COIs'!$P$4:$P$503,(_calc!$E$494-500))))=0,"",IF(LEN(INDEX('Vendor COIs'!$P$4:$P$503,(_calc!$E$494-500)))=0,"",INDEX('Vendor COIs'!$P$4:$P$503,(_calc!$E$494-500)))))))</f>
        <v/>
      </c>
      <c r="G492" s="46">
        <f>IF(_calc!$E$494="","",IF(_calc!$E$494&lt;=500,IF(LEN(INDEX('Our policies'!$R$4:$R$503,_calc!$E$494))=0,"",INDEX('Our policies'!$R$4:$R$503,_calc!$E$494)),IF(LEN(INDEX('Vendor COIs'!$O$4:$O$503,(_calc!$E$494-500)))=0,"",INDEX('Vendor COIs'!$O$4:$O$503,(_calc!$E$494-500)))))</f>
        <v/>
      </c>
      <c r="H492" s="46">
        <f>IF(_calc!$E$494="","",IF(_calc!$E$494&lt;=500,IF(LEN(INDEX('Our policies'!$G$4:$G$503,_calc!$E$494))=0,"",INDEX('Our policies'!$G$4:$G$503,_calc!$E$494)),""))</f>
        <v/>
      </c>
      <c r="I492" s="46">
        <f>IF(_calc!$E$494="","",IF(_calc!$E$494&lt;=500,IF(LEN(INDEX('Our policies'!$H$4:$H$503,_calc!$E$494))=0,"",INDEX('Our policies'!$H$4:$H$503,_calc!$E$494)),""))</f>
        <v/>
      </c>
      <c r="K492" s="46">
        <f>IF(_calc!$E$494="","",IF(_calc!$E$494&lt;=500,IF(LEN(INDEX('Our policies'!$P$4:$P$503,_calc!$E$494))=0,"",INDEX('Our policies'!$P$4:$P$503,_calc!$E$494)),IF(LEN(INDEX('Vendor COIs'!$N$4:$N$503,(_calc!$E$494-500)))=0,"",INDEX('Vendor COIs'!$N$4:$N$503,(_calc!$E$494-500)))))</f>
        <v/>
      </c>
    </row>
    <row r="493">
      <c r="A493" s="46">
        <f>IF(_calc!$E$495="","",IF(_calc!$E$495&lt;=500,IF(LEN(INDEX('Our policies'!$A$4:$A$503,_calc!$E$495))=0,"",INDEX('Our policies'!$A$4:$A$503,_calc!$E$495)),"COI – "&amp;IF(LEN(INDEX('Vendor COIs'!$A$4:$A$503,(_calc!$E$495-500)))=0,"",INDEX('Vendor COIs'!$A$4:$A$503,(_calc!$E$495-500)))&amp;" – "&amp;IF(LEN(INDEX('Vendor COIs'!$B$4:$B$503,(_calc!$E$495-500)))=0,"",INDEX('Vendor COIs'!$B$4:$B$503,(_calc!$E$495-500)))))</f>
        <v/>
      </c>
      <c r="B493" s="46">
        <f>IF(_calc!$E$495="","",IF(_calc!$E$495&lt;=500,IF(ISNUMBER(INDEX('Our policies'!$J$4:$J$503,_calc!$E$495)),TEXT(INDEX('Our policies'!$J$4:$J$503,_calc!$E$495),"yyyy-mm-dd"),""),IF(ISNUMBER(INDEX('Vendor COIs'!$H$4:$H$503,(_calc!$E$495-500))),TEXT(INDEX('Vendor COIs'!$H$4:$H$503,(_calc!$E$495-500)),"yyyy-mm-dd"),"")))</f>
        <v/>
      </c>
      <c r="C493" s="46">
        <f>IF(_calc!$E$495="","",IF(_calc!$E$495&lt;=500,"Insurance","Certificate of insurance"))</f>
        <v/>
      </c>
      <c r="D493" s="46">
        <f>IF(_calc!$E$495="","",IF(_calc!$E$495&lt;=500,IF(ISNUMBER(INDEX('Our policies'!$I$4:$I$503,_calc!$E$495)),TEXT(INDEX('Our policies'!$I$4:$I$503,_calc!$E$495),"yyyy-mm-dd"),""),""))</f>
        <v/>
      </c>
      <c r="E493" s="46">
        <f>IF(_calc!$E$495="","",IF(_calc!$E$495&lt;=500,IF(LEN(INDEX('Our policies'!$Q$4:$Q$503,_calc!$E$495))=0,"",INDEX('Our policies'!$Q$4:$Q$503,_calc!$E$495)),"Medium"))</f>
        <v/>
      </c>
      <c r="F493" s="46">
        <f>IF(_calc!$E$495="","",IF(_calc!$E$495&lt;=500,TRIM(IF(LEN(IF(LEN(INDEX('Our policies'!$B$4:$B$503,_calc!$E$495))=0,"",INDEX('Our policies'!$B$4:$B$503,_calc!$E$495)))=0,"","Cover: "&amp;IF(LEN(INDEX('Our policies'!$B$4:$B$503,_calc!$E$495))=0,"",INDEX('Our policies'!$B$4:$B$503,_calc!$E$495))&amp;". ")&amp;IF(LEN(IF(LEN(INDEX('Our policies'!$C$4:$C$503,_calc!$E$495))=0,"",INDEX('Our policies'!$C$4:$C$503,_calc!$E$495)))=0,"","Insurer: "&amp;IF(LEN(INDEX('Our policies'!$C$4:$C$503,_calc!$E$495))=0,"",INDEX('Our policies'!$C$4:$C$503,_calc!$E$495))&amp;". ")&amp;IF(LEN(IF(LEN(INDEX('Our policies'!$D$4:$D$503,_calc!$E$495))=0,"",INDEX('Our policies'!$D$4:$D$503,_calc!$E$495)))=0,"","Broker: "&amp;IF(LEN(INDEX('Our policies'!$D$4:$D$503,_calc!$E$495))=0,"",INDEX('Our policies'!$D$4:$D$503,_calc!$E$495))&amp;". ")&amp;IF(LEN(IF(LEN(INDEX('Our policies'!$E$4:$E$503,_calc!$E$495))=0,"",INDEX('Our policies'!$E$4:$E$503,_calc!$E$495)))=0,"","Policy no.: "&amp;IF(LEN(INDEX('Our policies'!$E$4:$E$503,_calc!$E$495))=0,"",INDEX('Our policies'!$E$4:$E$503,_calc!$E$495))&amp;". ")&amp;IF(LEN(IF(LEN(INDEX('Our policies'!$S$4:$S$503,_calc!$E$495))=0,"",INDEX('Our policies'!$S$4:$S$503,_calc!$E$495)))=0,"",IF(LEN(INDEX('Our policies'!$S$4:$S$503,_calc!$E$495))=0,"",INDEX('Our policies'!$S$4:$S$503,_calc!$E$495)))),TRIM(IF(LEN(IF(LEN(INDEX('Vendor COIs'!$C$4:$C$503,(_calc!$E$495-500)))=0,"",INDEX('Vendor COIs'!$C$4:$C$503,(_calc!$E$495-500))))=0,"","Insurer: "&amp;IF(LEN(INDEX('Vendor COIs'!$C$4:$C$503,(_calc!$E$495-500)))=0,"",INDEX('Vendor COIs'!$C$4:$C$503,(_calc!$E$495-500)))&amp;". ")&amp;IF(LEN(IF(LEN(INDEX('Vendor COIs'!$D$4:$D$503,(_calc!$E$495-500)))=0,"",INDEX('Vendor COIs'!$D$4:$D$503,(_calc!$E$495-500))))=0,"","Policy no.: "&amp;IF(LEN(INDEX('Vendor COIs'!$D$4:$D$503,(_calc!$E$495-500)))=0,"",INDEX('Vendor COIs'!$D$4:$D$503,(_calc!$E$495-500)))&amp;". ")&amp;IF(LEN(IF(LEN(INDEX('Vendor COIs'!$F$4:$F$503,(_calc!$E$495-500)))=0,"",INDEX('Vendor COIs'!$F$4:$F$503,(_calc!$E$495-500))))=0,"","Meets minimum: "&amp;IF(LEN(INDEX('Vendor COIs'!$F$4:$F$503,(_calc!$E$495-500)))=0,"",INDEX('Vendor COIs'!$F$4:$F$503,(_calc!$E$495-500)))&amp;". ")&amp;IF(LEN(IF(LEN(INDEX('Vendor COIs'!$G$4:$G$503,(_calc!$E$495-500)))=0,"",INDEX('Vendor COIs'!$G$4:$G$503,(_calc!$E$495-500))))=0,"","Additional insured: "&amp;IF(LEN(INDEX('Vendor COIs'!$G$4:$G$503,(_calc!$E$495-500)))=0,"",INDEX('Vendor COIs'!$G$4:$G$503,(_calc!$E$495-500)))&amp;". ")&amp;IF(LEN(IF(LEN(INDEX('Vendor COIs'!$M$4:$M$503,(_calc!$E$495-500)))=0,"",INDEX('Vendor COIs'!$M$4:$M$503,(_calc!$E$495-500))))=0,"","Vendor contact: "&amp;IF(LEN(INDEX('Vendor COIs'!$M$4:$M$503,(_calc!$E$495-500)))=0,"",INDEX('Vendor COIs'!$M$4:$M$503,(_calc!$E$495-500)))&amp;". ")&amp;IF(LEN(IF(LEN(INDEX('Vendor COIs'!$P$4:$P$503,(_calc!$E$495-500)))=0,"",INDEX('Vendor COIs'!$P$4:$P$503,(_calc!$E$495-500))))=0,"",IF(LEN(INDEX('Vendor COIs'!$P$4:$P$503,(_calc!$E$495-500)))=0,"",INDEX('Vendor COIs'!$P$4:$P$503,(_calc!$E$495-500)))))))</f>
        <v/>
      </c>
      <c r="G493" s="46">
        <f>IF(_calc!$E$495="","",IF(_calc!$E$495&lt;=500,IF(LEN(INDEX('Our policies'!$R$4:$R$503,_calc!$E$495))=0,"",INDEX('Our policies'!$R$4:$R$503,_calc!$E$495)),IF(LEN(INDEX('Vendor COIs'!$O$4:$O$503,(_calc!$E$495-500)))=0,"",INDEX('Vendor COIs'!$O$4:$O$503,(_calc!$E$495-500)))))</f>
        <v/>
      </c>
      <c r="H493" s="46">
        <f>IF(_calc!$E$495="","",IF(_calc!$E$495&lt;=500,IF(LEN(INDEX('Our policies'!$G$4:$G$503,_calc!$E$495))=0,"",INDEX('Our policies'!$G$4:$G$503,_calc!$E$495)),""))</f>
        <v/>
      </c>
      <c r="I493" s="46">
        <f>IF(_calc!$E$495="","",IF(_calc!$E$495&lt;=500,IF(LEN(INDEX('Our policies'!$H$4:$H$503,_calc!$E$495))=0,"",INDEX('Our policies'!$H$4:$H$503,_calc!$E$495)),""))</f>
        <v/>
      </c>
      <c r="K493" s="46">
        <f>IF(_calc!$E$495="","",IF(_calc!$E$495&lt;=500,IF(LEN(INDEX('Our policies'!$P$4:$P$503,_calc!$E$495))=0,"",INDEX('Our policies'!$P$4:$P$503,_calc!$E$495)),IF(LEN(INDEX('Vendor COIs'!$N$4:$N$503,(_calc!$E$495-500)))=0,"",INDEX('Vendor COIs'!$N$4:$N$503,(_calc!$E$495-500)))))</f>
        <v/>
      </c>
    </row>
    <row r="494">
      <c r="A494" s="46">
        <f>IF(_calc!$E$496="","",IF(_calc!$E$496&lt;=500,IF(LEN(INDEX('Our policies'!$A$4:$A$503,_calc!$E$496))=0,"",INDEX('Our policies'!$A$4:$A$503,_calc!$E$496)),"COI – "&amp;IF(LEN(INDEX('Vendor COIs'!$A$4:$A$503,(_calc!$E$496-500)))=0,"",INDEX('Vendor COIs'!$A$4:$A$503,(_calc!$E$496-500)))&amp;" – "&amp;IF(LEN(INDEX('Vendor COIs'!$B$4:$B$503,(_calc!$E$496-500)))=0,"",INDEX('Vendor COIs'!$B$4:$B$503,(_calc!$E$496-500)))))</f>
        <v/>
      </c>
      <c r="B494" s="46">
        <f>IF(_calc!$E$496="","",IF(_calc!$E$496&lt;=500,IF(ISNUMBER(INDEX('Our policies'!$J$4:$J$503,_calc!$E$496)),TEXT(INDEX('Our policies'!$J$4:$J$503,_calc!$E$496),"yyyy-mm-dd"),""),IF(ISNUMBER(INDEX('Vendor COIs'!$H$4:$H$503,(_calc!$E$496-500))),TEXT(INDEX('Vendor COIs'!$H$4:$H$503,(_calc!$E$496-500)),"yyyy-mm-dd"),"")))</f>
        <v/>
      </c>
      <c r="C494" s="46">
        <f>IF(_calc!$E$496="","",IF(_calc!$E$496&lt;=500,"Insurance","Certificate of insurance"))</f>
        <v/>
      </c>
      <c r="D494" s="46">
        <f>IF(_calc!$E$496="","",IF(_calc!$E$496&lt;=500,IF(ISNUMBER(INDEX('Our policies'!$I$4:$I$503,_calc!$E$496)),TEXT(INDEX('Our policies'!$I$4:$I$503,_calc!$E$496),"yyyy-mm-dd"),""),""))</f>
        <v/>
      </c>
      <c r="E494" s="46">
        <f>IF(_calc!$E$496="","",IF(_calc!$E$496&lt;=500,IF(LEN(INDEX('Our policies'!$Q$4:$Q$503,_calc!$E$496))=0,"",INDEX('Our policies'!$Q$4:$Q$503,_calc!$E$496)),"Medium"))</f>
        <v/>
      </c>
      <c r="F494" s="46">
        <f>IF(_calc!$E$496="","",IF(_calc!$E$496&lt;=500,TRIM(IF(LEN(IF(LEN(INDEX('Our policies'!$B$4:$B$503,_calc!$E$496))=0,"",INDEX('Our policies'!$B$4:$B$503,_calc!$E$496)))=0,"","Cover: "&amp;IF(LEN(INDEX('Our policies'!$B$4:$B$503,_calc!$E$496))=0,"",INDEX('Our policies'!$B$4:$B$503,_calc!$E$496))&amp;". ")&amp;IF(LEN(IF(LEN(INDEX('Our policies'!$C$4:$C$503,_calc!$E$496))=0,"",INDEX('Our policies'!$C$4:$C$503,_calc!$E$496)))=0,"","Insurer: "&amp;IF(LEN(INDEX('Our policies'!$C$4:$C$503,_calc!$E$496))=0,"",INDEX('Our policies'!$C$4:$C$503,_calc!$E$496))&amp;". ")&amp;IF(LEN(IF(LEN(INDEX('Our policies'!$D$4:$D$503,_calc!$E$496))=0,"",INDEX('Our policies'!$D$4:$D$503,_calc!$E$496)))=0,"","Broker: "&amp;IF(LEN(INDEX('Our policies'!$D$4:$D$503,_calc!$E$496))=0,"",INDEX('Our policies'!$D$4:$D$503,_calc!$E$496))&amp;". ")&amp;IF(LEN(IF(LEN(INDEX('Our policies'!$E$4:$E$503,_calc!$E$496))=0,"",INDEX('Our policies'!$E$4:$E$503,_calc!$E$496)))=0,"","Policy no.: "&amp;IF(LEN(INDEX('Our policies'!$E$4:$E$503,_calc!$E$496))=0,"",INDEX('Our policies'!$E$4:$E$503,_calc!$E$496))&amp;". ")&amp;IF(LEN(IF(LEN(INDEX('Our policies'!$S$4:$S$503,_calc!$E$496))=0,"",INDEX('Our policies'!$S$4:$S$503,_calc!$E$496)))=0,"",IF(LEN(INDEX('Our policies'!$S$4:$S$503,_calc!$E$496))=0,"",INDEX('Our policies'!$S$4:$S$503,_calc!$E$496)))),TRIM(IF(LEN(IF(LEN(INDEX('Vendor COIs'!$C$4:$C$503,(_calc!$E$496-500)))=0,"",INDEX('Vendor COIs'!$C$4:$C$503,(_calc!$E$496-500))))=0,"","Insurer: "&amp;IF(LEN(INDEX('Vendor COIs'!$C$4:$C$503,(_calc!$E$496-500)))=0,"",INDEX('Vendor COIs'!$C$4:$C$503,(_calc!$E$496-500)))&amp;". ")&amp;IF(LEN(IF(LEN(INDEX('Vendor COIs'!$D$4:$D$503,(_calc!$E$496-500)))=0,"",INDEX('Vendor COIs'!$D$4:$D$503,(_calc!$E$496-500))))=0,"","Policy no.: "&amp;IF(LEN(INDEX('Vendor COIs'!$D$4:$D$503,(_calc!$E$496-500)))=0,"",INDEX('Vendor COIs'!$D$4:$D$503,(_calc!$E$496-500)))&amp;". ")&amp;IF(LEN(IF(LEN(INDEX('Vendor COIs'!$F$4:$F$503,(_calc!$E$496-500)))=0,"",INDEX('Vendor COIs'!$F$4:$F$503,(_calc!$E$496-500))))=0,"","Meets minimum: "&amp;IF(LEN(INDEX('Vendor COIs'!$F$4:$F$503,(_calc!$E$496-500)))=0,"",INDEX('Vendor COIs'!$F$4:$F$503,(_calc!$E$496-500)))&amp;". ")&amp;IF(LEN(IF(LEN(INDEX('Vendor COIs'!$G$4:$G$503,(_calc!$E$496-500)))=0,"",INDEX('Vendor COIs'!$G$4:$G$503,(_calc!$E$496-500))))=0,"","Additional insured: "&amp;IF(LEN(INDEX('Vendor COIs'!$G$4:$G$503,(_calc!$E$496-500)))=0,"",INDEX('Vendor COIs'!$G$4:$G$503,(_calc!$E$496-500)))&amp;". ")&amp;IF(LEN(IF(LEN(INDEX('Vendor COIs'!$M$4:$M$503,(_calc!$E$496-500)))=0,"",INDEX('Vendor COIs'!$M$4:$M$503,(_calc!$E$496-500))))=0,"","Vendor contact: "&amp;IF(LEN(INDEX('Vendor COIs'!$M$4:$M$503,(_calc!$E$496-500)))=0,"",INDEX('Vendor COIs'!$M$4:$M$503,(_calc!$E$496-500)))&amp;". ")&amp;IF(LEN(IF(LEN(INDEX('Vendor COIs'!$P$4:$P$503,(_calc!$E$496-500)))=0,"",INDEX('Vendor COIs'!$P$4:$P$503,(_calc!$E$496-500))))=0,"",IF(LEN(INDEX('Vendor COIs'!$P$4:$P$503,(_calc!$E$496-500)))=0,"",INDEX('Vendor COIs'!$P$4:$P$503,(_calc!$E$496-500)))))))</f>
        <v/>
      </c>
      <c r="G494" s="46">
        <f>IF(_calc!$E$496="","",IF(_calc!$E$496&lt;=500,IF(LEN(INDEX('Our policies'!$R$4:$R$503,_calc!$E$496))=0,"",INDEX('Our policies'!$R$4:$R$503,_calc!$E$496)),IF(LEN(INDEX('Vendor COIs'!$O$4:$O$503,(_calc!$E$496-500)))=0,"",INDEX('Vendor COIs'!$O$4:$O$503,(_calc!$E$496-500)))))</f>
        <v/>
      </c>
      <c r="H494" s="46">
        <f>IF(_calc!$E$496="","",IF(_calc!$E$496&lt;=500,IF(LEN(INDEX('Our policies'!$G$4:$G$503,_calc!$E$496))=0,"",INDEX('Our policies'!$G$4:$G$503,_calc!$E$496)),""))</f>
        <v/>
      </c>
      <c r="I494" s="46">
        <f>IF(_calc!$E$496="","",IF(_calc!$E$496&lt;=500,IF(LEN(INDEX('Our policies'!$H$4:$H$503,_calc!$E$496))=0,"",INDEX('Our policies'!$H$4:$H$503,_calc!$E$496)),""))</f>
        <v/>
      </c>
      <c r="K494" s="46">
        <f>IF(_calc!$E$496="","",IF(_calc!$E$496&lt;=500,IF(LEN(INDEX('Our policies'!$P$4:$P$503,_calc!$E$496))=0,"",INDEX('Our policies'!$P$4:$P$503,_calc!$E$496)),IF(LEN(INDEX('Vendor COIs'!$N$4:$N$503,(_calc!$E$496-500)))=0,"",INDEX('Vendor COIs'!$N$4:$N$503,(_calc!$E$496-500)))))</f>
        <v/>
      </c>
    </row>
    <row r="495">
      <c r="A495" s="46">
        <f>IF(_calc!$E$497="","",IF(_calc!$E$497&lt;=500,IF(LEN(INDEX('Our policies'!$A$4:$A$503,_calc!$E$497))=0,"",INDEX('Our policies'!$A$4:$A$503,_calc!$E$497)),"COI – "&amp;IF(LEN(INDEX('Vendor COIs'!$A$4:$A$503,(_calc!$E$497-500)))=0,"",INDEX('Vendor COIs'!$A$4:$A$503,(_calc!$E$497-500)))&amp;" – "&amp;IF(LEN(INDEX('Vendor COIs'!$B$4:$B$503,(_calc!$E$497-500)))=0,"",INDEX('Vendor COIs'!$B$4:$B$503,(_calc!$E$497-500)))))</f>
        <v/>
      </c>
      <c r="B495" s="46">
        <f>IF(_calc!$E$497="","",IF(_calc!$E$497&lt;=500,IF(ISNUMBER(INDEX('Our policies'!$J$4:$J$503,_calc!$E$497)),TEXT(INDEX('Our policies'!$J$4:$J$503,_calc!$E$497),"yyyy-mm-dd"),""),IF(ISNUMBER(INDEX('Vendor COIs'!$H$4:$H$503,(_calc!$E$497-500))),TEXT(INDEX('Vendor COIs'!$H$4:$H$503,(_calc!$E$497-500)),"yyyy-mm-dd"),"")))</f>
        <v/>
      </c>
      <c r="C495" s="46">
        <f>IF(_calc!$E$497="","",IF(_calc!$E$497&lt;=500,"Insurance","Certificate of insurance"))</f>
        <v/>
      </c>
      <c r="D495" s="46">
        <f>IF(_calc!$E$497="","",IF(_calc!$E$497&lt;=500,IF(ISNUMBER(INDEX('Our policies'!$I$4:$I$503,_calc!$E$497)),TEXT(INDEX('Our policies'!$I$4:$I$503,_calc!$E$497),"yyyy-mm-dd"),""),""))</f>
        <v/>
      </c>
      <c r="E495" s="46">
        <f>IF(_calc!$E$497="","",IF(_calc!$E$497&lt;=500,IF(LEN(INDEX('Our policies'!$Q$4:$Q$503,_calc!$E$497))=0,"",INDEX('Our policies'!$Q$4:$Q$503,_calc!$E$497)),"Medium"))</f>
        <v/>
      </c>
      <c r="F495" s="46">
        <f>IF(_calc!$E$497="","",IF(_calc!$E$497&lt;=500,TRIM(IF(LEN(IF(LEN(INDEX('Our policies'!$B$4:$B$503,_calc!$E$497))=0,"",INDEX('Our policies'!$B$4:$B$503,_calc!$E$497)))=0,"","Cover: "&amp;IF(LEN(INDEX('Our policies'!$B$4:$B$503,_calc!$E$497))=0,"",INDEX('Our policies'!$B$4:$B$503,_calc!$E$497))&amp;". ")&amp;IF(LEN(IF(LEN(INDEX('Our policies'!$C$4:$C$503,_calc!$E$497))=0,"",INDEX('Our policies'!$C$4:$C$503,_calc!$E$497)))=0,"","Insurer: "&amp;IF(LEN(INDEX('Our policies'!$C$4:$C$503,_calc!$E$497))=0,"",INDEX('Our policies'!$C$4:$C$503,_calc!$E$497))&amp;". ")&amp;IF(LEN(IF(LEN(INDEX('Our policies'!$D$4:$D$503,_calc!$E$497))=0,"",INDEX('Our policies'!$D$4:$D$503,_calc!$E$497)))=0,"","Broker: "&amp;IF(LEN(INDEX('Our policies'!$D$4:$D$503,_calc!$E$497))=0,"",INDEX('Our policies'!$D$4:$D$503,_calc!$E$497))&amp;". ")&amp;IF(LEN(IF(LEN(INDEX('Our policies'!$E$4:$E$503,_calc!$E$497))=0,"",INDEX('Our policies'!$E$4:$E$503,_calc!$E$497)))=0,"","Policy no.: "&amp;IF(LEN(INDEX('Our policies'!$E$4:$E$503,_calc!$E$497))=0,"",INDEX('Our policies'!$E$4:$E$503,_calc!$E$497))&amp;". ")&amp;IF(LEN(IF(LEN(INDEX('Our policies'!$S$4:$S$503,_calc!$E$497))=0,"",INDEX('Our policies'!$S$4:$S$503,_calc!$E$497)))=0,"",IF(LEN(INDEX('Our policies'!$S$4:$S$503,_calc!$E$497))=0,"",INDEX('Our policies'!$S$4:$S$503,_calc!$E$497)))),TRIM(IF(LEN(IF(LEN(INDEX('Vendor COIs'!$C$4:$C$503,(_calc!$E$497-500)))=0,"",INDEX('Vendor COIs'!$C$4:$C$503,(_calc!$E$497-500))))=0,"","Insurer: "&amp;IF(LEN(INDEX('Vendor COIs'!$C$4:$C$503,(_calc!$E$497-500)))=0,"",INDEX('Vendor COIs'!$C$4:$C$503,(_calc!$E$497-500)))&amp;". ")&amp;IF(LEN(IF(LEN(INDEX('Vendor COIs'!$D$4:$D$503,(_calc!$E$497-500)))=0,"",INDEX('Vendor COIs'!$D$4:$D$503,(_calc!$E$497-500))))=0,"","Policy no.: "&amp;IF(LEN(INDEX('Vendor COIs'!$D$4:$D$503,(_calc!$E$497-500)))=0,"",INDEX('Vendor COIs'!$D$4:$D$503,(_calc!$E$497-500)))&amp;". ")&amp;IF(LEN(IF(LEN(INDEX('Vendor COIs'!$F$4:$F$503,(_calc!$E$497-500)))=0,"",INDEX('Vendor COIs'!$F$4:$F$503,(_calc!$E$497-500))))=0,"","Meets minimum: "&amp;IF(LEN(INDEX('Vendor COIs'!$F$4:$F$503,(_calc!$E$497-500)))=0,"",INDEX('Vendor COIs'!$F$4:$F$503,(_calc!$E$497-500)))&amp;". ")&amp;IF(LEN(IF(LEN(INDEX('Vendor COIs'!$G$4:$G$503,(_calc!$E$497-500)))=0,"",INDEX('Vendor COIs'!$G$4:$G$503,(_calc!$E$497-500))))=0,"","Additional insured: "&amp;IF(LEN(INDEX('Vendor COIs'!$G$4:$G$503,(_calc!$E$497-500)))=0,"",INDEX('Vendor COIs'!$G$4:$G$503,(_calc!$E$497-500)))&amp;". ")&amp;IF(LEN(IF(LEN(INDEX('Vendor COIs'!$M$4:$M$503,(_calc!$E$497-500)))=0,"",INDEX('Vendor COIs'!$M$4:$M$503,(_calc!$E$497-500))))=0,"","Vendor contact: "&amp;IF(LEN(INDEX('Vendor COIs'!$M$4:$M$503,(_calc!$E$497-500)))=0,"",INDEX('Vendor COIs'!$M$4:$M$503,(_calc!$E$497-500)))&amp;". ")&amp;IF(LEN(IF(LEN(INDEX('Vendor COIs'!$P$4:$P$503,(_calc!$E$497-500)))=0,"",INDEX('Vendor COIs'!$P$4:$P$503,(_calc!$E$497-500))))=0,"",IF(LEN(INDEX('Vendor COIs'!$P$4:$P$503,(_calc!$E$497-500)))=0,"",INDEX('Vendor COIs'!$P$4:$P$503,(_calc!$E$497-500)))))))</f>
        <v/>
      </c>
      <c r="G495" s="46">
        <f>IF(_calc!$E$497="","",IF(_calc!$E$497&lt;=500,IF(LEN(INDEX('Our policies'!$R$4:$R$503,_calc!$E$497))=0,"",INDEX('Our policies'!$R$4:$R$503,_calc!$E$497)),IF(LEN(INDEX('Vendor COIs'!$O$4:$O$503,(_calc!$E$497-500)))=0,"",INDEX('Vendor COIs'!$O$4:$O$503,(_calc!$E$497-500)))))</f>
        <v/>
      </c>
      <c r="H495" s="46">
        <f>IF(_calc!$E$497="","",IF(_calc!$E$497&lt;=500,IF(LEN(INDEX('Our policies'!$G$4:$G$503,_calc!$E$497))=0,"",INDEX('Our policies'!$G$4:$G$503,_calc!$E$497)),""))</f>
        <v/>
      </c>
      <c r="I495" s="46">
        <f>IF(_calc!$E$497="","",IF(_calc!$E$497&lt;=500,IF(LEN(INDEX('Our policies'!$H$4:$H$503,_calc!$E$497))=0,"",INDEX('Our policies'!$H$4:$H$503,_calc!$E$497)),""))</f>
        <v/>
      </c>
      <c r="K495" s="46">
        <f>IF(_calc!$E$497="","",IF(_calc!$E$497&lt;=500,IF(LEN(INDEX('Our policies'!$P$4:$P$503,_calc!$E$497))=0,"",INDEX('Our policies'!$P$4:$P$503,_calc!$E$497)),IF(LEN(INDEX('Vendor COIs'!$N$4:$N$503,(_calc!$E$497-500)))=0,"",INDEX('Vendor COIs'!$N$4:$N$503,(_calc!$E$497-500)))))</f>
        <v/>
      </c>
    </row>
    <row r="496">
      <c r="A496" s="46">
        <f>IF(_calc!$E$498="","",IF(_calc!$E$498&lt;=500,IF(LEN(INDEX('Our policies'!$A$4:$A$503,_calc!$E$498))=0,"",INDEX('Our policies'!$A$4:$A$503,_calc!$E$498)),"COI – "&amp;IF(LEN(INDEX('Vendor COIs'!$A$4:$A$503,(_calc!$E$498-500)))=0,"",INDEX('Vendor COIs'!$A$4:$A$503,(_calc!$E$498-500)))&amp;" – "&amp;IF(LEN(INDEX('Vendor COIs'!$B$4:$B$503,(_calc!$E$498-500)))=0,"",INDEX('Vendor COIs'!$B$4:$B$503,(_calc!$E$498-500)))))</f>
        <v/>
      </c>
      <c r="B496" s="46">
        <f>IF(_calc!$E$498="","",IF(_calc!$E$498&lt;=500,IF(ISNUMBER(INDEX('Our policies'!$J$4:$J$503,_calc!$E$498)),TEXT(INDEX('Our policies'!$J$4:$J$503,_calc!$E$498),"yyyy-mm-dd"),""),IF(ISNUMBER(INDEX('Vendor COIs'!$H$4:$H$503,(_calc!$E$498-500))),TEXT(INDEX('Vendor COIs'!$H$4:$H$503,(_calc!$E$498-500)),"yyyy-mm-dd"),"")))</f>
        <v/>
      </c>
      <c r="C496" s="46">
        <f>IF(_calc!$E$498="","",IF(_calc!$E$498&lt;=500,"Insurance","Certificate of insurance"))</f>
        <v/>
      </c>
      <c r="D496" s="46">
        <f>IF(_calc!$E$498="","",IF(_calc!$E$498&lt;=500,IF(ISNUMBER(INDEX('Our policies'!$I$4:$I$503,_calc!$E$498)),TEXT(INDEX('Our policies'!$I$4:$I$503,_calc!$E$498),"yyyy-mm-dd"),""),""))</f>
        <v/>
      </c>
      <c r="E496" s="46">
        <f>IF(_calc!$E$498="","",IF(_calc!$E$498&lt;=500,IF(LEN(INDEX('Our policies'!$Q$4:$Q$503,_calc!$E$498))=0,"",INDEX('Our policies'!$Q$4:$Q$503,_calc!$E$498)),"Medium"))</f>
        <v/>
      </c>
      <c r="F496" s="46">
        <f>IF(_calc!$E$498="","",IF(_calc!$E$498&lt;=500,TRIM(IF(LEN(IF(LEN(INDEX('Our policies'!$B$4:$B$503,_calc!$E$498))=0,"",INDEX('Our policies'!$B$4:$B$503,_calc!$E$498)))=0,"","Cover: "&amp;IF(LEN(INDEX('Our policies'!$B$4:$B$503,_calc!$E$498))=0,"",INDEX('Our policies'!$B$4:$B$503,_calc!$E$498))&amp;". ")&amp;IF(LEN(IF(LEN(INDEX('Our policies'!$C$4:$C$503,_calc!$E$498))=0,"",INDEX('Our policies'!$C$4:$C$503,_calc!$E$498)))=0,"","Insurer: "&amp;IF(LEN(INDEX('Our policies'!$C$4:$C$503,_calc!$E$498))=0,"",INDEX('Our policies'!$C$4:$C$503,_calc!$E$498))&amp;". ")&amp;IF(LEN(IF(LEN(INDEX('Our policies'!$D$4:$D$503,_calc!$E$498))=0,"",INDEX('Our policies'!$D$4:$D$503,_calc!$E$498)))=0,"","Broker: "&amp;IF(LEN(INDEX('Our policies'!$D$4:$D$503,_calc!$E$498))=0,"",INDEX('Our policies'!$D$4:$D$503,_calc!$E$498))&amp;". ")&amp;IF(LEN(IF(LEN(INDEX('Our policies'!$E$4:$E$503,_calc!$E$498))=0,"",INDEX('Our policies'!$E$4:$E$503,_calc!$E$498)))=0,"","Policy no.: "&amp;IF(LEN(INDEX('Our policies'!$E$4:$E$503,_calc!$E$498))=0,"",INDEX('Our policies'!$E$4:$E$503,_calc!$E$498))&amp;". ")&amp;IF(LEN(IF(LEN(INDEX('Our policies'!$S$4:$S$503,_calc!$E$498))=0,"",INDEX('Our policies'!$S$4:$S$503,_calc!$E$498)))=0,"",IF(LEN(INDEX('Our policies'!$S$4:$S$503,_calc!$E$498))=0,"",INDEX('Our policies'!$S$4:$S$503,_calc!$E$498)))),TRIM(IF(LEN(IF(LEN(INDEX('Vendor COIs'!$C$4:$C$503,(_calc!$E$498-500)))=0,"",INDEX('Vendor COIs'!$C$4:$C$503,(_calc!$E$498-500))))=0,"","Insurer: "&amp;IF(LEN(INDEX('Vendor COIs'!$C$4:$C$503,(_calc!$E$498-500)))=0,"",INDEX('Vendor COIs'!$C$4:$C$503,(_calc!$E$498-500)))&amp;". ")&amp;IF(LEN(IF(LEN(INDEX('Vendor COIs'!$D$4:$D$503,(_calc!$E$498-500)))=0,"",INDEX('Vendor COIs'!$D$4:$D$503,(_calc!$E$498-500))))=0,"","Policy no.: "&amp;IF(LEN(INDEX('Vendor COIs'!$D$4:$D$503,(_calc!$E$498-500)))=0,"",INDEX('Vendor COIs'!$D$4:$D$503,(_calc!$E$498-500)))&amp;". ")&amp;IF(LEN(IF(LEN(INDEX('Vendor COIs'!$F$4:$F$503,(_calc!$E$498-500)))=0,"",INDEX('Vendor COIs'!$F$4:$F$503,(_calc!$E$498-500))))=0,"","Meets minimum: "&amp;IF(LEN(INDEX('Vendor COIs'!$F$4:$F$503,(_calc!$E$498-500)))=0,"",INDEX('Vendor COIs'!$F$4:$F$503,(_calc!$E$498-500)))&amp;". ")&amp;IF(LEN(IF(LEN(INDEX('Vendor COIs'!$G$4:$G$503,(_calc!$E$498-500)))=0,"",INDEX('Vendor COIs'!$G$4:$G$503,(_calc!$E$498-500))))=0,"","Additional insured: "&amp;IF(LEN(INDEX('Vendor COIs'!$G$4:$G$503,(_calc!$E$498-500)))=0,"",INDEX('Vendor COIs'!$G$4:$G$503,(_calc!$E$498-500)))&amp;". ")&amp;IF(LEN(IF(LEN(INDEX('Vendor COIs'!$M$4:$M$503,(_calc!$E$498-500)))=0,"",INDEX('Vendor COIs'!$M$4:$M$503,(_calc!$E$498-500))))=0,"","Vendor contact: "&amp;IF(LEN(INDEX('Vendor COIs'!$M$4:$M$503,(_calc!$E$498-500)))=0,"",INDEX('Vendor COIs'!$M$4:$M$503,(_calc!$E$498-500)))&amp;". ")&amp;IF(LEN(IF(LEN(INDEX('Vendor COIs'!$P$4:$P$503,(_calc!$E$498-500)))=0,"",INDEX('Vendor COIs'!$P$4:$P$503,(_calc!$E$498-500))))=0,"",IF(LEN(INDEX('Vendor COIs'!$P$4:$P$503,(_calc!$E$498-500)))=0,"",INDEX('Vendor COIs'!$P$4:$P$503,(_calc!$E$498-500)))))))</f>
        <v/>
      </c>
      <c r="G496" s="46">
        <f>IF(_calc!$E$498="","",IF(_calc!$E$498&lt;=500,IF(LEN(INDEX('Our policies'!$R$4:$R$503,_calc!$E$498))=0,"",INDEX('Our policies'!$R$4:$R$503,_calc!$E$498)),IF(LEN(INDEX('Vendor COIs'!$O$4:$O$503,(_calc!$E$498-500)))=0,"",INDEX('Vendor COIs'!$O$4:$O$503,(_calc!$E$498-500)))))</f>
        <v/>
      </c>
      <c r="H496" s="46">
        <f>IF(_calc!$E$498="","",IF(_calc!$E$498&lt;=500,IF(LEN(INDEX('Our policies'!$G$4:$G$503,_calc!$E$498))=0,"",INDEX('Our policies'!$G$4:$G$503,_calc!$E$498)),""))</f>
        <v/>
      </c>
      <c r="I496" s="46">
        <f>IF(_calc!$E$498="","",IF(_calc!$E$498&lt;=500,IF(LEN(INDEX('Our policies'!$H$4:$H$503,_calc!$E$498))=0,"",INDEX('Our policies'!$H$4:$H$503,_calc!$E$498)),""))</f>
        <v/>
      </c>
      <c r="K496" s="46">
        <f>IF(_calc!$E$498="","",IF(_calc!$E$498&lt;=500,IF(LEN(INDEX('Our policies'!$P$4:$P$503,_calc!$E$498))=0,"",INDEX('Our policies'!$P$4:$P$503,_calc!$E$498)),IF(LEN(INDEX('Vendor COIs'!$N$4:$N$503,(_calc!$E$498-500)))=0,"",INDEX('Vendor COIs'!$N$4:$N$503,(_calc!$E$498-500)))))</f>
        <v/>
      </c>
    </row>
    <row r="497">
      <c r="A497" s="46">
        <f>IF(_calc!$E$499="","",IF(_calc!$E$499&lt;=500,IF(LEN(INDEX('Our policies'!$A$4:$A$503,_calc!$E$499))=0,"",INDEX('Our policies'!$A$4:$A$503,_calc!$E$499)),"COI – "&amp;IF(LEN(INDEX('Vendor COIs'!$A$4:$A$503,(_calc!$E$499-500)))=0,"",INDEX('Vendor COIs'!$A$4:$A$503,(_calc!$E$499-500)))&amp;" – "&amp;IF(LEN(INDEX('Vendor COIs'!$B$4:$B$503,(_calc!$E$499-500)))=0,"",INDEX('Vendor COIs'!$B$4:$B$503,(_calc!$E$499-500)))))</f>
        <v/>
      </c>
      <c r="B497" s="46">
        <f>IF(_calc!$E$499="","",IF(_calc!$E$499&lt;=500,IF(ISNUMBER(INDEX('Our policies'!$J$4:$J$503,_calc!$E$499)),TEXT(INDEX('Our policies'!$J$4:$J$503,_calc!$E$499),"yyyy-mm-dd"),""),IF(ISNUMBER(INDEX('Vendor COIs'!$H$4:$H$503,(_calc!$E$499-500))),TEXT(INDEX('Vendor COIs'!$H$4:$H$503,(_calc!$E$499-500)),"yyyy-mm-dd"),"")))</f>
        <v/>
      </c>
      <c r="C497" s="46">
        <f>IF(_calc!$E$499="","",IF(_calc!$E$499&lt;=500,"Insurance","Certificate of insurance"))</f>
        <v/>
      </c>
      <c r="D497" s="46">
        <f>IF(_calc!$E$499="","",IF(_calc!$E$499&lt;=500,IF(ISNUMBER(INDEX('Our policies'!$I$4:$I$503,_calc!$E$499)),TEXT(INDEX('Our policies'!$I$4:$I$503,_calc!$E$499),"yyyy-mm-dd"),""),""))</f>
        <v/>
      </c>
      <c r="E497" s="46">
        <f>IF(_calc!$E$499="","",IF(_calc!$E$499&lt;=500,IF(LEN(INDEX('Our policies'!$Q$4:$Q$503,_calc!$E$499))=0,"",INDEX('Our policies'!$Q$4:$Q$503,_calc!$E$499)),"Medium"))</f>
        <v/>
      </c>
      <c r="F497" s="46">
        <f>IF(_calc!$E$499="","",IF(_calc!$E$499&lt;=500,TRIM(IF(LEN(IF(LEN(INDEX('Our policies'!$B$4:$B$503,_calc!$E$499))=0,"",INDEX('Our policies'!$B$4:$B$503,_calc!$E$499)))=0,"","Cover: "&amp;IF(LEN(INDEX('Our policies'!$B$4:$B$503,_calc!$E$499))=0,"",INDEX('Our policies'!$B$4:$B$503,_calc!$E$499))&amp;". ")&amp;IF(LEN(IF(LEN(INDEX('Our policies'!$C$4:$C$503,_calc!$E$499))=0,"",INDEX('Our policies'!$C$4:$C$503,_calc!$E$499)))=0,"","Insurer: "&amp;IF(LEN(INDEX('Our policies'!$C$4:$C$503,_calc!$E$499))=0,"",INDEX('Our policies'!$C$4:$C$503,_calc!$E$499))&amp;". ")&amp;IF(LEN(IF(LEN(INDEX('Our policies'!$D$4:$D$503,_calc!$E$499))=0,"",INDEX('Our policies'!$D$4:$D$503,_calc!$E$499)))=0,"","Broker: "&amp;IF(LEN(INDEX('Our policies'!$D$4:$D$503,_calc!$E$499))=0,"",INDEX('Our policies'!$D$4:$D$503,_calc!$E$499))&amp;". ")&amp;IF(LEN(IF(LEN(INDEX('Our policies'!$E$4:$E$503,_calc!$E$499))=0,"",INDEX('Our policies'!$E$4:$E$503,_calc!$E$499)))=0,"","Policy no.: "&amp;IF(LEN(INDEX('Our policies'!$E$4:$E$503,_calc!$E$499))=0,"",INDEX('Our policies'!$E$4:$E$503,_calc!$E$499))&amp;". ")&amp;IF(LEN(IF(LEN(INDEX('Our policies'!$S$4:$S$503,_calc!$E$499))=0,"",INDEX('Our policies'!$S$4:$S$503,_calc!$E$499)))=0,"",IF(LEN(INDEX('Our policies'!$S$4:$S$503,_calc!$E$499))=0,"",INDEX('Our policies'!$S$4:$S$503,_calc!$E$499)))),TRIM(IF(LEN(IF(LEN(INDEX('Vendor COIs'!$C$4:$C$503,(_calc!$E$499-500)))=0,"",INDEX('Vendor COIs'!$C$4:$C$503,(_calc!$E$499-500))))=0,"","Insurer: "&amp;IF(LEN(INDEX('Vendor COIs'!$C$4:$C$503,(_calc!$E$499-500)))=0,"",INDEX('Vendor COIs'!$C$4:$C$503,(_calc!$E$499-500)))&amp;". ")&amp;IF(LEN(IF(LEN(INDEX('Vendor COIs'!$D$4:$D$503,(_calc!$E$499-500)))=0,"",INDEX('Vendor COIs'!$D$4:$D$503,(_calc!$E$499-500))))=0,"","Policy no.: "&amp;IF(LEN(INDEX('Vendor COIs'!$D$4:$D$503,(_calc!$E$499-500)))=0,"",INDEX('Vendor COIs'!$D$4:$D$503,(_calc!$E$499-500)))&amp;". ")&amp;IF(LEN(IF(LEN(INDEX('Vendor COIs'!$F$4:$F$503,(_calc!$E$499-500)))=0,"",INDEX('Vendor COIs'!$F$4:$F$503,(_calc!$E$499-500))))=0,"","Meets minimum: "&amp;IF(LEN(INDEX('Vendor COIs'!$F$4:$F$503,(_calc!$E$499-500)))=0,"",INDEX('Vendor COIs'!$F$4:$F$503,(_calc!$E$499-500)))&amp;". ")&amp;IF(LEN(IF(LEN(INDEX('Vendor COIs'!$G$4:$G$503,(_calc!$E$499-500)))=0,"",INDEX('Vendor COIs'!$G$4:$G$503,(_calc!$E$499-500))))=0,"","Additional insured: "&amp;IF(LEN(INDEX('Vendor COIs'!$G$4:$G$503,(_calc!$E$499-500)))=0,"",INDEX('Vendor COIs'!$G$4:$G$503,(_calc!$E$499-500)))&amp;". ")&amp;IF(LEN(IF(LEN(INDEX('Vendor COIs'!$M$4:$M$503,(_calc!$E$499-500)))=0,"",INDEX('Vendor COIs'!$M$4:$M$503,(_calc!$E$499-500))))=0,"","Vendor contact: "&amp;IF(LEN(INDEX('Vendor COIs'!$M$4:$M$503,(_calc!$E$499-500)))=0,"",INDEX('Vendor COIs'!$M$4:$M$503,(_calc!$E$499-500)))&amp;". ")&amp;IF(LEN(IF(LEN(INDEX('Vendor COIs'!$P$4:$P$503,(_calc!$E$499-500)))=0,"",INDEX('Vendor COIs'!$P$4:$P$503,(_calc!$E$499-500))))=0,"",IF(LEN(INDEX('Vendor COIs'!$P$4:$P$503,(_calc!$E$499-500)))=0,"",INDEX('Vendor COIs'!$P$4:$P$503,(_calc!$E$499-500)))))))</f>
        <v/>
      </c>
      <c r="G497" s="46">
        <f>IF(_calc!$E$499="","",IF(_calc!$E$499&lt;=500,IF(LEN(INDEX('Our policies'!$R$4:$R$503,_calc!$E$499))=0,"",INDEX('Our policies'!$R$4:$R$503,_calc!$E$499)),IF(LEN(INDEX('Vendor COIs'!$O$4:$O$503,(_calc!$E$499-500)))=0,"",INDEX('Vendor COIs'!$O$4:$O$503,(_calc!$E$499-500)))))</f>
        <v/>
      </c>
      <c r="H497" s="46">
        <f>IF(_calc!$E$499="","",IF(_calc!$E$499&lt;=500,IF(LEN(INDEX('Our policies'!$G$4:$G$503,_calc!$E$499))=0,"",INDEX('Our policies'!$G$4:$G$503,_calc!$E$499)),""))</f>
        <v/>
      </c>
      <c r="I497" s="46">
        <f>IF(_calc!$E$499="","",IF(_calc!$E$499&lt;=500,IF(LEN(INDEX('Our policies'!$H$4:$H$503,_calc!$E$499))=0,"",INDEX('Our policies'!$H$4:$H$503,_calc!$E$499)),""))</f>
        <v/>
      </c>
      <c r="K497" s="46">
        <f>IF(_calc!$E$499="","",IF(_calc!$E$499&lt;=500,IF(LEN(INDEX('Our policies'!$P$4:$P$503,_calc!$E$499))=0,"",INDEX('Our policies'!$P$4:$P$503,_calc!$E$499)),IF(LEN(INDEX('Vendor COIs'!$N$4:$N$503,(_calc!$E$499-500)))=0,"",INDEX('Vendor COIs'!$N$4:$N$503,(_calc!$E$499-500)))))</f>
        <v/>
      </c>
    </row>
    <row r="498">
      <c r="A498" s="46">
        <f>IF(_calc!$E$500="","",IF(_calc!$E$500&lt;=500,IF(LEN(INDEX('Our policies'!$A$4:$A$503,_calc!$E$500))=0,"",INDEX('Our policies'!$A$4:$A$503,_calc!$E$500)),"COI – "&amp;IF(LEN(INDEX('Vendor COIs'!$A$4:$A$503,(_calc!$E$500-500)))=0,"",INDEX('Vendor COIs'!$A$4:$A$503,(_calc!$E$500-500)))&amp;" – "&amp;IF(LEN(INDEX('Vendor COIs'!$B$4:$B$503,(_calc!$E$500-500)))=0,"",INDEX('Vendor COIs'!$B$4:$B$503,(_calc!$E$500-500)))))</f>
        <v/>
      </c>
      <c r="B498" s="46">
        <f>IF(_calc!$E$500="","",IF(_calc!$E$500&lt;=500,IF(ISNUMBER(INDEX('Our policies'!$J$4:$J$503,_calc!$E$500)),TEXT(INDEX('Our policies'!$J$4:$J$503,_calc!$E$500),"yyyy-mm-dd"),""),IF(ISNUMBER(INDEX('Vendor COIs'!$H$4:$H$503,(_calc!$E$500-500))),TEXT(INDEX('Vendor COIs'!$H$4:$H$503,(_calc!$E$500-500)),"yyyy-mm-dd"),"")))</f>
        <v/>
      </c>
      <c r="C498" s="46">
        <f>IF(_calc!$E$500="","",IF(_calc!$E$500&lt;=500,"Insurance","Certificate of insurance"))</f>
        <v/>
      </c>
      <c r="D498" s="46">
        <f>IF(_calc!$E$500="","",IF(_calc!$E$500&lt;=500,IF(ISNUMBER(INDEX('Our policies'!$I$4:$I$503,_calc!$E$500)),TEXT(INDEX('Our policies'!$I$4:$I$503,_calc!$E$500),"yyyy-mm-dd"),""),""))</f>
        <v/>
      </c>
      <c r="E498" s="46">
        <f>IF(_calc!$E$500="","",IF(_calc!$E$500&lt;=500,IF(LEN(INDEX('Our policies'!$Q$4:$Q$503,_calc!$E$500))=0,"",INDEX('Our policies'!$Q$4:$Q$503,_calc!$E$500)),"Medium"))</f>
        <v/>
      </c>
      <c r="F498" s="46">
        <f>IF(_calc!$E$500="","",IF(_calc!$E$500&lt;=500,TRIM(IF(LEN(IF(LEN(INDEX('Our policies'!$B$4:$B$503,_calc!$E$500))=0,"",INDEX('Our policies'!$B$4:$B$503,_calc!$E$500)))=0,"","Cover: "&amp;IF(LEN(INDEX('Our policies'!$B$4:$B$503,_calc!$E$500))=0,"",INDEX('Our policies'!$B$4:$B$503,_calc!$E$500))&amp;". ")&amp;IF(LEN(IF(LEN(INDEX('Our policies'!$C$4:$C$503,_calc!$E$500))=0,"",INDEX('Our policies'!$C$4:$C$503,_calc!$E$500)))=0,"","Insurer: "&amp;IF(LEN(INDEX('Our policies'!$C$4:$C$503,_calc!$E$500))=0,"",INDEX('Our policies'!$C$4:$C$503,_calc!$E$500))&amp;". ")&amp;IF(LEN(IF(LEN(INDEX('Our policies'!$D$4:$D$503,_calc!$E$500))=0,"",INDEX('Our policies'!$D$4:$D$503,_calc!$E$500)))=0,"","Broker: "&amp;IF(LEN(INDEX('Our policies'!$D$4:$D$503,_calc!$E$500))=0,"",INDEX('Our policies'!$D$4:$D$503,_calc!$E$500))&amp;". ")&amp;IF(LEN(IF(LEN(INDEX('Our policies'!$E$4:$E$503,_calc!$E$500))=0,"",INDEX('Our policies'!$E$4:$E$503,_calc!$E$500)))=0,"","Policy no.: "&amp;IF(LEN(INDEX('Our policies'!$E$4:$E$503,_calc!$E$500))=0,"",INDEX('Our policies'!$E$4:$E$503,_calc!$E$500))&amp;". ")&amp;IF(LEN(IF(LEN(INDEX('Our policies'!$S$4:$S$503,_calc!$E$500))=0,"",INDEX('Our policies'!$S$4:$S$503,_calc!$E$500)))=0,"",IF(LEN(INDEX('Our policies'!$S$4:$S$503,_calc!$E$500))=0,"",INDEX('Our policies'!$S$4:$S$503,_calc!$E$500)))),TRIM(IF(LEN(IF(LEN(INDEX('Vendor COIs'!$C$4:$C$503,(_calc!$E$500-500)))=0,"",INDEX('Vendor COIs'!$C$4:$C$503,(_calc!$E$500-500))))=0,"","Insurer: "&amp;IF(LEN(INDEX('Vendor COIs'!$C$4:$C$503,(_calc!$E$500-500)))=0,"",INDEX('Vendor COIs'!$C$4:$C$503,(_calc!$E$500-500)))&amp;". ")&amp;IF(LEN(IF(LEN(INDEX('Vendor COIs'!$D$4:$D$503,(_calc!$E$500-500)))=0,"",INDEX('Vendor COIs'!$D$4:$D$503,(_calc!$E$500-500))))=0,"","Policy no.: "&amp;IF(LEN(INDEX('Vendor COIs'!$D$4:$D$503,(_calc!$E$500-500)))=0,"",INDEX('Vendor COIs'!$D$4:$D$503,(_calc!$E$500-500)))&amp;". ")&amp;IF(LEN(IF(LEN(INDEX('Vendor COIs'!$F$4:$F$503,(_calc!$E$500-500)))=0,"",INDEX('Vendor COIs'!$F$4:$F$503,(_calc!$E$500-500))))=0,"","Meets minimum: "&amp;IF(LEN(INDEX('Vendor COIs'!$F$4:$F$503,(_calc!$E$500-500)))=0,"",INDEX('Vendor COIs'!$F$4:$F$503,(_calc!$E$500-500)))&amp;". ")&amp;IF(LEN(IF(LEN(INDEX('Vendor COIs'!$G$4:$G$503,(_calc!$E$500-500)))=0,"",INDEX('Vendor COIs'!$G$4:$G$503,(_calc!$E$500-500))))=0,"","Additional insured: "&amp;IF(LEN(INDEX('Vendor COIs'!$G$4:$G$503,(_calc!$E$500-500)))=0,"",INDEX('Vendor COIs'!$G$4:$G$503,(_calc!$E$500-500)))&amp;". ")&amp;IF(LEN(IF(LEN(INDEX('Vendor COIs'!$M$4:$M$503,(_calc!$E$500-500)))=0,"",INDEX('Vendor COIs'!$M$4:$M$503,(_calc!$E$500-500))))=0,"","Vendor contact: "&amp;IF(LEN(INDEX('Vendor COIs'!$M$4:$M$503,(_calc!$E$500-500)))=0,"",INDEX('Vendor COIs'!$M$4:$M$503,(_calc!$E$500-500)))&amp;". ")&amp;IF(LEN(IF(LEN(INDEX('Vendor COIs'!$P$4:$P$503,(_calc!$E$500-500)))=0,"",INDEX('Vendor COIs'!$P$4:$P$503,(_calc!$E$500-500))))=0,"",IF(LEN(INDEX('Vendor COIs'!$P$4:$P$503,(_calc!$E$500-500)))=0,"",INDEX('Vendor COIs'!$P$4:$P$503,(_calc!$E$500-500)))))))</f>
        <v/>
      </c>
      <c r="G498" s="46">
        <f>IF(_calc!$E$500="","",IF(_calc!$E$500&lt;=500,IF(LEN(INDEX('Our policies'!$R$4:$R$503,_calc!$E$500))=0,"",INDEX('Our policies'!$R$4:$R$503,_calc!$E$500)),IF(LEN(INDEX('Vendor COIs'!$O$4:$O$503,(_calc!$E$500-500)))=0,"",INDEX('Vendor COIs'!$O$4:$O$503,(_calc!$E$500-500)))))</f>
        <v/>
      </c>
      <c r="H498" s="46">
        <f>IF(_calc!$E$500="","",IF(_calc!$E$500&lt;=500,IF(LEN(INDEX('Our policies'!$G$4:$G$503,_calc!$E$500))=0,"",INDEX('Our policies'!$G$4:$G$503,_calc!$E$500)),""))</f>
        <v/>
      </c>
      <c r="I498" s="46">
        <f>IF(_calc!$E$500="","",IF(_calc!$E$500&lt;=500,IF(LEN(INDEX('Our policies'!$H$4:$H$503,_calc!$E$500))=0,"",INDEX('Our policies'!$H$4:$H$503,_calc!$E$500)),""))</f>
        <v/>
      </c>
      <c r="K498" s="46">
        <f>IF(_calc!$E$500="","",IF(_calc!$E$500&lt;=500,IF(LEN(INDEX('Our policies'!$P$4:$P$503,_calc!$E$500))=0,"",INDEX('Our policies'!$P$4:$P$503,_calc!$E$500)),IF(LEN(INDEX('Vendor COIs'!$N$4:$N$503,(_calc!$E$500-500)))=0,"",INDEX('Vendor COIs'!$N$4:$N$503,(_calc!$E$500-500)))))</f>
        <v/>
      </c>
    </row>
    <row r="499">
      <c r="A499" s="46">
        <f>IF(_calc!$E$501="","",IF(_calc!$E$501&lt;=500,IF(LEN(INDEX('Our policies'!$A$4:$A$503,_calc!$E$501))=0,"",INDEX('Our policies'!$A$4:$A$503,_calc!$E$501)),"COI – "&amp;IF(LEN(INDEX('Vendor COIs'!$A$4:$A$503,(_calc!$E$501-500)))=0,"",INDEX('Vendor COIs'!$A$4:$A$503,(_calc!$E$501-500)))&amp;" – "&amp;IF(LEN(INDEX('Vendor COIs'!$B$4:$B$503,(_calc!$E$501-500)))=0,"",INDEX('Vendor COIs'!$B$4:$B$503,(_calc!$E$501-500)))))</f>
        <v/>
      </c>
      <c r="B499" s="46">
        <f>IF(_calc!$E$501="","",IF(_calc!$E$501&lt;=500,IF(ISNUMBER(INDEX('Our policies'!$J$4:$J$503,_calc!$E$501)),TEXT(INDEX('Our policies'!$J$4:$J$503,_calc!$E$501),"yyyy-mm-dd"),""),IF(ISNUMBER(INDEX('Vendor COIs'!$H$4:$H$503,(_calc!$E$501-500))),TEXT(INDEX('Vendor COIs'!$H$4:$H$503,(_calc!$E$501-500)),"yyyy-mm-dd"),"")))</f>
        <v/>
      </c>
      <c r="C499" s="46">
        <f>IF(_calc!$E$501="","",IF(_calc!$E$501&lt;=500,"Insurance","Certificate of insurance"))</f>
        <v/>
      </c>
      <c r="D499" s="46">
        <f>IF(_calc!$E$501="","",IF(_calc!$E$501&lt;=500,IF(ISNUMBER(INDEX('Our policies'!$I$4:$I$503,_calc!$E$501)),TEXT(INDEX('Our policies'!$I$4:$I$503,_calc!$E$501),"yyyy-mm-dd"),""),""))</f>
        <v/>
      </c>
      <c r="E499" s="46">
        <f>IF(_calc!$E$501="","",IF(_calc!$E$501&lt;=500,IF(LEN(INDEX('Our policies'!$Q$4:$Q$503,_calc!$E$501))=0,"",INDEX('Our policies'!$Q$4:$Q$503,_calc!$E$501)),"Medium"))</f>
        <v/>
      </c>
      <c r="F499" s="46">
        <f>IF(_calc!$E$501="","",IF(_calc!$E$501&lt;=500,TRIM(IF(LEN(IF(LEN(INDEX('Our policies'!$B$4:$B$503,_calc!$E$501))=0,"",INDEX('Our policies'!$B$4:$B$503,_calc!$E$501)))=0,"","Cover: "&amp;IF(LEN(INDEX('Our policies'!$B$4:$B$503,_calc!$E$501))=0,"",INDEX('Our policies'!$B$4:$B$503,_calc!$E$501))&amp;". ")&amp;IF(LEN(IF(LEN(INDEX('Our policies'!$C$4:$C$503,_calc!$E$501))=0,"",INDEX('Our policies'!$C$4:$C$503,_calc!$E$501)))=0,"","Insurer: "&amp;IF(LEN(INDEX('Our policies'!$C$4:$C$503,_calc!$E$501))=0,"",INDEX('Our policies'!$C$4:$C$503,_calc!$E$501))&amp;". ")&amp;IF(LEN(IF(LEN(INDEX('Our policies'!$D$4:$D$503,_calc!$E$501))=0,"",INDEX('Our policies'!$D$4:$D$503,_calc!$E$501)))=0,"","Broker: "&amp;IF(LEN(INDEX('Our policies'!$D$4:$D$503,_calc!$E$501))=0,"",INDEX('Our policies'!$D$4:$D$503,_calc!$E$501))&amp;". ")&amp;IF(LEN(IF(LEN(INDEX('Our policies'!$E$4:$E$503,_calc!$E$501))=0,"",INDEX('Our policies'!$E$4:$E$503,_calc!$E$501)))=0,"","Policy no.: "&amp;IF(LEN(INDEX('Our policies'!$E$4:$E$503,_calc!$E$501))=0,"",INDEX('Our policies'!$E$4:$E$503,_calc!$E$501))&amp;". ")&amp;IF(LEN(IF(LEN(INDEX('Our policies'!$S$4:$S$503,_calc!$E$501))=0,"",INDEX('Our policies'!$S$4:$S$503,_calc!$E$501)))=0,"",IF(LEN(INDEX('Our policies'!$S$4:$S$503,_calc!$E$501))=0,"",INDEX('Our policies'!$S$4:$S$503,_calc!$E$501)))),TRIM(IF(LEN(IF(LEN(INDEX('Vendor COIs'!$C$4:$C$503,(_calc!$E$501-500)))=0,"",INDEX('Vendor COIs'!$C$4:$C$503,(_calc!$E$501-500))))=0,"","Insurer: "&amp;IF(LEN(INDEX('Vendor COIs'!$C$4:$C$503,(_calc!$E$501-500)))=0,"",INDEX('Vendor COIs'!$C$4:$C$503,(_calc!$E$501-500)))&amp;". ")&amp;IF(LEN(IF(LEN(INDEX('Vendor COIs'!$D$4:$D$503,(_calc!$E$501-500)))=0,"",INDEX('Vendor COIs'!$D$4:$D$503,(_calc!$E$501-500))))=0,"","Policy no.: "&amp;IF(LEN(INDEX('Vendor COIs'!$D$4:$D$503,(_calc!$E$501-500)))=0,"",INDEX('Vendor COIs'!$D$4:$D$503,(_calc!$E$501-500)))&amp;". ")&amp;IF(LEN(IF(LEN(INDEX('Vendor COIs'!$F$4:$F$503,(_calc!$E$501-500)))=0,"",INDEX('Vendor COIs'!$F$4:$F$503,(_calc!$E$501-500))))=0,"","Meets minimum: "&amp;IF(LEN(INDEX('Vendor COIs'!$F$4:$F$503,(_calc!$E$501-500)))=0,"",INDEX('Vendor COIs'!$F$4:$F$503,(_calc!$E$501-500)))&amp;". ")&amp;IF(LEN(IF(LEN(INDEX('Vendor COIs'!$G$4:$G$503,(_calc!$E$501-500)))=0,"",INDEX('Vendor COIs'!$G$4:$G$503,(_calc!$E$501-500))))=0,"","Additional insured: "&amp;IF(LEN(INDEX('Vendor COIs'!$G$4:$G$503,(_calc!$E$501-500)))=0,"",INDEX('Vendor COIs'!$G$4:$G$503,(_calc!$E$501-500)))&amp;". ")&amp;IF(LEN(IF(LEN(INDEX('Vendor COIs'!$M$4:$M$503,(_calc!$E$501-500)))=0,"",INDEX('Vendor COIs'!$M$4:$M$503,(_calc!$E$501-500))))=0,"","Vendor contact: "&amp;IF(LEN(INDEX('Vendor COIs'!$M$4:$M$503,(_calc!$E$501-500)))=0,"",INDEX('Vendor COIs'!$M$4:$M$503,(_calc!$E$501-500)))&amp;". ")&amp;IF(LEN(IF(LEN(INDEX('Vendor COIs'!$P$4:$P$503,(_calc!$E$501-500)))=0,"",INDEX('Vendor COIs'!$P$4:$P$503,(_calc!$E$501-500))))=0,"",IF(LEN(INDEX('Vendor COIs'!$P$4:$P$503,(_calc!$E$501-500)))=0,"",INDEX('Vendor COIs'!$P$4:$P$503,(_calc!$E$501-500)))))))</f>
        <v/>
      </c>
      <c r="G499" s="46">
        <f>IF(_calc!$E$501="","",IF(_calc!$E$501&lt;=500,IF(LEN(INDEX('Our policies'!$R$4:$R$503,_calc!$E$501))=0,"",INDEX('Our policies'!$R$4:$R$503,_calc!$E$501)),IF(LEN(INDEX('Vendor COIs'!$O$4:$O$503,(_calc!$E$501-500)))=0,"",INDEX('Vendor COIs'!$O$4:$O$503,(_calc!$E$501-500)))))</f>
        <v/>
      </c>
      <c r="H499" s="46">
        <f>IF(_calc!$E$501="","",IF(_calc!$E$501&lt;=500,IF(LEN(INDEX('Our policies'!$G$4:$G$503,_calc!$E$501))=0,"",INDEX('Our policies'!$G$4:$G$503,_calc!$E$501)),""))</f>
        <v/>
      </c>
      <c r="I499" s="46">
        <f>IF(_calc!$E$501="","",IF(_calc!$E$501&lt;=500,IF(LEN(INDEX('Our policies'!$H$4:$H$503,_calc!$E$501))=0,"",INDEX('Our policies'!$H$4:$H$503,_calc!$E$501)),""))</f>
        <v/>
      </c>
      <c r="K499" s="46">
        <f>IF(_calc!$E$501="","",IF(_calc!$E$501&lt;=500,IF(LEN(INDEX('Our policies'!$P$4:$P$503,_calc!$E$501))=0,"",INDEX('Our policies'!$P$4:$P$503,_calc!$E$501)),IF(LEN(INDEX('Vendor COIs'!$N$4:$N$503,(_calc!$E$501-500)))=0,"",INDEX('Vendor COIs'!$N$4:$N$503,(_calc!$E$501-500)))))</f>
        <v/>
      </c>
    </row>
    <row r="500">
      <c r="A500" s="46">
        <f>IF(_calc!$E$502="","",IF(_calc!$E$502&lt;=500,IF(LEN(INDEX('Our policies'!$A$4:$A$503,_calc!$E$502))=0,"",INDEX('Our policies'!$A$4:$A$503,_calc!$E$502)),"COI – "&amp;IF(LEN(INDEX('Vendor COIs'!$A$4:$A$503,(_calc!$E$502-500)))=0,"",INDEX('Vendor COIs'!$A$4:$A$503,(_calc!$E$502-500)))&amp;" – "&amp;IF(LEN(INDEX('Vendor COIs'!$B$4:$B$503,(_calc!$E$502-500)))=0,"",INDEX('Vendor COIs'!$B$4:$B$503,(_calc!$E$502-500)))))</f>
        <v/>
      </c>
      <c r="B500" s="46">
        <f>IF(_calc!$E$502="","",IF(_calc!$E$502&lt;=500,IF(ISNUMBER(INDEX('Our policies'!$J$4:$J$503,_calc!$E$502)),TEXT(INDEX('Our policies'!$J$4:$J$503,_calc!$E$502),"yyyy-mm-dd"),""),IF(ISNUMBER(INDEX('Vendor COIs'!$H$4:$H$503,(_calc!$E$502-500))),TEXT(INDEX('Vendor COIs'!$H$4:$H$503,(_calc!$E$502-500)),"yyyy-mm-dd"),"")))</f>
        <v/>
      </c>
      <c r="C500" s="46">
        <f>IF(_calc!$E$502="","",IF(_calc!$E$502&lt;=500,"Insurance","Certificate of insurance"))</f>
        <v/>
      </c>
      <c r="D500" s="46">
        <f>IF(_calc!$E$502="","",IF(_calc!$E$502&lt;=500,IF(ISNUMBER(INDEX('Our policies'!$I$4:$I$503,_calc!$E$502)),TEXT(INDEX('Our policies'!$I$4:$I$503,_calc!$E$502),"yyyy-mm-dd"),""),""))</f>
        <v/>
      </c>
      <c r="E500" s="46">
        <f>IF(_calc!$E$502="","",IF(_calc!$E$502&lt;=500,IF(LEN(INDEX('Our policies'!$Q$4:$Q$503,_calc!$E$502))=0,"",INDEX('Our policies'!$Q$4:$Q$503,_calc!$E$502)),"Medium"))</f>
        <v/>
      </c>
      <c r="F500" s="46">
        <f>IF(_calc!$E$502="","",IF(_calc!$E$502&lt;=500,TRIM(IF(LEN(IF(LEN(INDEX('Our policies'!$B$4:$B$503,_calc!$E$502))=0,"",INDEX('Our policies'!$B$4:$B$503,_calc!$E$502)))=0,"","Cover: "&amp;IF(LEN(INDEX('Our policies'!$B$4:$B$503,_calc!$E$502))=0,"",INDEX('Our policies'!$B$4:$B$503,_calc!$E$502))&amp;". ")&amp;IF(LEN(IF(LEN(INDEX('Our policies'!$C$4:$C$503,_calc!$E$502))=0,"",INDEX('Our policies'!$C$4:$C$503,_calc!$E$502)))=0,"","Insurer: "&amp;IF(LEN(INDEX('Our policies'!$C$4:$C$503,_calc!$E$502))=0,"",INDEX('Our policies'!$C$4:$C$503,_calc!$E$502))&amp;". ")&amp;IF(LEN(IF(LEN(INDEX('Our policies'!$D$4:$D$503,_calc!$E$502))=0,"",INDEX('Our policies'!$D$4:$D$503,_calc!$E$502)))=0,"","Broker: "&amp;IF(LEN(INDEX('Our policies'!$D$4:$D$503,_calc!$E$502))=0,"",INDEX('Our policies'!$D$4:$D$503,_calc!$E$502))&amp;". ")&amp;IF(LEN(IF(LEN(INDEX('Our policies'!$E$4:$E$503,_calc!$E$502))=0,"",INDEX('Our policies'!$E$4:$E$503,_calc!$E$502)))=0,"","Policy no.: "&amp;IF(LEN(INDEX('Our policies'!$E$4:$E$503,_calc!$E$502))=0,"",INDEX('Our policies'!$E$4:$E$503,_calc!$E$502))&amp;". ")&amp;IF(LEN(IF(LEN(INDEX('Our policies'!$S$4:$S$503,_calc!$E$502))=0,"",INDEX('Our policies'!$S$4:$S$503,_calc!$E$502)))=0,"",IF(LEN(INDEX('Our policies'!$S$4:$S$503,_calc!$E$502))=0,"",INDEX('Our policies'!$S$4:$S$503,_calc!$E$502)))),TRIM(IF(LEN(IF(LEN(INDEX('Vendor COIs'!$C$4:$C$503,(_calc!$E$502-500)))=0,"",INDEX('Vendor COIs'!$C$4:$C$503,(_calc!$E$502-500))))=0,"","Insurer: "&amp;IF(LEN(INDEX('Vendor COIs'!$C$4:$C$503,(_calc!$E$502-500)))=0,"",INDEX('Vendor COIs'!$C$4:$C$503,(_calc!$E$502-500)))&amp;". ")&amp;IF(LEN(IF(LEN(INDEX('Vendor COIs'!$D$4:$D$503,(_calc!$E$502-500)))=0,"",INDEX('Vendor COIs'!$D$4:$D$503,(_calc!$E$502-500))))=0,"","Policy no.: "&amp;IF(LEN(INDEX('Vendor COIs'!$D$4:$D$503,(_calc!$E$502-500)))=0,"",INDEX('Vendor COIs'!$D$4:$D$503,(_calc!$E$502-500)))&amp;". ")&amp;IF(LEN(IF(LEN(INDEX('Vendor COIs'!$F$4:$F$503,(_calc!$E$502-500)))=0,"",INDEX('Vendor COIs'!$F$4:$F$503,(_calc!$E$502-500))))=0,"","Meets minimum: "&amp;IF(LEN(INDEX('Vendor COIs'!$F$4:$F$503,(_calc!$E$502-500)))=0,"",INDEX('Vendor COIs'!$F$4:$F$503,(_calc!$E$502-500)))&amp;". ")&amp;IF(LEN(IF(LEN(INDEX('Vendor COIs'!$G$4:$G$503,(_calc!$E$502-500)))=0,"",INDEX('Vendor COIs'!$G$4:$G$503,(_calc!$E$502-500))))=0,"","Additional insured: "&amp;IF(LEN(INDEX('Vendor COIs'!$G$4:$G$503,(_calc!$E$502-500)))=0,"",INDEX('Vendor COIs'!$G$4:$G$503,(_calc!$E$502-500)))&amp;". ")&amp;IF(LEN(IF(LEN(INDEX('Vendor COIs'!$M$4:$M$503,(_calc!$E$502-500)))=0,"",INDEX('Vendor COIs'!$M$4:$M$503,(_calc!$E$502-500))))=0,"","Vendor contact: "&amp;IF(LEN(INDEX('Vendor COIs'!$M$4:$M$503,(_calc!$E$502-500)))=0,"",INDEX('Vendor COIs'!$M$4:$M$503,(_calc!$E$502-500)))&amp;". ")&amp;IF(LEN(IF(LEN(INDEX('Vendor COIs'!$P$4:$P$503,(_calc!$E$502-500)))=0,"",INDEX('Vendor COIs'!$P$4:$P$503,(_calc!$E$502-500))))=0,"",IF(LEN(INDEX('Vendor COIs'!$P$4:$P$503,(_calc!$E$502-500)))=0,"",INDEX('Vendor COIs'!$P$4:$P$503,(_calc!$E$502-500)))))))</f>
        <v/>
      </c>
      <c r="G500" s="46">
        <f>IF(_calc!$E$502="","",IF(_calc!$E$502&lt;=500,IF(LEN(INDEX('Our policies'!$R$4:$R$503,_calc!$E$502))=0,"",INDEX('Our policies'!$R$4:$R$503,_calc!$E$502)),IF(LEN(INDEX('Vendor COIs'!$O$4:$O$503,(_calc!$E$502-500)))=0,"",INDEX('Vendor COIs'!$O$4:$O$503,(_calc!$E$502-500)))))</f>
        <v/>
      </c>
      <c r="H500" s="46">
        <f>IF(_calc!$E$502="","",IF(_calc!$E$502&lt;=500,IF(LEN(INDEX('Our policies'!$G$4:$G$503,_calc!$E$502))=0,"",INDEX('Our policies'!$G$4:$G$503,_calc!$E$502)),""))</f>
        <v/>
      </c>
      <c r="I500" s="46">
        <f>IF(_calc!$E$502="","",IF(_calc!$E$502&lt;=500,IF(LEN(INDEX('Our policies'!$H$4:$H$503,_calc!$E$502))=0,"",INDEX('Our policies'!$H$4:$H$503,_calc!$E$502)),""))</f>
        <v/>
      </c>
      <c r="K500" s="46">
        <f>IF(_calc!$E$502="","",IF(_calc!$E$502&lt;=500,IF(LEN(INDEX('Our policies'!$P$4:$P$503,_calc!$E$502))=0,"",INDEX('Our policies'!$P$4:$P$503,_calc!$E$502)),IF(LEN(INDEX('Vendor COIs'!$N$4:$N$503,(_calc!$E$502-500)))=0,"",INDEX('Vendor COIs'!$N$4:$N$503,(_calc!$E$502-500)))))</f>
        <v/>
      </c>
    </row>
    <row r="501">
      <c r="A501" s="46">
        <f>IF(_calc!$E$503="","",IF(_calc!$E$503&lt;=500,IF(LEN(INDEX('Our policies'!$A$4:$A$503,_calc!$E$503))=0,"",INDEX('Our policies'!$A$4:$A$503,_calc!$E$503)),"COI – "&amp;IF(LEN(INDEX('Vendor COIs'!$A$4:$A$503,(_calc!$E$503-500)))=0,"",INDEX('Vendor COIs'!$A$4:$A$503,(_calc!$E$503-500)))&amp;" – "&amp;IF(LEN(INDEX('Vendor COIs'!$B$4:$B$503,(_calc!$E$503-500)))=0,"",INDEX('Vendor COIs'!$B$4:$B$503,(_calc!$E$503-500)))))</f>
        <v/>
      </c>
      <c r="B501" s="46">
        <f>IF(_calc!$E$503="","",IF(_calc!$E$503&lt;=500,IF(ISNUMBER(INDEX('Our policies'!$J$4:$J$503,_calc!$E$503)),TEXT(INDEX('Our policies'!$J$4:$J$503,_calc!$E$503),"yyyy-mm-dd"),""),IF(ISNUMBER(INDEX('Vendor COIs'!$H$4:$H$503,(_calc!$E$503-500))),TEXT(INDEX('Vendor COIs'!$H$4:$H$503,(_calc!$E$503-500)),"yyyy-mm-dd"),"")))</f>
        <v/>
      </c>
      <c r="C501" s="46">
        <f>IF(_calc!$E$503="","",IF(_calc!$E$503&lt;=500,"Insurance","Certificate of insurance"))</f>
        <v/>
      </c>
      <c r="D501" s="46">
        <f>IF(_calc!$E$503="","",IF(_calc!$E$503&lt;=500,IF(ISNUMBER(INDEX('Our policies'!$I$4:$I$503,_calc!$E$503)),TEXT(INDEX('Our policies'!$I$4:$I$503,_calc!$E$503),"yyyy-mm-dd"),""),""))</f>
        <v/>
      </c>
      <c r="E501" s="46">
        <f>IF(_calc!$E$503="","",IF(_calc!$E$503&lt;=500,IF(LEN(INDEX('Our policies'!$Q$4:$Q$503,_calc!$E$503))=0,"",INDEX('Our policies'!$Q$4:$Q$503,_calc!$E$503)),"Medium"))</f>
        <v/>
      </c>
      <c r="F501" s="46">
        <f>IF(_calc!$E$503="","",IF(_calc!$E$503&lt;=500,TRIM(IF(LEN(IF(LEN(INDEX('Our policies'!$B$4:$B$503,_calc!$E$503))=0,"",INDEX('Our policies'!$B$4:$B$503,_calc!$E$503)))=0,"","Cover: "&amp;IF(LEN(INDEX('Our policies'!$B$4:$B$503,_calc!$E$503))=0,"",INDEX('Our policies'!$B$4:$B$503,_calc!$E$503))&amp;". ")&amp;IF(LEN(IF(LEN(INDEX('Our policies'!$C$4:$C$503,_calc!$E$503))=0,"",INDEX('Our policies'!$C$4:$C$503,_calc!$E$503)))=0,"","Insurer: "&amp;IF(LEN(INDEX('Our policies'!$C$4:$C$503,_calc!$E$503))=0,"",INDEX('Our policies'!$C$4:$C$503,_calc!$E$503))&amp;". ")&amp;IF(LEN(IF(LEN(INDEX('Our policies'!$D$4:$D$503,_calc!$E$503))=0,"",INDEX('Our policies'!$D$4:$D$503,_calc!$E$503)))=0,"","Broker: "&amp;IF(LEN(INDEX('Our policies'!$D$4:$D$503,_calc!$E$503))=0,"",INDEX('Our policies'!$D$4:$D$503,_calc!$E$503))&amp;". ")&amp;IF(LEN(IF(LEN(INDEX('Our policies'!$E$4:$E$503,_calc!$E$503))=0,"",INDEX('Our policies'!$E$4:$E$503,_calc!$E$503)))=0,"","Policy no.: "&amp;IF(LEN(INDEX('Our policies'!$E$4:$E$503,_calc!$E$503))=0,"",INDEX('Our policies'!$E$4:$E$503,_calc!$E$503))&amp;". ")&amp;IF(LEN(IF(LEN(INDEX('Our policies'!$S$4:$S$503,_calc!$E$503))=0,"",INDEX('Our policies'!$S$4:$S$503,_calc!$E$503)))=0,"",IF(LEN(INDEX('Our policies'!$S$4:$S$503,_calc!$E$503))=0,"",INDEX('Our policies'!$S$4:$S$503,_calc!$E$503)))),TRIM(IF(LEN(IF(LEN(INDEX('Vendor COIs'!$C$4:$C$503,(_calc!$E$503-500)))=0,"",INDEX('Vendor COIs'!$C$4:$C$503,(_calc!$E$503-500))))=0,"","Insurer: "&amp;IF(LEN(INDEX('Vendor COIs'!$C$4:$C$503,(_calc!$E$503-500)))=0,"",INDEX('Vendor COIs'!$C$4:$C$503,(_calc!$E$503-500)))&amp;". ")&amp;IF(LEN(IF(LEN(INDEX('Vendor COIs'!$D$4:$D$503,(_calc!$E$503-500)))=0,"",INDEX('Vendor COIs'!$D$4:$D$503,(_calc!$E$503-500))))=0,"","Policy no.: "&amp;IF(LEN(INDEX('Vendor COIs'!$D$4:$D$503,(_calc!$E$503-500)))=0,"",INDEX('Vendor COIs'!$D$4:$D$503,(_calc!$E$503-500)))&amp;". ")&amp;IF(LEN(IF(LEN(INDEX('Vendor COIs'!$F$4:$F$503,(_calc!$E$503-500)))=0,"",INDEX('Vendor COIs'!$F$4:$F$503,(_calc!$E$503-500))))=0,"","Meets minimum: "&amp;IF(LEN(INDEX('Vendor COIs'!$F$4:$F$503,(_calc!$E$503-500)))=0,"",INDEX('Vendor COIs'!$F$4:$F$503,(_calc!$E$503-500)))&amp;". ")&amp;IF(LEN(IF(LEN(INDEX('Vendor COIs'!$G$4:$G$503,(_calc!$E$503-500)))=0,"",INDEX('Vendor COIs'!$G$4:$G$503,(_calc!$E$503-500))))=0,"","Additional insured: "&amp;IF(LEN(INDEX('Vendor COIs'!$G$4:$G$503,(_calc!$E$503-500)))=0,"",INDEX('Vendor COIs'!$G$4:$G$503,(_calc!$E$503-500)))&amp;". ")&amp;IF(LEN(IF(LEN(INDEX('Vendor COIs'!$M$4:$M$503,(_calc!$E$503-500)))=0,"",INDEX('Vendor COIs'!$M$4:$M$503,(_calc!$E$503-500))))=0,"","Vendor contact: "&amp;IF(LEN(INDEX('Vendor COIs'!$M$4:$M$503,(_calc!$E$503-500)))=0,"",INDEX('Vendor COIs'!$M$4:$M$503,(_calc!$E$503-500)))&amp;". ")&amp;IF(LEN(IF(LEN(INDEX('Vendor COIs'!$P$4:$P$503,(_calc!$E$503-500)))=0,"",INDEX('Vendor COIs'!$P$4:$P$503,(_calc!$E$503-500))))=0,"",IF(LEN(INDEX('Vendor COIs'!$P$4:$P$503,(_calc!$E$503-500)))=0,"",INDEX('Vendor COIs'!$P$4:$P$503,(_calc!$E$503-500)))))))</f>
        <v/>
      </c>
      <c r="G501" s="46">
        <f>IF(_calc!$E$503="","",IF(_calc!$E$503&lt;=500,IF(LEN(INDEX('Our policies'!$R$4:$R$503,_calc!$E$503))=0,"",INDEX('Our policies'!$R$4:$R$503,_calc!$E$503)),IF(LEN(INDEX('Vendor COIs'!$O$4:$O$503,(_calc!$E$503-500)))=0,"",INDEX('Vendor COIs'!$O$4:$O$503,(_calc!$E$503-500)))))</f>
        <v/>
      </c>
      <c r="H501" s="46">
        <f>IF(_calc!$E$503="","",IF(_calc!$E$503&lt;=500,IF(LEN(INDEX('Our policies'!$G$4:$G$503,_calc!$E$503))=0,"",INDEX('Our policies'!$G$4:$G$503,_calc!$E$503)),""))</f>
        <v/>
      </c>
      <c r="I501" s="46">
        <f>IF(_calc!$E$503="","",IF(_calc!$E$503&lt;=500,IF(LEN(INDEX('Our policies'!$H$4:$H$503,_calc!$E$503))=0,"",INDEX('Our policies'!$H$4:$H$503,_calc!$E$503)),""))</f>
        <v/>
      </c>
      <c r="K501" s="46">
        <f>IF(_calc!$E$503="","",IF(_calc!$E$503&lt;=500,IF(LEN(INDEX('Our policies'!$P$4:$P$503,_calc!$E$503))=0,"",INDEX('Our policies'!$P$4:$P$503,_calc!$E$503)),IF(LEN(INDEX('Vendor COIs'!$N$4:$N$503,(_calc!$E$503-500)))=0,"",INDEX('Vendor COIs'!$N$4:$N$503,(_calc!$E$503-500)))))</f>
        <v/>
      </c>
    </row>
    <row r="502">
      <c r="A502" s="46">
        <f>IF(_calc!$E$504="","",IF(_calc!$E$504&lt;=500,IF(LEN(INDEX('Our policies'!$A$4:$A$503,_calc!$E$504))=0,"",INDEX('Our policies'!$A$4:$A$503,_calc!$E$504)),"COI – "&amp;IF(LEN(INDEX('Vendor COIs'!$A$4:$A$503,(_calc!$E$504-500)))=0,"",INDEX('Vendor COIs'!$A$4:$A$503,(_calc!$E$504-500)))&amp;" – "&amp;IF(LEN(INDEX('Vendor COIs'!$B$4:$B$503,(_calc!$E$504-500)))=0,"",INDEX('Vendor COIs'!$B$4:$B$503,(_calc!$E$504-500)))))</f>
        <v/>
      </c>
      <c r="B502" s="46">
        <f>IF(_calc!$E$504="","",IF(_calc!$E$504&lt;=500,IF(ISNUMBER(INDEX('Our policies'!$J$4:$J$503,_calc!$E$504)),TEXT(INDEX('Our policies'!$J$4:$J$503,_calc!$E$504),"yyyy-mm-dd"),""),IF(ISNUMBER(INDEX('Vendor COIs'!$H$4:$H$503,(_calc!$E$504-500))),TEXT(INDEX('Vendor COIs'!$H$4:$H$503,(_calc!$E$504-500)),"yyyy-mm-dd"),"")))</f>
        <v/>
      </c>
      <c r="C502" s="46">
        <f>IF(_calc!$E$504="","",IF(_calc!$E$504&lt;=500,"Insurance","Certificate of insurance"))</f>
        <v/>
      </c>
      <c r="D502" s="46">
        <f>IF(_calc!$E$504="","",IF(_calc!$E$504&lt;=500,IF(ISNUMBER(INDEX('Our policies'!$I$4:$I$503,_calc!$E$504)),TEXT(INDEX('Our policies'!$I$4:$I$503,_calc!$E$504),"yyyy-mm-dd"),""),""))</f>
        <v/>
      </c>
      <c r="E502" s="46">
        <f>IF(_calc!$E$504="","",IF(_calc!$E$504&lt;=500,IF(LEN(INDEX('Our policies'!$Q$4:$Q$503,_calc!$E$504))=0,"",INDEX('Our policies'!$Q$4:$Q$503,_calc!$E$504)),"Medium"))</f>
        <v/>
      </c>
      <c r="F502" s="46">
        <f>IF(_calc!$E$504="","",IF(_calc!$E$504&lt;=500,TRIM(IF(LEN(IF(LEN(INDEX('Our policies'!$B$4:$B$503,_calc!$E$504))=0,"",INDEX('Our policies'!$B$4:$B$503,_calc!$E$504)))=0,"","Cover: "&amp;IF(LEN(INDEX('Our policies'!$B$4:$B$503,_calc!$E$504))=0,"",INDEX('Our policies'!$B$4:$B$503,_calc!$E$504))&amp;". ")&amp;IF(LEN(IF(LEN(INDEX('Our policies'!$C$4:$C$503,_calc!$E$504))=0,"",INDEX('Our policies'!$C$4:$C$503,_calc!$E$504)))=0,"","Insurer: "&amp;IF(LEN(INDEX('Our policies'!$C$4:$C$503,_calc!$E$504))=0,"",INDEX('Our policies'!$C$4:$C$503,_calc!$E$504))&amp;". ")&amp;IF(LEN(IF(LEN(INDEX('Our policies'!$D$4:$D$503,_calc!$E$504))=0,"",INDEX('Our policies'!$D$4:$D$503,_calc!$E$504)))=0,"","Broker: "&amp;IF(LEN(INDEX('Our policies'!$D$4:$D$503,_calc!$E$504))=0,"",INDEX('Our policies'!$D$4:$D$503,_calc!$E$504))&amp;". ")&amp;IF(LEN(IF(LEN(INDEX('Our policies'!$E$4:$E$503,_calc!$E$504))=0,"",INDEX('Our policies'!$E$4:$E$503,_calc!$E$504)))=0,"","Policy no.: "&amp;IF(LEN(INDEX('Our policies'!$E$4:$E$503,_calc!$E$504))=0,"",INDEX('Our policies'!$E$4:$E$503,_calc!$E$504))&amp;". ")&amp;IF(LEN(IF(LEN(INDEX('Our policies'!$S$4:$S$503,_calc!$E$504))=0,"",INDEX('Our policies'!$S$4:$S$503,_calc!$E$504)))=0,"",IF(LEN(INDEX('Our policies'!$S$4:$S$503,_calc!$E$504))=0,"",INDEX('Our policies'!$S$4:$S$503,_calc!$E$504)))),TRIM(IF(LEN(IF(LEN(INDEX('Vendor COIs'!$C$4:$C$503,(_calc!$E$504-500)))=0,"",INDEX('Vendor COIs'!$C$4:$C$503,(_calc!$E$504-500))))=0,"","Insurer: "&amp;IF(LEN(INDEX('Vendor COIs'!$C$4:$C$503,(_calc!$E$504-500)))=0,"",INDEX('Vendor COIs'!$C$4:$C$503,(_calc!$E$504-500)))&amp;". ")&amp;IF(LEN(IF(LEN(INDEX('Vendor COIs'!$D$4:$D$503,(_calc!$E$504-500)))=0,"",INDEX('Vendor COIs'!$D$4:$D$503,(_calc!$E$504-500))))=0,"","Policy no.: "&amp;IF(LEN(INDEX('Vendor COIs'!$D$4:$D$503,(_calc!$E$504-500)))=0,"",INDEX('Vendor COIs'!$D$4:$D$503,(_calc!$E$504-500)))&amp;". ")&amp;IF(LEN(IF(LEN(INDEX('Vendor COIs'!$F$4:$F$503,(_calc!$E$504-500)))=0,"",INDEX('Vendor COIs'!$F$4:$F$503,(_calc!$E$504-500))))=0,"","Meets minimum: "&amp;IF(LEN(INDEX('Vendor COIs'!$F$4:$F$503,(_calc!$E$504-500)))=0,"",INDEX('Vendor COIs'!$F$4:$F$503,(_calc!$E$504-500)))&amp;". ")&amp;IF(LEN(IF(LEN(INDEX('Vendor COIs'!$G$4:$G$503,(_calc!$E$504-500)))=0,"",INDEX('Vendor COIs'!$G$4:$G$503,(_calc!$E$504-500))))=0,"","Additional insured: "&amp;IF(LEN(INDEX('Vendor COIs'!$G$4:$G$503,(_calc!$E$504-500)))=0,"",INDEX('Vendor COIs'!$G$4:$G$503,(_calc!$E$504-500)))&amp;". ")&amp;IF(LEN(IF(LEN(INDEX('Vendor COIs'!$M$4:$M$503,(_calc!$E$504-500)))=0,"",INDEX('Vendor COIs'!$M$4:$M$503,(_calc!$E$504-500))))=0,"","Vendor contact: "&amp;IF(LEN(INDEX('Vendor COIs'!$M$4:$M$503,(_calc!$E$504-500)))=0,"",INDEX('Vendor COIs'!$M$4:$M$503,(_calc!$E$504-500)))&amp;". ")&amp;IF(LEN(IF(LEN(INDEX('Vendor COIs'!$P$4:$P$503,(_calc!$E$504-500)))=0,"",INDEX('Vendor COIs'!$P$4:$P$503,(_calc!$E$504-500))))=0,"",IF(LEN(INDEX('Vendor COIs'!$P$4:$P$503,(_calc!$E$504-500)))=0,"",INDEX('Vendor COIs'!$P$4:$P$503,(_calc!$E$504-500)))))))</f>
        <v/>
      </c>
      <c r="G502" s="46">
        <f>IF(_calc!$E$504="","",IF(_calc!$E$504&lt;=500,IF(LEN(INDEX('Our policies'!$R$4:$R$503,_calc!$E$504))=0,"",INDEX('Our policies'!$R$4:$R$503,_calc!$E$504)),IF(LEN(INDEX('Vendor COIs'!$O$4:$O$503,(_calc!$E$504-500)))=0,"",INDEX('Vendor COIs'!$O$4:$O$503,(_calc!$E$504-500)))))</f>
        <v/>
      </c>
      <c r="H502" s="46">
        <f>IF(_calc!$E$504="","",IF(_calc!$E$504&lt;=500,IF(LEN(INDEX('Our policies'!$G$4:$G$503,_calc!$E$504))=0,"",INDEX('Our policies'!$G$4:$G$503,_calc!$E$504)),""))</f>
        <v/>
      </c>
      <c r="I502" s="46">
        <f>IF(_calc!$E$504="","",IF(_calc!$E$504&lt;=500,IF(LEN(INDEX('Our policies'!$H$4:$H$503,_calc!$E$504))=0,"",INDEX('Our policies'!$H$4:$H$503,_calc!$E$504)),""))</f>
        <v/>
      </c>
      <c r="K502" s="46">
        <f>IF(_calc!$E$504="","",IF(_calc!$E$504&lt;=500,IF(LEN(INDEX('Our policies'!$P$4:$P$503,_calc!$E$504))=0,"",INDEX('Our policies'!$P$4:$P$503,_calc!$E$504)),IF(LEN(INDEX('Vendor COIs'!$N$4:$N$503,(_calc!$E$504-500)))=0,"",INDEX('Vendor COIs'!$N$4:$N$503,(_calc!$E$504-500)))))</f>
        <v/>
      </c>
    </row>
    <row r="503">
      <c r="A503" s="46">
        <f>IF(_calc!$E$505="","",IF(_calc!$E$505&lt;=500,IF(LEN(INDEX('Our policies'!$A$4:$A$503,_calc!$E$505))=0,"",INDEX('Our policies'!$A$4:$A$503,_calc!$E$505)),"COI – "&amp;IF(LEN(INDEX('Vendor COIs'!$A$4:$A$503,(_calc!$E$505-500)))=0,"",INDEX('Vendor COIs'!$A$4:$A$503,(_calc!$E$505-500)))&amp;" – "&amp;IF(LEN(INDEX('Vendor COIs'!$B$4:$B$503,(_calc!$E$505-500)))=0,"",INDEX('Vendor COIs'!$B$4:$B$503,(_calc!$E$505-500)))))</f>
        <v/>
      </c>
      <c r="B503" s="46">
        <f>IF(_calc!$E$505="","",IF(_calc!$E$505&lt;=500,IF(ISNUMBER(INDEX('Our policies'!$J$4:$J$503,_calc!$E$505)),TEXT(INDEX('Our policies'!$J$4:$J$503,_calc!$E$505),"yyyy-mm-dd"),""),IF(ISNUMBER(INDEX('Vendor COIs'!$H$4:$H$503,(_calc!$E$505-500))),TEXT(INDEX('Vendor COIs'!$H$4:$H$503,(_calc!$E$505-500)),"yyyy-mm-dd"),"")))</f>
        <v/>
      </c>
      <c r="C503" s="46">
        <f>IF(_calc!$E$505="","",IF(_calc!$E$505&lt;=500,"Insurance","Certificate of insurance"))</f>
        <v/>
      </c>
      <c r="D503" s="46">
        <f>IF(_calc!$E$505="","",IF(_calc!$E$505&lt;=500,IF(ISNUMBER(INDEX('Our policies'!$I$4:$I$503,_calc!$E$505)),TEXT(INDEX('Our policies'!$I$4:$I$503,_calc!$E$505),"yyyy-mm-dd"),""),""))</f>
        <v/>
      </c>
      <c r="E503" s="46">
        <f>IF(_calc!$E$505="","",IF(_calc!$E$505&lt;=500,IF(LEN(INDEX('Our policies'!$Q$4:$Q$503,_calc!$E$505))=0,"",INDEX('Our policies'!$Q$4:$Q$503,_calc!$E$505)),"Medium"))</f>
        <v/>
      </c>
      <c r="F503" s="46">
        <f>IF(_calc!$E$505="","",IF(_calc!$E$505&lt;=500,TRIM(IF(LEN(IF(LEN(INDEX('Our policies'!$B$4:$B$503,_calc!$E$505))=0,"",INDEX('Our policies'!$B$4:$B$503,_calc!$E$505)))=0,"","Cover: "&amp;IF(LEN(INDEX('Our policies'!$B$4:$B$503,_calc!$E$505))=0,"",INDEX('Our policies'!$B$4:$B$503,_calc!$E$505))&amp;". ")&amp;IF(LEN(IF(LEN(INDEX('Our policies'!$C$4:$C$503,_calc!$E$505))=0,"",INDEX('Our policies'!$C$4:$C$503,_calc!$E$505)))=0,"","Insurer: "&amp;IF(LEN(INDEX('Our policies'!$C$4:$C$503,_calc!$E$505))=0,"",INDEX('Our policies'!$C$4:$C$503,_calc!$E$505))&amp;". ")&amp;IF(LEN(IF(LEN(INDEX('Our policies'!$D$4:$D$503,_calc!$E$505))=0,"",INDEX('Our policies'!$D$4:$D$503,_calc!$E$505)))=0,"","Broker: "&amp;IF(LEN(INDEX('Our policies'!$D$4:$D$503,_calc!$E$505))=0,"",INDEX('Our policies'!$D$4:$D$503,_calc!$E$505))&amp;". ")&amp;IF(LEN(IF(LEN(INDEX('Our policies'!$E$4:$E$503,_calc!$E$505))=0,"",INDEX('Our policies'!$E$4:$E$503,_calc!$E$505)))=0,"","Policy no.: "&amp;IF(LEN(INDEX('Our policies'!$E$4:$E$503,_calc!$E$505))=0,"",INDEX('Our policies'!$E$4:$E$503,_calc!$E$505))&amp;". ")&amp;IF(LEN(IF(LEN(INDEX('Our policies'!$S$4:$S$503,_calc!$E$505))=0,"",INDEX('Our policies'!$S$4:$S$503,_calc!$E$505)))=0,"",IF(LEN(INDEX('Our policies'!$S$4:$S$503,_calc!$E$505))=0,"",INDEX('Our policies'!$S$4:$S$503,_calc!$E$505)))),TRIM(IF(LEN(IF(LEN(INDEX('Vendor COIs'!$C$4:$C$503,(_calc!$E$505-500)))=0,"",INDEX('Vendor COIs'!$C$4:$C$503,(_calc!$E$505-500))))=0,"","Insurer: "&amp;IF(LEN(INDEX('Vendor COIs'!$C$4:$C$503,(_calc!$E$505-500)))=0,"",INDEX('Vendor COIs'!$C$4:$C$503,(_calc!$E$505-500)))&amp;". ")&amp;IF(LEN(IF(LEN(INDEX('Vendor COIs'!$D$4:$D$503,(_calc!$E$505-500)))=0,"",INDEX('Vendor COIs'!$D$4:$D$503,(_calc!$E$505-500))))=0,"","Policy no.: "&amp;IF(LEN(INDEX('Vendor COIs'!$D$4:$D$503,(_calc!$E$505-500)))=0,"",INDEX('Vendor COIs'!$D$4:$D$503,(_calc!$E$505-500)))&amp;". ")&amp;IF(LEN(IF(LEN(INDEX('Vendor COIs'!$F$4:$F$503,(_calc!$E$505-500)))=0,"",INDEX('Vendor COIs'!$F$4:$F$503,(_calc!$E$505-500))))=0,"","Meets minimum: "&amp;IF(LEN(INDEX('Vendor COIs'!$F$4:$F$503,(_calc!$E$505-500)))=0,"",INDEX('Vendor COIs'!$F$4:$F$503,(_calc!$E$505-500)))&amp;". ")&amp;IF(LEN(IF(LEN(INDEX('Vendor COIs'!$G$4:$G$503,(_calc!$E$505-500)))=0,"",INDEX('Vendor COIs'!$G$4:$G$503,(_calc!$E$505-500))))=0,"","Additional insured: "&amp;IF(LEN(INDEX('Vendor COIs'!$G$4:$G$503,(_calc!$E$505-500)))=0,"",INDEX('Vendor COIs'!$G$4:$G$503,(_calc!$E$505-500)))&amp;". ")&amp;IF(LEN(IF(LEN(INDEX('Vendor COIs'!$M$4:$M$503,(_calc!$E$505-500)))=0,"",INDEX('Vendor COIs'!$M$4:$M$503,(_calc!$E$505-500))))=0,"","Vendor contact: "&amp;IF(LEN(INDEX('Vendor COIs'!$M$4:$M$503,(_calc!$E$505-500)))=0,"",INDEX('Vendor COIs'!$M$4:$M$503,(_calc!$E$505-500)))&amp;". ")&amp;IF(LEN(IF(LEN(INDEX('Vendor COIs'!$P$4:$P$503,(_calc!$E$505-500)))=0,"",INDEX('Vendor COIs'!$P$4:$P$503,(_calc!$E$505-500))))=0,"",IF(LEN(INDEX('Vendor COIs'!$P$4:$P$503,(_calc!$E$505-500)))=0,"",INDEX('Vendor COIs'!$P$4:$P$503,(_calc!$E$505-500)))))))</f>
        <v/>
      </c>
      <c r="G503" s="46">
        <f>IF(_calc!$E$505="","",IF(_calc!$E$505&lt;=500,IF(LEN(INDEX('Our policies'!$R$4:$R$503,_calc!$E$505))=0,"",INDEX('Our policies'!$R$4:$R$503,_calc!$E$505)),IF(LEN(INDEX('Vendor COIs'!$O$4:$O$503,(_calc!$E$505-500)))=0,"",INDEX('Vendor COIs'!$O$4:$O$503,(_calc!$E$505-500)))))</f>
        <v/>
      </c>
      <c r="H503" s="46">
        <f>IF(_calc!$E$505="","",IF(_calc!$E$505&lt;=500,IF(LEN(INDEX('Our policies'!$G$4:$G$503,_calc!$E$505))=0,"",INDEX('Our policies'!$G$4:$G$503,_calc!$E$505)),""))</f>
        <v/>
      </c>
      <c r="I503" s="46">
        <f>IF(_calc!$E$505="","",IF(_calc!$E$505&lt;=500,IF(LEN(INDEX('Our policies'!$H$4:$H$503,_calc!$E$505))=0,"",INDEX('Our policies'!$H$4:$H$503,_calc!$E$505)),""))</f>
        <v/>
      </c>
      <c r="K503" s="46">
        <f>IF(_calc!$E$505="","",IF(_calc!$E$505&lt;=500,IF(LEN(INDEX('Our policies'!$P$4:$P$503,_calc!$E$505))=0,"",INDEX('Our policies'!$P$4:$P$503,_calc!$E$505)),IF(LEN(INDEX('Vendor COIs'!$N$4:$N$503,(_calc!$E$505-500)))=0,"",INDEX('Vendor COIs'!$N$4:$N$503,(_calc!$E$505-500)))))</f>
        <v/>
      </c>
    </row>
    <row r="504">
      <c r="A504" s="46">
        <f>IF(_calc!$E$506="","",IF(_calc!$E$506&lt;=500,IF(LEN(INDEX('Our policies'!$A$4:$A$503,_calc!$E$506))=0,"",INDEX('Our policies'!$A$4:$A$503,_calc!$E$506)),"COI – "&amp;IF(LEN(INDEX('Vendor COIs'!$A$4:$A$503,(_calc!$E$506-500)))=0,"",INDEX('Vendor COIs'!$A$4:$A$503,(_calc!$E$506-500)))&amp;" – "&amp;IF(LEN(INDEX('Vendor COIs'!$B$4:$B$503,(_calc!$E$506-500)))=0,"",INDEX('Vendor COIs'!$B$4:$B$503,(_calc!$E$506-500)))))</f>
        <v/>
      </c>
      <c r="B504" s="46">
        <f>IF(_calc!$E$506="","",IF(_calc!$E$506&lt;=500,IF(ISNUMBER(INDEX('Our policies'!$J$4:$J$503,_calc!$E$506)),TEXT(INDEX('Our policies'!$J$4:$J$503,_calc!$E$506),"yyyy-mm-dd"),""),IF(ISNUMBER(INDEX('Vendor COIs'!$H$4:$H$503,(_calc!$E$506-500))),TEXT(INDEX('Vendor COIs'!$H$4:$H$503,(_calc!$E$506-500)),"yyyy-mm-dd"),"")))</f>
        <v/>
      </c>
      <c r="C504" s="46">
        <f>IF(_calc!$E$506="","",IF(_calc!$E$506&lt;=500,"Insurance","Certificate of insurance"))</f>
        <v/>
      </c>
      <c r="D504" s="46">
        <f>IF(_calc!$E$506="","",IF(_calc!$E$506&lt;=500,IF(ISNUMBER(INDEX('Our policies'!$I$4:$I$503,_calc!$E$506)),TEXT(INDEX('Our policies'!$I$4:$I$503,_calc!$E$506),"yyyy-mm-dd"),""),""))</f>
        <v/>
      </c>
      <c r="E504" s="46">
        <f>IF(_calc!$E$506="","",IF(_calc!$E$506&lt;=500,IF(LEN(INDEX('Our policies'!$Q$4:$Q$503,_calc!$E$506))=0,"",INDEX('Our policies'!$Q$4:$Q$503,_calc!$E$506)),"Medium"))</f>
        <v/>
      </c>
      <c r="F504" s="46">
        <f>IF(_calc!$E$506="","",IF(_calc!$E$506&lt;=500,TRIM(IF(LEN(IF(LEN(INDEX('Our policies'!$B$4:$B$503,_calc!$E$506))=0,"",INDEX('Our policies'!$B$4:$B$503,_calc!$E$506)))=0,"","Cover: "&amp;IF(LEN(INDEX('Our policies'!$B$4:$B$503,_calc!$E$506))=0,"",INDEX('Our policies'!$B$4:$B$503,_calc!$E$506))&amp;". ")&amp;IF(LEN(IF(LEN(INDEX('Our policies'!$C$4:$C$503,_calc!$E$506))=0,"",INDEX('Our policies'!$C$4:$C$503,_calc!$E$506)))=0,"","Insurer: "&amp;IF(LEN(INDEX('Our policies'!$C$4:$C$503,_calc!$E$506))=0,"",INDEX('Our policies'!$C$4:$C$503,_calc!$E$506))&amp;". ")&amp;IF(LEN(IF(LEN(INDEX('Our policies'!$D$4:$D$503,_calc!$E$506))=0,"",INDEX('Our policies'!$D$4:$D$503,_calc!$E$506)))=0,"","Broker: "&amp;IF(LEN(INDEX('Our policies'!$D$4:$D$503,_calc!$E$506))=0,"",INDEX('Our policies'!$D$4:$D$503,_calc!$E$506))&amp;". ")&amp;IF(LEN(IF(LEN(INDEX('Our policies'!$E$4:$E$503,_calc!$E$506))=0,"",INDEX('Our policies'!$E$4:$E$503,_calc!$E$506)))=0,"","Policy no.: "&amp;IF(LEN(INDEX('Our policies'!$E$4:$E$503,_calc!$E$506))=0,"",INDEX('Our policies'!$E$4:$E$503,_calc!$E$506))&amp;". ")&amp;IF(LEN(IF(LEN(INDEX('Our policies'!$S$4:$S$503,_calc!$E$506))=0,"",INDEX('Our policies'!$S$4:$S$503,_calc!$E$506)))=0,"",IF(LEN(INDEX('Our policies'!$S$4:$S$503,_calc!$E$506))=0,"",INDEX('Our policies'!$S$4:$S$503,_calc!$E$506)))),TRIM(IF(LEN(IF(LEN(INDEX('Vendor COIs'!$C$4:$C$503,(_calc!$E$506-500)))=0,"",INDEX('Vendor COIs'!$C$4:$C$503,(_calc!$E$506-500))))=0,"","Insurer: "&amp;IF(LEN(INDEX('Vendor COIs'!$C$4:$C$503,(_calc!$E$506-500)))=0,"",INDEX('Vendor COIs'!$C$4:$C$503,(_calc!$E$506-500)))&amp;". ")&amp;IF(LEN(IF(LEN(INDEX('Vendor COIs'!$D$4:$D$503,(_calc!$E$506-500)))=0,"",INDEX('Vendor COIs'!$D$4:$D$503,(_calc!$E$506-500))))=0,"","Policy no.: "&amp;IF(LEN(INDEX('Vendor COIs'!$D$4:$D$503,(_calc!$E$506-500)))=0,"",INDEX('Vendor COIs'!$D$4:$D$503,(_calc!$E$506-500)))&amp;". ")&amp;IF(LEN(IF(LEN(INDEX('Vendor COIs'!$F$4:$F$503,(_calc!$E$506-500)))=0,"",INDEX('Vendor COIs'!$F$4:$F$503,(_calc!$E$506-500))))=0,"","Meets minimum: "&amp;IF(LEN(INDEX('Vendor COIs'!$F$4:$F$503,(_calc!$E$506-500)))=0,"",INDEX('Vendor COIs'!$F$4:$F$503,(_calc!$E$506-500)))&amp;". ")&amp;IF(LEN(IF(LEN(INDEX('Vendor COIs'!$G$4:$G$503,(_calc!$E$506-500)))=0,"",INDEX('Vendor COIs'!$G$4:$G$503,(_calc!$E$506-500))))=0,"","Additional insured: "&amp;IF(LEN(INDEX('Vendor COIs'!$G$4:$G$503,(_calc!$E$506-500)))=0,"",INDEX('Vendor COIs'!$G$4:$G$503,(_calc!$E$506-500)))&amp;". ")&amp;IF(LEN(IF(LEN(INDEX('Vendor COIs'!$M$4:$M$503,(_calc!$E$506-500)))=0,"",INDEX('Vendor COIs'!$M$4:$M$503,(_calc!$E$506-500))))=0,"","Vendor contact: "&amp;IF(LEN(INDEX('Vendor COIs'!$M$4:$M$503,(_calc!$E$506-500)))=0,"",INDEX('Vendor COIs'!$M$4:$M$503,(_calc!$E$506-500)))&amp;". ")&amp;IF(LEN(IF(LEN(INDEX('Vendor COIs'!$P$4:$P$503,(_calc!$E$506-500)))=0,"",INDEX('Vendor COIs'!$P$4:$P$503,(_calc!$E$506-500))))=0,"",IF(LEN(INDEX('Vendor COIs'!$P$4:$P$503,(_calc!$E$506-500)))=0,"",INDEX('Vendor COIs'!$P$4:$P$503,(_calc!$E$506-500)))))))</f>
        <v/>
      </c>
      <c r="G504" s="46">
        <f>IF(_calc!$E$506="","",IF(_calc!$E$506&lt;=500,IF(LEN(INDEX('Our policies'!$R$4:$R$503,_calc!$E$506))=0,"",INDEX('Our policies'!$R$4:$R$503,_calc!$E$506)),IF(LEN(INDEX('Vendor COIs'!$O$4:$O$503,(_calc!$E$506-500)))=0,"",INDEX('Vendor COIs'!$O$4:$O$503,(_calc!$E$506-500)))))</f>
        <v/>
      </c>
      <c r="H504" s="46">
        <f>IF(_calc!$E$506="","",IF(_calc!$E$506&lt;=500,IF(LEN(INDEX('Our policies'!$G$4:$G$503,_calc!$E$506))=0,"",INDEX('Our policies'!$G$4:$G$503,_calc!$E$506)),""))</f>
        <v/>
      </c>
      <c r="I504" s="46">
        <f>IF(_calc!$E$506="","",IF(_calc!$E$506&lt;=500,IF(LEN(INDEX('Our policies'!$H$4:$H$503,_calc!$E$506))=0,"",INDEX('Our policies'!$H$4:$H$503,_calc!$E$506)),""))</f>
        <v/>
      </c>
      <c r="K504" s="46">
        <f>IF(_calc!$E$506="","",IF(_calc!$E$506&lt;=500,IF(LEN(INDEX('Our policies'!$P$4:$P$503,_calc!$E$506))=0,"",INDEX('Our policies'!$P$4:$P$503,_calc!$E$506)),IF(LEN(INDEX('Vendor COIs'!$N$4:$N$503,(_calc!$E$506-500)))=0,"",INDEX('Vendor COIs'!$N$4:$N$503,(_calc!$E$506-500)))))</f>
        <v/>
      </c>
    </row>
    <row r="505">
      <c r="A505" s="46">
        <f>IF(_calc!$E$507="","",IF(_calc!$E$507&lt;=500,IF(LEN(INDEX('Our policies'!$A$4:$A$503,_calc!$E$507))=0,"",INDEX('Our policies'!$A$4:$A$503,_calc!$E$507)),"COI – "&amp;IF(LEN(INDEX('Vendor COIs'!$A$4:$A$503,(_calc!$E$507-500)))=0,"",INDEX('Vendor COIs'!$A$4:$A$503,(_calc!$E$507-500)))&amp;" – "&amp;IF(LEN(INDEX('Vendor COIs'!$B$4:$B$503,(_calc!$E$507-500)))=0,"",INDEX('Vendor COIs'!$B$4:$B$503,(_calc!$E$507-500)))))</f>
        <v/>
      </c>
      <c r="B505" s="46">
        <f>IF(_calc!$E$507="","",IF(_calc!$E$507&lt;=500,IF(ISNUMBER(INDEX('Our policies'!$J$4:$J$503,_calc!$E$507)),TEXT(INDEX('Our policies'!$J$4:$J$503,_calc!$E$507),"yyyy-mm-dd"),""),IF(ISNUMBER(INDEX('Vendor COIs'!$H$4:$H$503,(_calc!$E$507-500))),TEXT(INDEX('Vendor COIs'!$H$4:$H$503,(_calc!$E$507-500)),"yyyy-mm-dd"),"")))</f>
        <v/>
      </c>
      <c r="C505" s="46">
        <f>IF(_calc!$E$507="","",IF(_calc!$E$507&lt;=500,"Insurance","Certificate of insurance"))</f>
        <v/>
      </c>
      <c r="D505" s="46">
        <f>IF(_calc!$E$507="","",IF(_calc!$E$507&lt;=500,IF(ISNUMBER(INDEX('Our policies'!$I$4:$I$503,_calc!$E$507)),TEXT(INDEX('Our policies'!$I$4:$I$503,_calc!$E$507),"yyyy-mm-dd"),""),""))</f>
        <v/>
      </c>
      <c r="E505" s="46">
        <f>IF(_calc!$E$507="","",IF(_calc!$E$507&lt;=500,IF(LEN(INDEX('Our policies'!$Q$4:$Q$503,_calc!$E$507))=0,"",INDEX('Our policies'!$Q$4:$Q$503,_calc!$E$507)),"Medium"))</f>
        <v/>
      </c>
      <c r="F505" s="46">
        <f>IF(_calc!$E$507="","",IF(_calc!$E$507&lt;=500,TRIM(IF(LEN(IF(LEN(INDEX('Our policies'!$B$4:$B$503,_calc!$E$507))=0,"",INDEX('Our policies'!$B$4:$B$503,_calc!$E$507)))=0,"","Cover: "&amp;IF(LEN(INDEX('Our policies'!$B$4:$B$503,_calc!$E$507))=0,"",INDEX('Our policies'!$B$4:$B$503,_calc!$E$507))&amp;". ")&amp;IF(LEN(IF(LEN(INDEX('Our policies'!$C$4:$C$503,_calc!$E$507))=0,"",INDEX('Our policies'!$C$4:$C$503,_calc!$E$507)))=0,"","Insurer: "&amp;IF(LEN(INDEX('Our policies'!$C$4:$C$503,_calc!$E$507))=0,"",INDEX('Our policies'!$C$4:$C$503,_calc!$E$507))&amp;". ")&amp;IF(LEN(IF(LEN(INDEX('Our policies'!$D$4:$D$503,_calc!$E$507))=0,"",INDEX('Our policies'!$D$4:$D$503,_calc!$E$507)))=0,"","Broker: "&amp;IF(LEN(INDEX('Our policies'!$D$4:$D$503,_calc!$E$507))=0,"",INDEX('Our policies'!$D$4:$D$503,_calc!$E$507))&amp;". ")&amp;IF(LEN(IF(LEN(INDEX('Our policies'!$E$4:$E$503,_calc!$E$507))=0,"",INDEX('Our policies'!$E$4:$E$503,_calc!$E$507)))=0,"","Policy no.: "&amp;IF(LEN(INDEX('Our policies'!$E$4:$E$503,_calc!$E$507))=0,"",INDEX('Our policies'!$E$4:$E$503,_calc!$E$507))&amp;". ")&amp;IF(LEN(IF(LEN(INDEX('Our policies'!$S$4:$S$503,_calc!$E$507))=0,"",INDEX('Our policies'!$S$4:$S$503,_calc!$E$507)))=0,"",IF(LEN(INDEX('Our policies'!$S$4:$S$503,_calc!$E$507))=0,"",INDEX('Our policies'!$S$4:$S$503,_calc!$E$507)))),TRIM(IF(LEN(IF(LEN(INDEX('Vendor COIs'!$C$4:$C$503,(_calc!$E$507-500)))=0,"",INDEX('Vendor COIs'!$C$4:$C$503,(_calc!$E$507-500))))=0,"","Insurer: "&amp;IF(LEN(INDEX('Vendor COIs'!$C$4:$C$503,(_calc!$E$507-500)))=0,"",INDEX('Vendor COIs'!$C$4:$C$503,(_calc!$E$507-500)))&amp;". ")&amp;IF(LEN(IF(LEN(INDEX('Vendor COIs'!$D$4:$D$503,(_calc!$E$507-500)))=0,"",INDEX('Vendor COIs'!$D$4:$D$503,(_calc!$E$507-500))))=0,"","Policy no.: "&amp;IF(LEN(INDEX('Vendor COIs'!$D$4:$D$503,(_calc!$E$507-500)))=0,"",INDEX('Vendor COIs'!$D$4:$D$503,(_calc!$E$507-500)))&amp;". ")&amp;IF(LEN(IF(LEN(INDEX('Vendor COIs'!$F$4:$F$503,(_calc!$E$507-500)))=0,"",INDEX('Vendor COIs'!$F$4:$F$503,(_calc!$E$507-500))))=0,"","Meets minimum: "&amp;IF(LEN(INDEX('Vendor COIs'!$F$4:$F$503,(_calc!$E$507-500)))=0,"",INDEX('Vendor COIs'!$F$4:$F$503,(_calc!$E$507-500)))&amp;". ")&amp;IF(LEN(IF(LEN(INDEX('Vendor COIs'!$G$4:$G$503,(_calc!$E$507-500)))=0,"",INDEX('Vendor COIs'!$G$4:$G$503,(_calc!$E$507-500))))=0,"","Additional insured: "&amp;IF(LEN(INDEX('Vendor COIs'!$G$4:$G$503,(_calc!$E$507-500)))=0,"",INDEX('Vendor COIs'!$G$4:$G$503,(_calc!$E$507-500)))&amp;". ")&amp;IF(LEN(IF(LEN(INDEX('Vendor COIs'!$M$4:$M$503,(_calc!$E$507-500)))=0,"",INDEX('Vendor COIs'!$M$4:$M$503,(_calc!$E$507-500))))=0,"","Vendor contact: "&amp;IF(LEN(INDEX('Vendor COIs'!$M$4:$M$503,(_calc!$E$507-500)))=0,"",INDEX('Vendor COIs'!$M$4:$M$503,(_calc!$E$507-500)))&amp;". ")&amp;IF(LEN(IF(LEN(INDEX('Vendor COIs'!$P$4:$P$503,(_calc!$E$507-500)))=0,"",INDEX('Vendor COIs'!$P$4:$P$503,(_calc!$E$507-500))))=0,"",IF(LEN(INDEX('Vendor COIs'!$P$4:$P$503,(_calc!$E$507-500)))=0,"",INDEX('Vendor COIs'!$P$4:$P$503,(_calc!$E$507-500)))))))</f>
        <v/>
      </c>
      <c r="G505" s="46">
        <f>IF(_calc!$E$507="","",IF(_calc!$E$507&lt;=500,IF(LEN(INDEX('Our policies'!$R$4:$R$503,_calc!$E$507))=0,"",INDEX('Our policies'!$R$4:$R$503,_calc!$E$507)),IF(LEN(INDEX('Vendor COIs'!$O$4:$O$503,(_calc!$E$507-500)))=0,"",INDEX('Vendor COIs'!$O$4:$O$503,(_calc!$E$507-500)))))</f>
        <v/>
      </c>
      <c r="H505" s="46">
        <f>IF(_calc!$E$507="","",IF(_calc!$E$507&lt;=500,IF(LEN(INDEX('Our policies'!$G$4:$G$503,_calc!$E$507))=0,"",INDEX('Our policies'!$G$4:$G$503,_calc!$E$507)),""))</f>
        <v/>
      </c>
      <c r="I505" s="46">
        <f>IF(_calc!$E$507="","",IF(_calc!$E$507&lt;=500,IF(LEN(INDEX('Our policies'!$H$4:$H$503,_calc!$E$507))=0,"",INDEX('Our policies'!$H$4:$H$503,_calc!$E$507)),""))</f>
        <v/>
      </c>
      <c r="K505" s="46">
        <f>IF(_calc!$E$507="","",IF(_calc!$E$507&lt;=500,IF(LEN(INDEX('Our policies'!$P$4:$P$503,_calc!$E$507))=0,"",INDEX('Our policies'!$P$4:$P$503,_calc!$E$507)),IF(LEN(INDEX('Vendor COIs'!$N$4:$N$503,(_calc!$E$507-500)))=0,"",INDEX('Vendor COIs'!$N$4:$N$503,(_calc!$E$507-500)))))</f>
        <v/>
      </c>
    </row>
    <row r="506">
      <c r="A506" s="46">
        <f>IF(_calc!$E$508="","",IF(_calc!$E$508&lt;=500,IF(LEN(INDEX('Our policies'!$A$4:$A$503,_calc!$E$508))=0,"",INDEX('Our policies'!$A$4:$A$503,_calc!$E$508)),"COI – "&amp;IF(LEN(INDEX('Vendor COIs'!$A$4:$A$503,(_calc!$E$508-500)))=0,"",INDEX('Vendor COIs'!$A$4:$A$503,(_calc!$E$508-500)))&amp;" – "&amp;IF(LEN(INDEX('Vendor COIs'!$B$4:$B$503,(_calc!$E$508-500)))=0,"",INDEX('Vendor COIs'!$B$4:$B$503,(_calc!$E$508-500)))))</f>
        <v/>
      </c>
      <c r="B506" s="46">
        <f>IF(_calc!$E$508="","",IF(_calc!$E$508&lt;=500,IF(ISNUMBER(INDEX('Our policies'!$J$4:$J$503,_calc!$E$508)),TEXT(INDEX('Our policies'!$J$4:$J$503,_calc!$E$508),"yyyy-mm-dd"),""),IF(ISNUMBER(INDEX('Vendor COIs'!$H$4:$H$503,(_calc!$E$508-500))),TEXT(INDEX('Vendor COIs'!$H$4:$H$503,(_calc!$E$508-500)),"yyyy-mm-dd"),"")))</f>
        <v/>
      </c>
      <c r="C506" s="46">
        <f>IF(_calc!$E$508="","",IF(_calc!$E$508&lt;=500,"Insurance","Certificate of insurance"))</f>
        <v/>
      </c>
      <c r="D506" s="46">
        <f>IF(_calc!$E$508="","",IF(_calc!$E$508&lt;=500,IF(ISNUMBER(INDEX('Our policies'!$I$4:$I$503,_calc!$E$508)),TEXT(INDEX('Our policies'!$I$4:$I$503,_calc!$E$508),"yyyy-mm-dd"),""),""))</f>
        <v/>
      </c>
      <c r="E506" s="46">
        <f>IF(_calc!$E$508="","",IF(_calc!$E$508&lt;=500,IF(LEN(INDEX('Our policies'!$Q$4:$Q$503,_calc!$E$508))=0,"",INDEX('Our policies'!$Q$4:$Q$503,_calc!$E$508)),"Medium"))</f>
        <v/>
      </c>
      <c r="F506" s="46">
        <f>IF(_calc!$E$508="","",IF(_calc!$E$508&lt;=500,TRIM(IF(LEN(IF(LEN(INDEX('Our policies'!$B$4:$B$503,_calc!$E$508))=0,"",INDEX('Our policies'!$B$4:$B$503,_calc!$E$508)))=0,"","Cover: "&amp;IF(LEN(INDEX('Our policies'!$B$4:$B$503,_calc!$E$508))=0,"",INDEX('Our policies'!$B$4:$B$503,_calc!$E$508))&amp;". ")&amp;IF(LEN(IF(LEN(INDEX('Our policies'!$C$4:$C$503,_calc!$E$508))=0,"",INDEX('Our policies'!$C$4:$C$503,_calc!$E$508)))=0,"","Insurer: "&amp;IF(LEN(INDEX('Our policies'!$C$4:$C$503,_calc!$E$508))=0,"",INDEX('Our policies'!$C$4:$C$503,_calc!$E$508))&amp;". ")&amp;IF(LEN(IF(LEN(INDEX('Our policies'!$D$4:$D$503,_calc!$E$508))=0,"",INDEX('Our policies'!$D$4:$D$503,_calc!$E$508)))=0,"","Broker: "&amp;IF(LEN(INDEX('Our policies'!$D$4:$D$503,_calc!$E$508))=0,"",INDEX('Our policies'!$D$4:$D$503,_calc!$E$508))&amp;". ")&amp;IF(LEN(IF(LEN(INDEX('Our policies'!$E$4:$E$503,_calc!$E$508))=0,"",INDEX('Our policies'!$E$4:$E$503,_calc!$E$508)))=0,"","Policy no.: "&amp;IF(LEN(INDEX('Our policies'!$E$4:$E$503,_calc!$E$508))=0,"",INDEX('Our policies'!$E$4:$E$503,_calc!$E$508))&amp;". ")&amp;IF(LEN(IF(LEN(INDEX('Our policies'!$S$4:$S$503,_calc!$E$508))=0,"",INDEX('Our policies'!$S$4:$S$503,_calc!$E$508)))=0,"",IF(LEN(INDEX('Our policies'!$S$4:$S$503,_calc!$E$508))=0,"",INDEX('Our policies'!$S$4:$S$503,_calc!$E$508)))),TRIM(IF(LEN(IF(LEN(INDEX('Vendor COIs'!$C$4:$C$503,(_calc!$E$508-500)))=0,"",INDEX('Vendor COIs'!$C$4:$C$503,(_calc!$E$508-500))))=0,"","Insurer: "&amp;IF(LEN(INDEX('Vendor COIs'!$C$4:$C$503,(_calc!$E$508-500)))=0,"",INDEX('Vendor COIs'!$C$4:$C$503,(_calc!$E$508-500)))&amp;". ")&amp;IF(LEN(IF(LEN(INDEX('Vendor COIs'!$D$4:$D$503,(_calc!$E$508-500)))=0,"",INDEX('Vendor COIs'!$D$4:$D$503,(_calc!$E$508-500))))=0,"","Policy no.: "&amp;IF(LEN(INDEX('Vendor COIs'!$D$4:$D$503,(_calc!$E$508-500)))=0,"",INDEX('Vendor COIs'!$D$4:$D$503,(_calc!$E$508-500)))&amp;". ")&amp;IF(LEN(IF(LEN(INDEX('Vendor COIs'!$F$4:$F$503,(_calc!$E$508-500)))=0,"",INDEX('Vendor COIs'!$F$4:$F$503,(_calc!$E$508-500))))=0,"","Meets minimum: "&amp;IF(LEN(INDEX('Vendor COIs'!$F$4:$F$503,(_calc!$E$508-500)))=0,"",INDEX('Vendor COIs'!$F$4:$F$503,(_calc!$E$508-500)))&amp;". ")&amp;IF(LEN(IF(LEN(INDEX('Vendor COIs'!$G$4:$G$503,(_calc!$E$508-500)))=0,"",INDEX('Vendor COIs'!$G$4:$G$503,(_calc!$E$508-500))))=0,"","Additional insured: "&amp;IF(LEN(INDEX('Vendor COIs'!$G$4:$G$503,(_calc!$E$508-500)))=0,"",INDEX('Vendor COIs'!$G$4:$G$503,(_calc!$E$508-500)))&amp;". ")&amp;IF(LEN(IF(LEN(INDEX('Vendor COIs'!$M$4:$M$503,(_calc!$E$508-500)))=0,"",INDEX('Vendor COIs'!$M$4:$M$503,(_calc!$E$508-500))))=0,"","Vendor contact: "&amp;IF(LEN(INDEX('Vendor COIs'!$M$4:$M$503,(_calc!$E$508-500)))=0,"",INDEX('Vendor COIs'!$M$4:$M$503,(_calc!$E$508-500)))&amp;". ")&amp;IF(LEN(IF(LEN(INDEX('Vendor COIs'!$P$4:$P$503,(_calc!$E$508-500)))=0,"",INDEX('Vendor COIs'!$P$4:$P$503,(_calc!$E$508-500))))=0,"",IF(LEN(INDEX('Vendor COIs'!$P$4:$P$503,(_calc!$E$508-500)))=0,"",INDEX('Vendor COIs'!$P$4:$P$503,(_calc!$E$508-500)))))))</f>
        <v/>
      </c>
      <c r="G506" s="46">
        <f>IF(_calc!$E$508="","",IF(_calc!$E$508&lt;=500,IF(LEN(INDEX('Our policies'!$R$4:$R$503,_calc!$E$508))=0,"",INDEX('Our policies'!$R$4:$R$503,_calc!$E$508)),IF(LEN(INDEX('Vendor COIs'!$O$4:$O$503,(_calc!$E$508-500)))=0,"",INDEX('Vendor COIs'!$O$4:$O$503,(_calc!$E$508-500)))))</f>
        <v/>
      </c>
      <c r="H506" s="46">
        <f>IF(_calc!$E$508="","",IF(_calc!$E$508&lt;=500,IF(LEN(INDEX('Our policies'!$G$4:$G$503,_calc!$E$508))=0,"",INDEX('Our policies'!$G$4:$G$503,_calc!$E$508)),""))</f>
        <v/>
      </c>
      <c r="I506" s="46">
        <f>IF(_calc!$E$508="","",IF(_calc!$E$508&lt;=500,IF(LEN(INDEX('Our policies'!$H$4:$H$503,_calc!$E$508))=0,"",INDEX('Our policies'!$H$4:$H$503,_calc!$E$508)),""))</f>
        <v/>
      </c>
      <c r="K506" s="46">
        <f>IF(_calc!$E$508="","",IF(_calc!$E$508&lt;=500,IF(LEN(INDEX('Our policies'!$P$4:$P$503,_calc!$E$508))=0,"",INDEX('Our policies'!$P$4:$P$503,_calc!$E$508)),IF(LEN(INDEX('Vendor COIs'!$N$4:$N$503,(_calc!$E$508-500)))=0,"",INDEX('Vendor COIs'!$N$4:$N$503,(_calc!$E$508-500)))))</f>
        <v/>
      </c>
    </row>
    <row r="507">
      <c r="A507" s="46">
        <f>IF(_calc!$E$509="","",IF(_calc!$E$509&lt;=500,IF(LEN(INDEX('Our policies'!$A$4:$A$503,_calc!$E$509))=0,"",INDEX('Our policies'!$A$4:$A$503,_calc!$E$509)),"COI – "&amp;IF(LEN(INDEX('Vendor COIs'!$A$4:$A$503,(_calc!$E$509-500)))=0,"",INDEX('Vendor COIs'!$A$4:$A$503,(_calc!$E$509-500)))&amp;" – "&amp;IF(LEN(INDEX('Vendor COIs'!$B$4:$B$503,(_calc!$E$509-500)))=0,"",INDEX('Vendor COIs'!$B$4:$B$503,(_calc!$E$509-500)))))</f>
        <v/>
      </c>
      <c r="B507" s="46">
        <f>IF(_calc!$E$509="","",IF(_calc!$E$509&lt;=500,IF(ISNUMBER(INDEX('Our policies'!$J$4:$J$503,_calc!$E$509)),TEXT(INDEX('Our policies'!$J$4:$J$503,_calc!$E$509),"yyyy-mm-dd"),""),IF(ISNUMBER(INDEX('Vendor COIs'!$H$4:$H$503,(_calc!$E$509-500))),TEXT(INDEX('Vendor COIs'!$H$4:$H$503,(_calc!$E$509-500)),"yyyy-mm-dd"),"")))</f>
        <v/>
      </c>
      <c r="C507" s="46">
        <f>IF(_calc!$E$509="","",IF(_calc!$E$509&lt;=500,"Insurance","Certificate of insurance"))</f>
        <v/>
      </c>
      <c r="D507" s="46">
        <f>IF(_calc!$E$509="","",IF(_calc!$E$509&lt;=500,IF(ISNUMBER(INDEX('Our policies'!$I$4:$I$503,_calc!$E$509)),TEXT(INDEX('Our policies'!$I$4:$I$503,_calc!$E$509),"yyyy-mm-dd"),""),""))</f>
        <v/>
      </c>
      <c r="E507" s="46">
        <f>IF(_calc!$E$509="","",IF(_calc!$E$509&lt;=500,IF(LEN(INDEX('Our policies'!$Q$4:$Q$503,_calc!$E$509))=0,"",INDEX('Our policies'!$Q$4:$Q$503,_calc!$E$509)),"Medium"))</f>
        <v/>
      </c>
      <c r="F507" s="46">
        <f>IF(_calc!$E$509="","",IF(_calc!$E$509&lt;=500,TRIM(IF(LEN(IF(LEN(INDEX('Our policies'!$B$4:$B$503,_calc!$E$509))=0,"",INDEX('Our policies'!$B$4:$B$503,_calc!$E$509)))=0,"","Cover: "&amp;IF(LEN(INDEX('Our policies'!$B$4:$B$503,_calc!$E$509))=0,"",INDEX('Our policies'!$B$4:$B$503,_calc!$E$509))&amp;". ")&amp;IF(LEN(IF(LEN(INDEX('Our policies'!$C$4:$C$503,_calc!$E$509))=0,"",INDEX('Our policies'!$C$4:$C$503,_calc!$E$509)))=0,"","Insurer: "&amp;IF(LEN(INDEX('Our policies'!$C$4:$C$503,_calc!$E$509))=0,"",INDEX('Our policies'!$C$4:$C$503,_calc!$E$509))&amp;". ")&amp;IF(LEN(IF(LEN(INDEX('Our policies'!$D$4:$D$503,_calc!$E$509))=0,"",INDEX('Our policies'!$D$4:$D$503,_calc!$E$509)))=0,"","Broker: "&amp;IF(LEN(INDEX('Our policies'!$D$4:$D$503,_calc!$E$509))=0,"",INDEX('Our policies'!$D$4:$D$503,_calc!$E$509))&amp;". ")&amp;IF(LEN(IF(LEN(INDEX('Our policies'!$E$4:$E$503,_calc!$E$509))=0,"",INDEX('Our policies'!$E$4:$E$503,_calc!$E$509)))=0,"","Policy no.: "&amp;IF(LEN(INDEX('Our policies'!$E$4:$E$503,_calc!$E$509))=0,"",INDEX('Our policies'!$E$4:$E$503,_calc!$E$509))&amp;". ")&amp;IF(LEN(IF(LEN(INDEX('Our policies'!$S$4:$S$503,_calc!$E$509))=0,"",INDEX('Our policies'!$S$4:$S$503,_calc!$E$509)))=0,"",IF(LEN(INDEX('Our policies'!$S$4:$S$503,_calc!$E$509))=0,"",INDEX('Our policies'!$S$4:$S$503,_calc!$E$509)))),TRIM(IF(LEN(IF(LEN(INDEX('Vendor COIs'!$C$4:$C$503,(_calc!$E$509-500)))=0,"",INDEX('Vendor COIs'!$C$4:$C$503,(_calc!$E$509-500))))=0,"","Insurer: "&amp;IF(LEN(INDEX('Vendor COIs'!$C$4:$C$503,(_calc!$E$509-500)))=0,"",INDEX('Vendor COIs'!$C$4:$C$503,(_calc!$E$509-500)))&amp;". ")&amp;IF(LEN(IF(LEN(INDEX('Vendor COIs'!$D$4:$D$503,(_calc!$E$509-500)))=0,"",INDEX('Vendor COIs'!$D$4:$D$503,(_calc!$E$509-500))))=0,"","Policy no.: "&amp;IF(LEN(INDEX('Vendor COIs'!$D$4:$D$503,(_calc!$E$509-500)))=0,"",INDEX('Vendor COIs'!$D$4:$D$503,(_calc!$E$509-500)))&amp;". ")&amp;IF(LEN(IF(LEN(INDEX('Vendor COIs'!$F$4:$F$503,(_calc!$E$509-500)))=0,"",INDEX('Vendor COIs'!$F$4:$F$503,(_calc!$E$509-500))))=0,"","Meets minimum: "&amp;IF(LEN(INDEX('Vendor COIs'!$F$4:$F$503,(_calc!$E$509-500)))=0,"",INDEX('Vendor COIs'!$F$4:$F$503,(_calc!$E$509-500)))&amp;". ")&amp;IF(LEN(IF(LEN(INDEX('Vendor COIs'!$G$4:$G$503,(_calc!$E$509-500)))=0,"",INDEX('Vendor COIs'!$G$4:$G$503,(_calc!$E$509-500))))=0,"","Additional insured: "&amp;IF(LEN(INDEX('Vendor COIs'!$G$4:$G$503,(_calc!$E$509-500)))=0,"",INDEX('Vendor COIs'!$G$4:$G$503,(_calc!$E$509-500)))&amp;". ")&amp;IF(LEN(IF(LEN(INDEX('Vendor COIs'!$M$4:$M$503,(_calc!$E$509-500)))=0,"",INDEX('Vendor COIs'!$M$4:$M$503,(_calc!$E$509-500))))=0,"","Vendor contact: "&amp;IF(LEN(INDEX('Vendor COIs'!$M$4:$M$503,(_calc!$E$509-500)))=0,"",INDEX('Vendor COIs'!$M$4:$M$503,(_calc!$E$509-500)))&amp;". ")&amp;IF(LEN(IF(LEN(INDEX('Vendor COIs'!$P$4:$P$503,(_calc!$E$509-500)))=0,"",INDEX('Vendor COIs'!$P$4:$P$503,(_calc!$E$509-500))))=0,"",IF(LEN(INDEX('Vendor COIs'!$P$4:$P$503,(_calc!$E$509-500)))=0,"",INDEX('Vendor COIs'!$P$4:$P$503,(_calc!$E$509-500)))))))</f>
        <v/>
      </c>
      <c r="G507" s="46">
        <f>IF(_calc!$E$509="","",IF(_calc!$E$509&lt;=500,IF(LEN(INDEX('Our policies'!$R$4:$R$503,_calc!$E$509))=0,"",INDEX('Our policies'!$R$4:$R$503,_calc!$E$509)),IF(LEN(INDEX('Vendor COIs'!$O$4:$O$503,(_calc!$E$509-500)))=0,"",INDEX('Vendor COIs'!$O$4:$O$503,(_calc!$E$509-500)))))</f>
        <v/>
      </c>
      <c r="H507" s="46">
        <f>IF(_calc!$E$509="","",IF(_calc!$E$509&lt;=500,IF(LEN(INDEX('Our policies'!$G$4:$G$503,_calc!$E$509))=0,"",INDEX('Our policies'!$G$4:$G$503,_calc!$E$509)),""))</f>
        <v/>
      </c>
      <c r="I507" s="46">
        <f>IF(_calc!$E$509="","",IF(_calc!$E$509&lt;=500,IF(LEN(INDEX('Our policies'!$H$4:$H$503,_calc!$E$509))=0,"",INDEX('Our policies'!$H$4:$H$503,_calc!$E$509)),""))</f>
        <v/>
      </c>
      <c r="K507" s="46">
        <f>IF(_calc!$E$509="","",IF(_calc!$E$509&lt;=500,IF(LEN(INDEX('Our policies'!$P$4:$P$503,_calc!$E$509))=0,"",INDEX('Our policies'!$P$4:$P$503,_calc!$E$509)),IF(LEN(INDEX('Vendor COIs'!$N$4:$N$503,(_calc!$E$509-500)))=0,"",INDEX('Vendor COIs'!$N$4:$N$503,(_calc!$E$509-500)))))</f>
        <v/>
      </c>
    </row>
    <row r="508">
      <c r="A508" s="46">
        <f>IF(_calc!$E$510="","",IF(_calc!$E$510&lt;=500,IF(LEN(INDEX('Our policies'!$A$4:$A$503,_calc!$E$510))=0,"",INDEX('Our policies'!$A$4:$A$503,_calc!$E$510)),"COI – "&amp;IF(LEN(INDEX('Vendor COIs'!$A$4:$A$503,(_calc!$E$510-500)))=0,"",INDEX('Vendor COIs'!$A$4:$A$503,(_calc!$E$510-500)))&amp;" – "&amp;IF(LEN(INDEX('Vendor COIs'!$B$4:$B$503,(_calc!$E$510-500)))=0,"",INDEX('Vendor COIs'!$B$4:$B$503,(_calc!$E$510-500)))))</f>
        <v/>
      </c>
      <c r="B508" s="46">
        <f>IF(_calc!$E$510="","",IF(_calc!$E$510&lt;=500,IF(ISNUMBER(INDEX('Our policies'!$J$4:$J$503,_calc!$E$510)),TEXT(INDEX('Our policies'!$J$4:$J$503,_calc!$E$510),"yyyy-mm-dd"),""),IF(ISNUMBER(INDEX('Vendor COIs'!$H$4:$H$503,(_calc!$E$510-500))),TEXT(INDEX('Vendor COIs'!$H$4:$H$503,(_calc!$E$510-500)),"yyyy-mm-dd"),"")))</f>
        <v/>
      </c>
      <c r="C508" s="46">
        <f>IF(_calc!$E$510="","",IF(_calc!$E$510&lt;=500,"Insurance","Certificate of insurance"))</f>
        <v/>
      </c>
      <c r="D508" s="46">
        <f>IF(_calc!$E$510="","",IF(_calc!$E$510&lt;=500,IF(ISNUMBER(INDEX('Our policies'!$I$4:$I$503,_calc!$E$510)),TEXT(INDEX('Our policies'!$I$4:$I$503,_calc!$E$510),"yyyy-mm-dd"),""),""))</f>
        <v/>
      </c>
      <c r="E508" s="46">
        <f>IF(_calc!$E$510="","",IF(_calc!$E$510&lt;=500,IF(LEN(INDEX('Our policies'!$Q$4:$Q$503,_calc!$E$510))=0,"",INDEX('Our policies'!$Q$4:$Q$503,_calc!$E$510)),"Medium"))</f>
        <v/>
      </c>
      <c r="F508" s="46">
        <f>IF(_calc!$E$510="","",IF(_calc!$E$510&lt;=500,TRIM(IF(LEN(IF(LEN(INDEX('Our policies'!$B$4:$B$503,_calc!$E$510))=0,"",INDEX('Our policies'!$B$4:$B$503,_calc!$E$510)))=0,"","Cover: "&amp;IF(LEN(INDEX('Our policies'!$B$4:$B$503,_calc!$E$510))=0,"",INDEX('Our policies'!$B$4:$B$503,_calc!$E$510))&amp;". ")&amp;IF(LEN(IF(LEN(INDEX('Our policies'!$C$4:$C$503,_calc!$E$510))=0,"",INDEX('Our policies'!$C$4:$C$503,_calc!$E$510)))=0,"","Insurer: "&amp;IF(LEN(INDEX('Our policies'!$C$4:$C$503,_calc!$E$510))=0,"",INDEX('Our policies'!$C$4:$C$503,_calc!$E$510))&amp;". ")&amp;IF(LEN(IF(LEN(INDEX('Our policies'!$D$4:$D$503,_calc!$E$510))=0,"",INDEX('Our policies'!$D$4:$D$503,_calc!$E$510)))=0,"","Broker: "&amp;IF(LEN(INDEX('Our policies'!$D$4:$D$503,_calc!$E$510))=0,"",INDEX('Our policies'!$D$4:$D$503,_calc!$E$510))&amp;". ")&amp;IF(LEN(IF(LEN(INDEX('Our policies'!$E$4:$E$503,_calc!$E$510))=0,"",INDEX('Our policies'!$E$4:$E$503,_calc!$E$510)))=0,"","Policy no.: "&amp;IF(LEN(INDEX('Our policies'!$E$4:$E$503,_calc!$E$510))=0,"",INDEX('Our policies'!$E$4:$E$503,_calc!$E$510))&amp;". ")&amp;IF(LEN(IF(LEN(INDEX('Our policies'!$S$4:$S$503,_calc!$E$510))=0,"",INDEX('Our policies'!$S$4:$S$503,_calc!$E$510)))=0,"",IF(LEN(INDEX('Our policies'!$S$4:$S$503,_calc!$E$510))=0,"",INDEX('Our policies'!$S$4:$S$503,_calc!$E$510)))),TRIM(IF(LEN(IF(LEN(INDEX('Vendor COIs'!$C$4:$C$503,(_calc!$E$510-500)))=0,"",INDEX('Vendor COIs'!$C$4:$C$503,(_calc!$E$510-500))))=0,"","Insurer: "&amp;IF(LEN(INDEX('Vendor COIs'!$C$4:$C$503,(_calc!$E$510-500)))=0,"",INDEX('Vendor COIs'!$C$4:$C$503,(_calc!$E$510-500)))&amp;". ")&amp;IF(LEN(IF(LEN(INDEX('Vendor COIs'!$D$4:$D$503,(_calc!$E$510-500)))=0,"",INDEX('Vendor COIs'!$D$4:$D$503,(_calc!$E$510-500))))=0,"","Policy no.: "&amp;IF(LEN(INDEX('Vendor COIs'!$D$4:$D$503,(_calc!$E$510-500)))=0,"",INDEX('Vendor COIs'!$D$4:$D$503,(_calc!$E$510-500)))&amp;". ")&amp;IF(LEN(IF(LEN(INDEX('Vendor COIs'!$F$4:$F$503,(_calc!$E$510-500)))=0,"",INDEX('Vendor COIs'!$F$4:$F$503,(_calc!$E$510-500))))=0,"","Meets minimum: "&amp;IF(LEN(INDEX('Vendor COIs'!$F$4:$F$503,(_calc!$E$510-500)))=0,"",INDEX('Vendor COIs'!$F$4:$F$503,(_calc!$E$510-500)))&amp;". ")&amp;IF(LEN(IF(LEN(INDEX('Vendor COIs'!$G$4:$G$503,(_calc!$E$510-500)))=0,"",INDEX('Vendor COIs'!$G$4:$G$503,(_calc!$E$510-500))))=0,"","Additional insured: "&amp;IF(LEN(INDEX('Vendor COIs'!$G$4:$G$503,(_calc!$E$510-500)))=0,"",INDEX('Vendor COIs'!$G$4:$G$503,(_calc!$E$510-500)))&amp;". ")&amp;IF(LEN(IF(LEN(INDEX('Vendor COIs'!$M$4:$M$503,(_calc!$E$510-500)))=0,"",INDEX('Vendor COIs'!$M$4:$M$503,(_calc!$E$510-500))))=0,"","Vendor contact: "&amp;IF(LEN(INDEX('Vendor COIs'!$M$4:$M$503,(_calc!$E$510-500)))=0,"",INDEX('Vendor COIs'!$M$4:$M$503,(_calc!$E$510-500)))&amp;". ")&amp;IF(LEN(IF(LEN(INDEX('Vendor COIs'!$P$4:$P$503,(_calc!$E$510-500)))=0,"",INDEX('Vendor COIs'!$P$4:$P$503,(_calc!$E$510-500))))=0,"",IF(LEN(INDEX('Vendor COIs'!$P$4:$P$503,(_calc!$E$510-500)))=0,"",INDEX('Vendor COIs'!$P$4:$P$503,(_calc!$E$510-500)))))))</f>
        <v/>
      </c>
      <c r="G508" s="46">
        <f>IF(_calc!$E$510="","",IF(_calc!$E$510&lt;=500,IF(LEN(INDEX('Our policies'!$R$4:$R$503,_calc!$E$510))=0,"",INDEX('Our policies'!$R$4:$R$503,_calc!$E$510)),IF(LEN(INDEX('Vendor COIs'!$O$4:$O$503,(_calc!$E$510-500)))=0,"",INDEX('Vendor COIs'!$O$4:$O$503,(_calc!$E$510-500)))))</f>
        <v/>
      </c>
      <c r="H508" s="46">
        <f>IF(_calc!$E$510="","",IF(_calc!$E$510&lt;=500,IF(LEN(INDEX('Our policies'!$G$4:$G$503,_calc!$E$510))=0,"",INDEX('Our policies'!$G$4:$G$503,_calc!$E$510)),""))</f>
        <v/>
      </c>
      <c r="I508" s="46">
        <f>IF(_calc!$E$510="","",IF(_calc!$E$510&lt;=500,IF(LEN(INDEX('Our policies'!$H$4:$H$503,_calc!$E$510))=0,"",INDEX('Our policies'!$H$4:$H$503,_calc!$E$510)),""))</f>
        <v/>
      </c>
      <c r="K508" s="46">
        <f>IF(_calc!$E$510="","",IF(_calc!$E$510&lt;=500,IF(LEN(INDEX('Our policies'!$P$4:$P$503,_calc!$E$510))=0,"",INDEX('Our policies'!$P$4:$P$503,_calc!$E$510)),IF(LEN(INDEX('Vendor COIs'!$N$4:$N$503,(_calc!$E$510-500)))=0,"",INDEX('Vendor COIs'!$N$4:$N$503,(_calc!$E$510-500)))))</f>
        <v/>
      </c>
    </row>
    <row r="509">
      <c r="A509" s="46">
        <f>IF(_calc!$E$511="","",IF(_calc!$E$511&lt;=500,IF(LEN(INDEX('Our policies'!$A$4:$A$503,_calc!$E$511))=0,"",INDEX('Our policies'!$A$4:$A$503,_calc!$E$511)),"COI – "&amp;IF(LEN(INDEX('Vendor COIs'!$A$4:$A$503,(_calc!$E$511-500)))=0,"",INDEX('Vendor COIs'!$A$4:$A$503,(_calc!$E$511-500)))&amp;" – "&amp;IF(LEN(INDEX('Vendor COIs'!$B$4:$B$503,(_calc!$E$511-500)))=0,"",INDEX('Vendor COIs'!$B$4:$B$503,(_calc!$E$511-500)))))</f>
        <v/>
      </c>
      <c r="B509" s="46">
        <f>IF(_calc!$E$511="","",IF(_calc!$E$511&lt;=500,IF(ISNUMBER(INDEX('Our policies'!$J$4:$J$503,_calc!$E$511)),TEXT(INDEX('Our policies'!$J$4:$J$503,_calc!$E$511),"yyyy-mm-dd"),""),IF(ISNUMBER(INDEX('Vendor COIs'!$H$4:$H$503,(_calc!$E$511-500))),TEXT(INDEX('Vendor COIs'!$H$4:$H$503,(_calc!$E$511-500)),"yyyy-mm-dd"),"")))</f>
        <v/>
      </c>
      <c r="C509" s="46">
        <f>IF(_calc!$E$511="","",IF(_calc!$E$511&lt;=500,"Insurance","Certificate of insurance"))</f>
        <v/>
      </c>
      <c r="D509" s="46">
        <f>IF(_calc!$E$511="","",IF(_calc!$E$511&lt;=500,IF(ISNUMBER(INDEX('Our policies'!$I$4:$I$503,_calc!$E$511)),TEXT(INDEX('Our policies'!$I$4:$I$503,_calc!$E$511),"yyyy-mm-dd"),""),""))</f>
        <v/>
      </c>
      <c r="E509" s="46">
        <f>IF(_calc!$E$511="","",IF(_calc!$E$511&lt;=500,IF(LEN(INDEX('Our policies'!$Q$4:$Q$503,_calc!$E$511))=0,"",INDEX('Our policies'!$Q$4:$Q$503,_calc!$E$511)),"Medium"))</f>
        <v/>
      </c>
      <c r="F509" s="46">
        <f>IF(_calc!$E$511="","",IF(_calc!$E$511&lt;=500,TRIM(IF(LEN(IF(LEN(INDEX('Our policies'!$B$4:$B$503,_calc!$E$511))=0,"",INDEX('Our policies'!$B$4:$B$503,_calc!$E$511)))=0,"","Cover: "&amp;IF(LEN(INDEX('Our policies'!$B$4:$B$503,_calc!$E$511))=0,"",INDEX('Our policies'!$B$4:$B$503,_calc!$E$511))&amp;". ")&amp;IF(LEN(IF(LEN(INDEX('Our policies'!$C$4:$C$503,_calc!$E$511))=0,"",INDEX('Our policies'!$C$4:$C$503,_calc!$E$511)))=0,"","Insurer: "&amp;IF(LEN(INDEX('Our policies'!$C$4:$C$503,_calc!$E$511))=0,"",INDEX('Our policies'!$C$4:$C$503,_calc!$E$511))&amp;". ")&amp;IF(LEN(IF(LEN(INDEX('Our policies'!$D$4:$D$503,_calc!$E$511))=0,"",INDEX('Our policies'!$D$4:$D$503,_calc!$E$511)))=0,"","Broker: "&amp;IF(LEN(INDEX('Our policies'!$D$4:$D$503,_calc!$E$511))=0,"",INDEX('Our policies'!$D$4:$D$503,_calc!$E$511))&amp;". ")&amp;IF(LEN(IF(LEN(INDEX('Our policies'!$E$4:$E$503,_calc!$E$511))=0,"",INDEX('Our policies'!$E$4:$E$503,_calc!$E$511)))=0,"","Policy no.: "&amp;IF(LEN(INDEX('Our policies'!$E$4:$E$503,_calc!$E$511))=0,"",INDEX('Our policies'!$E$4:$E$503,_calc!$E$511))&amp;". ")&amp;IF(LEN(IF(LEN(INDEX('Our policies'!$S$4:$S$503,_calc!$E$511))=0,"",INDEX('Our policies'!$S$4:$S$503,_calc!$E$511)))=0,"",IF(LEN(INDEX('Our policies'!$S$4:$S$503,_calc!$E$511))=0,"",INDEX('Our policies'!$S$4:$S$503,_calc!$E$511)))),TRIM(IF(LEN(IF(LEN(INDEX('Vendor COIs'!$C$4:$C$503,(_calc!$E$511-500)))=0,"",INDEX('Vendor COIs'!$C$4:$C$503,(_calc!$E$511-500))))=0,"","Insurer: "&amp;IF(LEN(INDEX('Vendor COIs'!$C$4:$C$503,(_calc!$E$511-500)))=0,"",INDEX('Vendor COIs'!$C$4:$C$503,(_calc!$E$511-500)))&amp;". ")&amp;IF(LEN(IF(LEN(INDEX('Vendor COIs'!$D$4:$D$503,(_calc!$E$511-500)))=0,"",INDEX('Vendor COIs'!$D$4:$D$503,(_calc!$E$511-500))))=0,"","Policy no.: "&amp;IF(LEN(INDEX('Vendor COIs'!$D$4:$D$503,(_calc!$E$511-500)))=0,"",INDEX('Vendor COIs'!$D$4:$D$503,(_calc!$E$511-500)))&amp;". ")&amp;IF(LEN(IF(LEN(INDEX('Vendor COIs'!$F$4:$F$503,(_calc!$E$511-500)))=0,"",INDEX('Vendor COIs'!$F$4:$F$503,(_calc!$E$511-500))))=0,"","Meets minimum: "&amp;IF(LEN(INDEX('Vendor COIs'!$F$4:$F$503,(_calc!$E$511-500)))=0,"",INDEX('Vendor COIs'!$F$4:$F$503,(_calc!$E$511-500)))&amp;". ")&amp;IF(LEN(IF(LEN(INDEX('Vendor COIs'!$G$4:$G$503,(_calc!$E$511-500)))=0,"",INDEX('Vendor COIs'!$G$4:$G$503,(_calc!$E$511-500))))=0,"","Additional insured: "&amp;IF(LEN(INDEX('Vendor COIs'!$G$4:$G$503,(_calc!$E$511-500)))=0,"",INDEX('Vendor COIs'!$G$4:$G$503,(_calc!$E$511-500)))&amp;". ")&amp;IF(LEN(IF(LEN(INDEX('Vendor COIs'!$M$4:$M$503,(_calc!$E$511-500)))=0,"",INDEX('Vendor COIs'!$M$4:$M$503,(_calc!$E$511-500))))=0,"","Vendor contact: "&amp;IF(LEN(INDEX('Vendor COIs'!$M$4:$M$503,(_calc!$E$511-500)))=0,"",INDEX('Vendor COIs'!$M$4:$M$503,(_calc!$E$511-500)))&amp;". ")&amp;IF(LEN(IF(LEN(INDEX('Vendor COIs'!$P$4:$P$503,(_calc!$E$511-500)))=0,"",INDEX('Vendor COIs'!$P$4:$P$503,(_calc!$E$511-500))))=0,"",IF(LEN(INDEX('Vendor COIs'!$P$4:$P$503,(_calc!$E$511-500)))=0,"",INDEX('Vendor COIs'!$P$4:$P$503,(_calc!$E$511-500)))))))</f>
        <v/>
      </c>
      <c r="G509" s="46">
        <f>IF(_calc!$E$511="","",IF(_calc!$E$511&lt;=500,IF(LEN(INDEX('Our policies'!$R$4:$R$503,_calc!$E$511))=0,"",INDEX('Our policies'!$R$4:$R$503,_calc!$E$511)),IF(LEN(INDEX('Vendor COIs'!$O$4:$O$503,(_calc!$E$511-500)))=0,"",INDEX('Vendor COIs'!$O$4:$O$503,(_calc!$E$511-500)))))</f>
        <v/>
      </c>
      <c r="H509" s="46">
        <f>IF(_calc!$E$511="","",IF(_calc!$E$511&lt;=500,IF(LEN(INDEX('Our policies'!$G$4:$G$503,_calc!$E$511))=0,"",INDEX('Our policies'!$G$4:$G$503,_calc!$E$511)),""))</f>
        <v/>
      </c>
      <c r="I509" s="46">
        <f>IF(_calc!$E$511="","",IF(_calc!$E$511&lt;=500,IF(LEN(INDEX('Our policies'!$H$4:$H$503,_calc!$E$511))=0,"",INDEX('Our policies'!$H$4:$H$503,_calc!$E$511)),""))</f>
        <v/>
      </c>
      <c r="K509" s="46">
        <f>IF(_calc!$E$511="","",IF(_calc!$E$511&lt;=500,IF(LEN(INDEX('Our policies'!$P$4:$P$503,_calc!$E$511))=0,"",INDEX('Our policies'!$P$4:$P$503,_calc!$E$511)),IF(LEN(INDEX('Vendor COIs'!$N$4:$N$503,(_calc!$E$511-500)))=0,"",INDEX('Vendor COIs'!$N$4:$N$503,(_calc!$E$511-500)))))</f>
        <v/>
      </c>
    </row>
    <row r="510">
      <c r="A510" s="46">
        <f>IF(_calc!$E$512="","",IF(_calc!$E$512&lt;=500,IF(LEN(INDEX('Our policies'!$A$4:$A$503,_calc!$E$512))=0,"",INDEX('Our policies'!$A$4:$A$503,_calc!$E$512)),"COI – "&amp;IF(LEN(INDEX('Vendor COIs'!$A$4:$A$503,(_calc!$E$512-500)))=0,"",INDEX('Vendor COIs'!$A$4:$A$503,(_calc!$E$512-500)))&amp;" – "&amp;IF(LEN(INDEX('Vendor COIs'!$B$4:$B$503,(_calc!$E$512-500)))=0,"",INDEX('Vendor COIs'!$B$4:$B$503,(_calc!$E$512-500)))))</f>
        <v/>
      </c>
      <c r="B510" s="46">
        <f>IF(_calc!$E$512="","",IF(_calc!$E$512&lt;=500,IF(ISNUMBER(INDEX('Our policies'!$J$4:$J$503,_calc!$E$512)),TEXT(INDEX('Our policies'!$J$4:$J$503,_calc!$E$512),"yyyy-mm-dd"),""),IF(ISNUMBER(INDEX('Vendor COIs'!$H$4:$H$503,(_calc!$E$512-500))),TEXT(INDEX('Vendor COIs'!$H$4:$H$503,(_calc!$E$512-500)),"yyyy-mm-dd"),"")))</f>
        <v/>
      </c>
      <c r="C510" s="46">
        <f>IF(_calc!$E$512="","",IF(_calc!$E$512&lt;=500,"Insurance","Certificate of insurance"))</f>
        <v/>
      </c>
      <c r="D510" s="46">
        <f>IF(_calc!$E$512="","",IF(_calc!$E$512&lt;=500,IF(ISNUMBER(INDEX('Our policies'!$I$4:$I$503,_calc!$E$512)),TEXT(INDEX('Our policies'!$I$4:$I$503,_calc!$E$512),"yyyy-mm-dd"),""),""))</f>
        <v/>
      </c>
      <c r="E510" s="46">
        <f>IF(_calc!$E$512="","",IF(_calc!$E$512&lt;=500,IF(LEN(INDEX('Our policies'!$Q$4:$Q$503,_calc!$E$512))=0,"",INDEX('Our policies'!$Q$4:$Q$503,_calc!$E$512)),"Medium"))</f>
        <v/>
      </c>
      <c r="F510" s="46">
        <f>IF(_calc!$E$512="","",IF(_calc!$E$512&lt;=500,TRIM(IF(LEN(IF(LEN(INDEX('Our policies'!$B$4:$B$503,_calc!$E$512))=0,"",INDEX('Our policies'!$B$4:$B$503,_calc!$E$512)))=0,"","Cover: "&amp;IF(LEN(INDEX('Our policies'!$B$4:$B$503,_calc!$E$512))=0,"",INDEX('Our policies'!$B$4:$B$503,_calc!$E$512))&amp;". ")&amp;IF(LEN(IF(LEN(INDEX('Our policies'!$C$4:$C$503,_calc!$E$512))=0,"",INDEX('Our policies'!$C$4:$C$503,_calc!$E$512)))=0,"","Insurer: "&amp;IF(LEN(INDEX('Our policies'!$C$4:$C$503,_calc!$E$512))=0,"",INDEX('Our policies'!$C$4:$C$503,_calc!$E$512))&amp;". ")&amp;IF(LEN(IF(LEN(INDEX('Our policies'!$D$4:$D$503,_calc!$E$512))=0,"",INDEX('Our policies'!$D$4:$D$503,_calc!$E$512)))=0,"","Broker: "&amp;IF(LEN(INDEX('Our policies'!$D$4:$D$503,_calc!$E$512))=0,"",INDEX('Our policies'!$D$4:$D$503,_calc!$E$512))&amp;". ")&amp;IF(LEN(IF(LEN(INDEX('Our policies'!$E$4:$E$503,_calc!$E$512))=0,"",INDEX('Our policies'!$E$4:$E$503,_calc!$E$512)))=0,"","Policy no.: "&amp;IF(LEN(INDEX('Our policies'!$E$4:$E$503,_calc!$E$512))=0,"",INDEX('Our policies'!$E$4:$E$503,_calc!$E$512))&amp;". ")&amp;IF(LEN(IF(LEN(INDEX('Our policies'!$S$4:$S$503,_calc!$E$512))=0,"",INDEX('Our policies'!$S$4:$S$503,_calc!$E$512)))=0,"",IF(LEN(INDEX('Our policies'!$S$4:$S$503,_calc!$E$512))=0,"",INDEX('Our policies'!$S$4:$S$503,_calc!$E$512)))),TRIM(IF(LEN(IF(LEN(INDEX('Vendor COIs'!$C$4:$C$503,(_calc!$E$512-500)))=0,"",INDEX('Vendor COIs'!$C$4:$C$503,(_calc!$E$512-500))))=0,"","Insurer: "&amp;IF(LEN(INDEX('Vendor COIs'!$C$4:$C$503,(_calc!$E$512-500)))=0,"",INDEX('Vendor COIs'!$C$4:$C$503,(_calc!$E$512-500)))&amp;". ")&amp;IF(LEN(IF(LEN(INDEX('Vendor COIs'!$D$4:$D$503,(_calc!$E$512-500)))=0,"",INDEX('Vendor COIs'!$D$4:$D$503,(_calc!$E$512-500))))=0,"","Policy no.: "&amp;IF(LEN(INDEX('Vendor COIs'!$D$4:$D$503,(_calc!$E$512-500)))=0,"",INDEX('Vendor COIs'!$D$4:$D$503,(_calc!$E$512-500)))&amp;". ")&amp;IF(LEN(IF(LEN(INDEX('Vendor COIs'!$F$4:$F$503,(_calc!$E$512-500)))=0,"",INDEX('Vendor COIs'!$F$4:$F$503,(_calc!$E$512-500))))=0,"","Meets minimum: "&amp;IF(LEN(INDEX('Vendor COIs'!$F$4:$F$503,(_calc!$E$512-500)))=0,"",INDEX('Vendor COIs'!$F$4:$F$503,(_calc!$E$512-500)))&amp;". ")&amp;IF(LEN(IF(LEN(INDEX('Vendor COIs'!$G$4:$G$503,(_calc!$E$512-500)))=0,"",INDEX('Vendor COIs'!$G$4:$G$503,(_calc!$E$512-500))))=0,"","Additional insured: "&amp;IF(LEN(INDEX('Vendor COIs'!$G$4:$G$503,(_calc!$E$512-500)))=0,"",INDEX('Vendor COIs'!$G$4:$G$503,(_calc!$E$512-500)))&amp;". ")&amp;IF(LEN(IF(LEN(INDEX('Vendor COIs'!$M$4:$M$503,(_calc!$E$512-500)))=0,"",INDEX('Vendor COIs'!$M$4:$M$503,(_calc!$E$512-500))))=0,"","Vendor contact: "&amp;IF(LEN(INDEX('Vendor COIs'!$M$4:$M$503,(_calc!$E$512-500)))=0,"",INDEX('Vendor COIs'!$M$4:$M$503,(_calc!$E$512-500)))&amp;". ")&amp;IF(LEN(IF(LEN(INDEX('Vendor COIs'!$P$4:$P$503,(_calc!$E$512-500)))=0,"",INDEX('Vendor COIs'!$P$4:$P$503,(_calc!$E$512-500))))=0,"",IF(LEN(INDEX('Vendor COIs'!$P$4:$P$503,(_calc!$E$512-500)))=0,"",INDEX('Vendor COIs'!$P$4:$P$503,(_calc!$E$512-500)))))))</f>
        <v/>
      </c>
      <c r="G510" s="46">
        <f>IF(_calc!$E$512="","",IF(_calc!$E$512&lt;=500,IF(LEN(INDEX('Our policies'!$R$4:$R$503,_calc!$E$512))=0,"",INDEX('Our policies'!$R$4:$R$503,_calc!$E$512)),IF(LEN(INDEX('Vendor COIs'!$O$4:$O$503,(_calc!$E$512-500)))=0,"",INDEX('Vendor COIs'!$O$4:$O$503,(_calc!$E$512-500)))))</f>
        <v/>
      </c>
      <c r="H510" s="46">
        <f>IF(_calc!$E$512="","",IF(_calc!$E$512&lt;=500,IF(LEN(INDEX('Our policies'!$G$4:$G$503,_calc!$E$512))=0,"",INDEX('Our policies'!$G$4:$G$503,_calc!$E$512)),""))</f>
        <v/>
      </c>
      <c r="I510" s="46">
        <f>IF(_calc!$E$512="","",IF(_calc!$E$512&lt;=500,IF(LEN(INDEX('Our policies'!$H$4:$H$503,_calc!$E$512))=0,"",INDEX('Our policies'!$H$4:$H$503,_calc!$E$512)),""))</f>
        <v/>
      </c>
      <c r="K510" s="46">
        <f>IF(_calc!$E$512="","",IF(_calc!$E$512&lt;=500,IF(LEN(INDEX('Our policies'!$P$4:$P$503,_calc!$E$512))=0,"",INDEX('Our policies'!$P$4:$P$503,_calc!$E$512)),IF(LEN(INDEX('Vendor COIs'!$N$4:$N$503,(_calc!$E$512-500)))=0,"",INDEX('Vendor COIs'!$N$4:$N$503,(_calc!$E$512-500)))))</f>
        <v/>
      </c>
    </row>
    <row r="511">
      <c r="A511" s="46">
        <f>IF(_calc!$E$513="","",IF(_calc!$E$513&lt;=500,IF(LEN(INDEX('Our policies'!$A$4:$A$503,_calc!$E$513))=0,"",INDEX('Our policies'!$A$4:$A$503,_calc!$E$513)),"COI – "&amp;IF(LEN(INDEX('Vendor COIs'!$A$4:$A$503,(_calc!$E$513-500)))=0,"",INDEX('Vendor COIs'!$A$4:$A$503,(_calc!$E$513-500)))&amp;" – "&amp;IF(LEN(INDEX('Vendor COIs'!$B$4:$B$503,(_calc!$E$513-500)))=0,"",INDEX('Vendor COIs'!$B$4:$B$503,(_calc!$E$513-500)))))</f>
        <v/>
      </c>
      <c r="B511" s="46">
        <f>IF(_calc!$E$513="","",IF(_calc!$E$513&lt;=500,IF(ISNUMBER(INDEX('Our policies'!$J$4:$J$503,_calc!$E$513)),TEXT(INDEX('Our policies'!$J$4:$J$503,_calc!$E$513),"yyyy-mm-dd"),""),IF(ISNUMBER(INDEX('Vendor COIs'!$H$4:$H$503,(_calc!$E$513-500))),TEXT(INDEX('Vendor COIs'!$H$4:$H$503,(_calc!$E$513-500)),"yyyy-mm-dd"),"")))</f>
        <v/>
      </c>
      <c r="C511" s="46">
        <f>IF(_calc!$E$513="","",IF(_calc!$E$513&lt;=500,"Insurance","Certificate of insurance"))</f>
        <v/>
      </c>
      <c r="D511" s="46">
        <f>IF(_calc!$E$513="","",IF(_calc!$E$513&lt;=500,IF(ISNUMBER(INDEX('Our policies'!$I$4:$I$503,_calc!$E$513)),TEXT(INDEX('Our policies'!$I$4:$I$503,_calc!$E$513),"yyyy-mm-dd"),""),""))</f>
        <v/>
      </c>
      <c r="E511" s="46">
        <f>IF(_calc!$E$513="","",IF(_calc!$E$513&lt;=500,IF(LEN(INDEX('Our policies'!$Q$4:$Q$503,_calc!$E$513))=0,"",INDEX('Our policies'!$Q$4:$Q$503,_calc!$E$513)),"Medium"))</f>
        <v/>
      </c>
      <c r="F511" s="46">
        <f>IF(_calc!$E$513="","",IF(_calc!$E$513&lt;=500,TRIM(IF(LEN(IF(LEN(INDEX('Our policies'!$B$4:$B$503,_calc!$E$513))=0,"",INDEX('Our policies'!$B$4:$B$503,_calc!$E$513)))=0,"","Cover: "&amp;IF(LEN(INDEX('Our policies'!$B$4:$B$503,_calc!$E$513))=0,"",INDEX('Our policies'!$B$4:$B$503,_calc!$E$513))&amp;". ")&amp;IF(LEN(IF(LEN(INDEX('Our policies'!$C$4:$C$503,_calc!$E$513))=0,"",INDEX('Our policies'!$C$4:$C$503,_calc!$E$513)))=0,"","Insurer: "&amp;IF(LEN(INDEX('Our policies'!$C$4:$C$503,_calc!$E$513))=0,"",INDEX('Our policies'!$C$4:$C$503,_calc!$E$513))&amp;". ")&amp;IF(LEN(IF(LEN(INDEX('Our policies'!$D$4:$D$503,_calc!$E$513))=0,"",INDEX('Our policies'!$D$4:$D$503,_calc!$E$513)))=0,"","Broker: "&amp;IF(LEN(INDEX('Our policies'!$D$4:$D$503,_calc!$E$513))=0,"",INDEX('Our policies'!$D$4:$D$503,_calc!$E$513))&amp;". ")&amp;IF(LEN(IF(LEN(INDEX('Our policies'!$E$4:$E$503,_calc!$E$513))=0,"",INDEX('Our policies'!$E$4:$E$503,_calc!$E$513)))=0,"","Policy no.: "&amp;IF(LEN(INDEX('Our policies'!$E$4:$E$503,_calc!$E$513))=0,"",INDEX('Our policies'!$E$4:$E$503,_calc!$E$513))&amp;". ")&amp;IF(LEN(IF(LEN(INDEX('Our policies'!$S$4:$S$503,_calc!$E$513))=0,"",INDEX('Our policies'!$S$4:$S$503,_calc!$E$513)))=0,"",IF(LEN(INDEX('Our policies'!$S$4:$S$503,_calc!$E$513))=0,"",INDEX('Our policies'!$S$4:$S$503,_calc!$E$513)))),TRIM(IF(LEN(IF(LEN(INDEX('Vendor COIs'!$C$4:$C$503,(_calc!$E$513-500)))=0,"",INDEX('Vendor COIs'!$C$4:$C$503,(_calc!$E$513-500))))=0,"","Insurer: "&amp;IF(LEN(INDEX('Vendor COIs'!$C$4:$C$503,(_calc!$E$513-500)))=0,"",INDEX('Vendor COIs'!$C$4:$C$503,(_calc!$E$513-500)))&amp;". ")&amp;IF(LEN(IF(LEN(INDEX('Vendor COIs'!$D$4:$D$503,(_calc!$E$513-500)))=0,"",INDEX('Vendor COIs'!$D$4:$D$503,(_calc!$E$513-500))))=0,"","Policy no.: "&amp;IF(LEN(INDEX('Vendor COIs'!$D$4:$D$503,(_calc!$E$513-500)))=0,"",INDEX('Vendor COIs'!$D$4:$D$503,(_calc!$E$513-500)))&amp;". ")&amp;IF(LEN(IF(LEN(INDEX('Vendor COIs'!$F$4:$F$503,(_calc!$E$513-500)))=0,"",INDEX('Vendor COIs'!$F$4:$F$503,(_calc!$E$513-500))))=0,"","Meets minimum: "&amp;IF(LEN(INDEX('Vendor COIs'!$F$4:$F$503,(_calc!$E$513-500)))=0,"",INDEX('Vendor COIs'!$F$4:$F$503,(_calc!$E$513-500)))&amp;". ")&amp;IF(LEN(IF(LEN(INDEX('Vendor COIs'!$G$4:$G$503,(_calc!$E$513-500)))=0,"",INDEX('Vendor COIs'!$G$4:$G$503,(_calc!$E$513-500))))=0,"","Additional insured: "&amp;IF(LEN(INDEX('Vendor COIs'!$G$4:$G$503,(_calc!$E$513-500)))=0,"",INDEX('Vendor COIs'!$G$4:$G$503,(_calc!$E$513-500)))&amp;". ")&amp;IF(LEN(IF(LEN(INDEX('Vendor COIs'!$M$4:$M$503,(_calc!$E$513-500)))=0,"",INDEX('Vendor COIs'!$M$4:$M$503,(_calc!$E$513-500))))=0,"","Vendor contact: "&amp;IF(LEN(INDEX('Vendor COIs'!$M$4:$M$503,(_calc!$E$513-500)))=0,"",INDEX('Vendor COIs'!$M$4:$M$503,(_calc!$E$513-500)))&amp;". ")&amp;IF(LEN(IF(LEN(INDEX('Vendor COIs'!$P$4:$P$503,(_calc!$E$513-500)))=0,"",INDEX('Vendor COIs'!$P$4:$P$503,(_calc!$E$513-500))))=0,"",IF(LEN(INDEX('Vendor COIs'!$P$4:$P$503,(_calc!$E$513-500)))=0,"",INDEX('Vendor COIs'!$P$4:$P$503,(_calc!$E$513-500)))))))</f>
        <v/>
      </c>
      <c r="G511" s="46">
        <f>IF(_calc!$E$513="","",IF(_calc!$E$513&lt;=500,IF(LEN(INDEX('Our policies'!$R$4:$R$503,_calc!$E$513))=0,"",INDEX('Our policies'!$R$4:$R$503,_calc!$E$513)),IF(LEN(INDEX('Vendor COIs'!$O$4:$O$503,(_calc!$E$513-500)))=0,"",INDEX('Vendor COIs'!$O$4:$O$503,(_calc!$E$513-500)))))</f>
        <v/>
      </c>
      <c r="H511" s="46">
        <f>IF(_calc!$E$513="","",IF(_calc!$E$513&lt;=500,IF(LEN(INDEX('Our policies'!$G$4:$G$503,_calc!$E$513))=0,"",INDEX('Our policies'!$G$4:$G$503,_calc!$E$513)),""))</f>
        <v/>
      </c>
      <c r="I511" s="46">
        <f>IF(_calc!$E$513="","",IF(_calc!$E$513&lt;=500,IF(LEN(INDEX('Our policies'!$H$4:$H$503,_calc!$E$513))=0,"",INDEX('Our policies'!$H$4:$H$503,_calc!$E$513)),""))</f>
        <v/>
      </c>
      <c r="K511" s="46">
        <f>IF(_calc!$E$513="","",IF(_calc!$E$513&lt;=500,IF(LEN(INDEX('Our policies'!$P$4:$P$503,_calc!$E$513))=0,"",INDEX('Our policies'!$P$4:$P$503,_calc!$E$513)),IF(LEN(INDEX('Vendor COIs'!$N$4:$N$503,(_calc!$E$513-500)))=0,"",INDEX('Vendor COIs'!$N$4:$N$503,(_calc!$E$513-500)))))</f>
        <v/>
      </c>
    </row>
    <row r="512">
      <c r="A512" s="46">
        <f>IF(_calc!$E$514="","",IF(_calc!$E$514&lt;=500,IF(LEN(INDEX('Our policies'!$A$4:$A$503,_calc!$E$514))=0,"",INDEX('Our policies'!$A$4:$A$503,_calc!$E$514)),"COI – "&amp;IF(LEN(INDEX('Vendor COIs'!$A$4:$A$503,(_calc!$E$514-500)))=0,"",INDEX('Vendor COIs'!$A$4:$A$503,(_calc!$E$514-500)))&amp;" – "&amp;IF(LEN(INDEX('Vendor COIs'!$B$4:$B$503,(_calc!$E$514-500)))=0,"",INDEX('Vendor COIs'!$B$4:$B$503,(_calc!$E$514-500)))))</f>
        <v/>
      </c>
      <c r="B512" s="46">
        <f>IF(_calc!$E$514="","",IF(_calc!$E$514&lt;=500,IF(ISNUMBER(INDEX('Our policies'!$J$4:$J$503,_calc!$E$514)),TEXT(INDEX('Our policies'!$J$4:$J$503,_calc!$E$514),"yyyy-mm-dd"),""),IF(ISNUMBER(INDEX('Vendor COIs'!$H$4:$H$503,(_calc!$E$514-500))),TEXT(INDEX('Vendor COIs'!$H$4:$H$503,(_calc!$E$514-500)),"yyyy-mm-dd"),"")))</f>
        <v/>
      </c>
      <c r="C512" s="46">
        <f>IF(_calc!$E$514="","",IF(_calc!$E$514&lt;=500,"Insurance","Certificate of insurance"))</f>
        <v/>
      </c>
      <c r="D512" s="46">
        <f>IF(_calc!$E$514="","",IF(_calc!$E$514&lt;=500,IF(ISNUMBER(INDEX('Our policies'!$I$4:$I$503,_calc!$E$514)),TEXT(INDEX('Our policies'!$I$4:$I$503,_calc!$E$514),"yyyy-mm-dd"),""),""))</f>
        <v/>
      </c>
      <c r="E512" s="46">
        <f>IF(_calc!$E$514="","",IF(_calc!$E$514&lt;=500,IF(LEN(INDEX('Our policies'!$Q$4:$Q$503,_calc!$E$514))=0,"",INDEX('Our policies'!$Q$4:$Q$503,_calc!$E$514)),"Medium"))</f>
        <v/>
      </c>
      <c r="F512" s="46">
        <f>IF(_calc!$E$514="","",IF(_calc!$E$514&lt;=500,TRIM(IF(LEN(IF(LEN(INDEX('Our policies'!$B$4:$B$503,_calc!$E$514))=0,"",INDEX('Our policies'!$B$4:$B$503,_calc!$E$514)))=0,"","Cover: "&amp;IF(LEN(INDEX('Our policies'!$B$4:$B$503,_calc!$E$514))=0,"",INDEX('Our policies'!$B$4:$B$503,_calc!$E$514))&amp;". ")&amp;IF(LEN(IF(LEN(INDEX('Our policies'!$C$4:$C$503,_calc!$E$514))=0,"",INDEX('Our policies'!$C$4:$C$503,_calc!$E$514)))=0,"","Insurer: "&amp;IF(LEN(INDEX('Our policies'!$C$4:$C$503,_calc!$E$514))=0,"",INDEX('Our policies'!$C$4:$C$503,_calc!$E$514))&amp;". ")&amp;IF(LEN(IF(LEN(INDEX('Our policies'!$D$4:$D$503,_calc!$E$514))=0,"",INDEX('Our policies'!$D$4:$D$503,_calc!$E$514)))=0,"","Broker: "&amp;IF(LEN(INDEX('Our policies'!$D$4:$D$503,_calc!$E$514))=0,"",INDEX('Our policies'!$D$4:$D$503,_calc!$E$514))&amp;". ")&amp;IF(LEN(IF(LEN(INDEX('Our policies'!$E$4:$E$503,_calc!$E$514))=0,"",INDEX('Our policies'!$E$4:$E$503,_calc!$E$514)))=0,"","Policy no.: "&amp;IF(LEN(INDEX('Our policies'!$E$4:$E$503,_calc!$E$514))=0,"",INDEX('Our policies'!$E$4:$E$503,_calc!$E$514))&amp;". ")&amp;IF(LEN(IF(LEN(INDEX('Our policies'!$S$4:$S$503,_calc!$E$514))=0,"",INDEX('Our policies'!$S$4:$S$503,_calc!$E$514)))=0,"",IF(LEN(INDEX('Our policies'!$S$4:$S$503,_calc!$E$514))=0,"",INDEX('Our policies'!$S$4:$S$503,_calc!$E$514)))),TRIM(IF(LEN(IF(LEN(INDEX('Vendor COIs'!$C$4:$C$503,(_calc!$E$514-500)))=0,"",INDEX('Vendor COIs'!$C$4:$C$503,(_calc!$E$514-500))))=0,"","Insurer: "&amp;IF(LEN(INDEX('Vendor COIs'!$C$4:$C$503,(_calc!$E$514-500)))=0,"",INDEX('Vendor COIs'!$C$4:$C$503,(_calc!$E$514-500)))&amp;". ")&amp;IF(LEN(IF(LEN(INDEX('Vendor COIs'!$D$4:$D$503,(_calc!$E$514-500)))=0,"",INDEX('Vendor COIs'!$D$4:$D$503,(_calc!$E$514-500))))=0,"","Policy no.: "&amp;IF(LEN(INDEX('Vendor COIs'!$D$4:$D$503,(_calc!$E$514-500)))=0,"",INDEX('Vendor COIs'!$D$4:$D$503,(_calc!$E$514-500)))&amp;". ")&amp;IF(LEN(IF(LEN(INDEX('Vendor COIs'!$F$4:$F$503,(_calc!$E$514-500)))=0,"",INDEX('Vendor COIs'!$F$4:$F$503,(_calc!$E$514-500))))=0,"","Meets minimum: "&amp;IF(LEN(INDEX('Vendor COIs'!$F$4:$F$503,(_calc!$E$514-500)))=0,"",INDEX('Vendor COIs'!$F$4:$F$503,(_calc!$E$514-500)))&amp;". ")&amp;IF(LEN(IF(LEN(INDEX('Vendor COIs'!$G$4:$G$503,(_calc!$E$514-500)))=0,"",INDEX('Vendor COIs'!$G$4:$G$503,(_calc!$E$514-500))))=0,"","Additional insured: "&amp;IF(LEN(INDEX('Vendor COIs'!$G$4:$G$503,(_calc!$E$514-500)))=0,"",INDEX('Vendor COIs'!$G$4:$G$503,(_calc!$E$514-500)))&amp;". ")&amp;IF(LEN(IF(LEN(INDEX('Vendor COIs'!$M$4:$M$503,(_calc!$E$514-500)))=0,"",INDEX('Vendor COIs'!$M$4:$M$503,(_calc!$E$514-500))))=0,"","Vendor contact: "&amp;IF(LEN(INDEX('Vendor COIs'!$M$4:$M$503,(_calc!$E$514-500)))=0,"",INDEX('Vendor COIs'!$M$4:$M$503,(_calc!$E$514-500)))&amp;". ")&amp;IF(LEN(IF(LEN(INDEX('Vendor COIs'!$P$4:$P$503,(_calc!$E$514-500)))=0,"",INDEX('Vendor COIs'!$P$4:$P$503,(_calc!$E$514-500))))=0,"",IF(LEN(INDEX('Vendor COIs'!$P$4:$P$503,(_calc!$E$514-500)))=0,"",INDEX('Vendor COIs'!$P$4:$P$503,(_calc!$E$514-500)))))))</f>
        <v/>
      </c>
      <c r="G512" s="46">
        <f>IF(_calc!$E$514="","",IF(_calc!$E$514&lt;=500,IF(LEN(INDEX('Our policies'!$R$4:$R$503,_calc!$E$514))=0,"",INDEX('Our policies'!$R$4:$R$503,_calc!$E$514)),IF(LEN(INDEX('Vendor COIs'!$O$4:$O$503,(_calc!$E$514-500)))=0,"",INDEX('Vendor COIs'!$O$4:$O$503,(_calc!$E$514-500)))))</f>
        <v/>
      </c>
      <c r="H512" s="46">
        <f>IF(_calc!$E$514="","",IF(_calc!$E$514&lt;=500,IF(LEN(INDEX('Our policies'!$G$4:$G$503,_calc!$E$514))=0,"",INDEX('Our policies'!$G$4:$G$503,_calc!$E$514)),""))</f>
        <v/>
      </c>
      <c r="I512" s="46">
        <f>IF(_calc!$E$514="","",IF(_calc!$E$514&lt;=500,IF(LEN(INDEX('Our policies'!$H$4:$H$503,_calc!$E$514))=0,"",INDEX('Our policies'!$H$4:$H$503,_calc!$E$514)),""))</f>
        <v/>
      </c>
      <c r="K512" s="46">
        <f>IF(_calc!$E$514="","",IF(_calc!$E$514&lt;=500,IF(LEN(INDEX('Our policies'!$P$4:$P$503,_calc!$E$514))=0,"",INDEX('Our policies'!$P$4:$P$503,_calc!$E$514)),IF(LEN(INDEX('Vendor COIs'!$N$4:$N$503,(_calc!$E$514-500)))=0,"",INDEX('Vendor COIs'!$N$4:$N$503,(_calc!$E$514-500)))))</f>
        <v/>
      </c>
    </row>
    <row r="513">
      <c r="A513" s="46">
        <f>IF(_calc!$E$515="","",IF(_calc!$E$515&lt;=500,IF(LEN(INDEX('Our policies'!$A$4:$A$503,_calc!$E$515))=0,"",INDEX('Our policies'!$A$4:$A$503,_calc!$E$515)),"COI – "&amp;IF(LEN(INDEX('Vendor COIs'!$A$4:$A$503,(_calc!$E$515-500)))=0,"",INDEX('Vendor COIs'!$A$4:$A$503,(_calc!$E$515-500)))&amp;" – "&amp;IF(LEN(INDEX('Vendor COIs'!$B$4:$B$503,(_calc!$E$515-500)))=0,"",INDEX('Vendor COIs'!$B$4:$B$503,(_calc!$E$515-500)))))</f>
        <v/>
      </c>
      <c r="B513" s="46">
        <f>IF(_calc!$E$515="","",IF(_calc!$E$515&lt;=500,IF(ISNUMBER(INDEX('Our policies'!$J$4:$J$503,_calc!$E$515)),TEXT(INDEX('Our policies'!$J$4:$J$503,_calc!$E$515),"yyyy-mm-dd"),""),IF(ISNUMBER(INDEX('Vendor COIs'!$H$4:$H$503,(_calc!$E$515-500))),TEXT(INDEX('Vendor COIs'!$H$4:$H$503,(_calc!$E$515-500)),"yyyy-mm-dd"),"")))</f>
        <v/>
      </c>
      <c r="C513" s="46">
        <f>IF(_calc!$E$515="","",IF(_calc!$E$515&lt;=500,"Insurance","Certificate of insurance"))</f>
        <v/>
      </c>
      <c r="D513" s="46">
        <f>IF(_calc!$E$515="","",IF(_calc!$E$515&lt;=500,IF(ISNUMBER(INDEX('Our policies'!$I$4:$I$503,_calc!$E$515)),TEXT(INDEX('Our policies'!$I$4:$I$503,_calc!$E$515),"yyyy-mm-dd"),""),""))</f>
        <v/>
      </c>
      <c r="E513" s="46">
        <f>IF(_calc!$E$515="","",IF(_calc!$E$515&lt;=500,IF(LEN(INDEX('Our policies'!$Q$4:$Q$503,_calc!$E$515))=0,"",INDEX('Our policies'!$Q$4:$Q$503,_calc!$E$515)),"Medium"))</f>
        <v/>
      </c>
      <c r="F513" s="46">
        <f>IF(_calc!$E$515="","",IF(_calc!$E$515&lt;=500,TRIM(IF(LEN(IF(LEN(INDEX('Our policies'!$B$4:$B$503,_calc!$E$515))=0,"",INDEX('Our policies'!$B$4:$B$503,_calc!$E$515)))=0,"","Cover: "&amp;IF(LEN(INDEX('Our policies'!$B$4:$B$503,_calc!$E$515))=0,"",INDEX('Our policies'!$B$4:$B$503,_calc!$E$515))&amp;". ")&amp;IF(LEN(IF(LEN(INDEX('Our policies'!$C$4:$C$503,_calc!$E$515))=0,"",INDEX('Our policies'!$C$4:$C$503,_calc!$E$515)))=0,"","Insurer: "&amp;IF(LEN(INDEX('Our policies'!$C$4:$C$503,_calc!$E$515))=0,"",INDEX('Our policies'!$C$4:$C$503,_calc!$E$515))&amp;". ")&amp;IF(LEN(IF(LEN(INDEX('Our policies'!$D$4:$D$503,_calc!$E$515))=0,"",INDEX('Our policies'!$D$4:$D$503,_calc!$E$515)))=0,"","Broker: "&amp;IF(LEN(INDEX('Our policies'!$D$4:$D$503,_calc!$E$515))=0,"",INDEX('Our policies'!$D$4:$D$503,_calc!$E$515))&amp;". ")&amp;IF(LEN(IF(LEN(INDEX('Our policies'!$E$4:$E$503,_calc!$E$515))=0,"",INDEX('Our policies'!$E$4:$E$503,_calc!$E$515)))=0,"","Policy no.: "&amp;IF(LEN(INDEX('Our policies'!$E$4:$E$503,_calc!$E$515))=0,"",INDEX('Our policies'!$E$4:$E$503,_calc!$E$515))&amp;". ")&amp;IF(LEN(IF(LEN(INDEX('Our policies'!$S$4:$S$503,_calc!$E$515))=0,"",INDEX('Our policies'!$S$4:$S$503,_calc!$E$515)))=0,"",IF(LEN(INDEX('Our policies'!$S$4:$S$503,_calc!$E$515))=0,"",INDEX('Our policies'!$S$4:$S$503,_calc!$E$515)))),TRIM(IF(LEN(IF(LEN(INDEX('Vendor COIs'!$C$4:$C$503,(_calc!$E$515-500)))=0,"",INDEX('Vendor COIs'!$C$4:$C$503,(_calc!$E$515-500))))=0,"","Insurer: "&amp;IF(LEN(INDEX('Vendor COIs'!$C$4:$C$503,(_calc!$E$515-500)))=0,"",INDEX('Vendor COIs'!$C$4:$C$503,(_calc!$E$515-500)))&amp;". ")&amp;IF(LEN(IF(LEN(INDEX('Vendor COIs'!$D$4:$D$503,(_calc!$E$515-500)))=0,"",INDEX('Vendor COIs'!$D$4:$D$503,(_calc!$E$515-500))))=0,"","Policy no.: "&amp;IF(LEN(INDEX('Vendor COIs'!$D$4:$D$503,(_calc!$E$515-500)))=0,"",INDEX('Vendor COIs'!$D$4:$D$503,(_calc!$E$515-500)))&amp;". ")&amp;IF(LEN(IF(LEN(INDEX('Vendor COIs'!$F$4:$F$503,(_calc!$E$515-500)))=0,"",INDEX('Vendor COIs'!$F$4:$F$503,(_calc!$E$515-500))))=0,"","Meets minimum: "&amp;IF(LEN(INDEX('Vendor COIs'!$F$4:$F$503,(_calc!$E$515-500)))=0,"",INDEX('Vendor COIs'!$F$4:$F$503,(_calc!$E$515-500)))&amp;". ")&amp;IF(LEN(IF(LEN(INDEX('Vendor COIs'!$G$4:$G$503,(_calc!$E$515-500)))=0,"",INDEX('Vendor COIs'!$G$4:$G$503,(_calc!$E$515-500))))=0,"","Additional insured: "&amp;IF(LEN(INDEX('Vendor COIs'!$G$4:$G$503,(_calc!$E$515-500)))=0,"",INDEX('Vendor COIs'!$G$4:$G$503,(_calc!$E$515-500)))&amp;". ")&amp;IF(LEN(IF(LEN(INDEX('Vendor COIs'!$M$4:$M$503,(_calc!$E$515-500)))=0,"",INDEX('Vendor COIs'!$M$4:$M$503,(_calc!$E$515-500))))=0,"","Vendor contact: "&amp;IF(LEN(INDEX('Vendor COIs'!$M$4:$M$503,(_calc!$E$515-500)))=0,"",INDEX('Vendor COIs'!$M$4:$M$503,(_calc!$E$515-500)))&amp;". ")&amp;IF(LEN(IF(LEN(INDEX('Vendor COIs'!$P$4:$P$503,(_calc!$E$515-500)))=0,"",INDEX('Vendor COIs'!$P$4:$P$503,(_calc!$E$515-500))))=0,"",IF(LEN(INDEX('Vendor COIs'!$P$4:$P$503,(_calc!$E$515-500)))=0,"",INDEX('Vendor COIs'!$P$4:$P$503,(_calc!$E$515-500)))))))</f>
        <v/>
      </c>
      <c r="G513" s="46">
        <f>IF(_calc!$E$515="","",IF(_calc!$E$515&lt;=500,IF(LEN(INDEX('Our policies'!$R$4:$R$503,_calc!$E$515))=0,"",INDEX('Our policies'!$R$4:$R$503,_calc!$E$515)),IF(LEN(INDEX('Vendor COIs'!$O$4:$O$503,(_calc!$E$515-500)))=0,"",INDEX('Vendor COIs'!$O$4:$O$503,(_calc!$E$515-500)))))</f>
        <v/>
      </c>
      <c r="H513" s="46">
        <f>IF(_calc!$E$515="","",IF(_calc!$E$515&lt;=500,IF(LEN(INDEX('Our policies'!$G$4:$G$503,_calc!$E$515))=0,"",INDEX('Our policies'!$G$4:$G$503,_calc!$E$515)),""))</f>
        <v/>
      </c>
      <c r="I513" s="46">
        <f>IF(_calc!$E$515="","",IF(_calc!$E$515&lt;=500,IF(LEN(INDEX('Our policies'!$H$4:$H$503,_calc!$E$515))=0,"",INDEX('Our policies'!$H$4:$H$503,_calc!$E$515)),""))</f>
        <v/>
      </c>
      <c r="K513" s="46">
        <f>IF(_calc!$E$515="","",IF(_calc!$E$515&lt;=500,IF(LEN(INDEX('Our policies'!$P$4:$P$503,_calc!$E$515))=0,"",INDEX('Our policies'!$P$4:$P$503,_calc!$E$515)),IF(LEN(INDEX('Vendor COIs'!$N$4:$N$503,(_calc!$E$515-500)))=0,"",INDEX('Vendor COIs'!$N$4:$N$503,(_calc!$E$515-500)))))</f>
        <v/>
      </c>
    </row>
    <row r="514">
      <c r="A514" s="46">
        <f>IF(_calc!$E$516="","",IF(_calc!$E$516&lt;=500,IF(LEN(INDEX('Our policies'!$A$4:$A$503,_calc!$E$516))=0,"",INDEX('Our policies'!$A$4:$A$503,_calc!$E$516)),"COI – "&amp;IF(LEN(INDEX('Vendor COIs'!$A$4:$A$503,(_calc!$E$516-500)))=0,"",INDEX('Vendor COIs'!$A$4:$A$503,(_calc!$E$516-500)))&amp;" – "&amp;IF(LEN(INDEX('Vendor COIs'!$B$4:$B$503,(_calc!$E$516-500)))=0,"",INDEX('Vendor COIs'!$B$4:$B$503,(_calc!$E$516-500)))))</f>
        <v/>
      </c>
      <c r="B514" s="46">
        <f>IF(_calc!$E$516="","",IF(_calc!$E$516&lt;=500,IF(ISNUMBER(INDEX('Our policies'!$J$4:$J$503,_calc!$E$516)),TEXT(INDEX('Our policies'!$J$4:$J$503,_calc!$E$516),"yyyy-mm-dd"),""),IF(ISNUMBER(INDEX('Vendor COIs'!$H$4:$H$503,(_calc!$E$516-500))),TEXT(INDEX('Vendor COIs'!$H$4:$H$503,(_calc!$E$516-500)),"yyyy-mm-dd"),"")))</f>
        <v/>
      </c>
      <c r="C514" s="46">
        <f>IF(_calc!$E$516="","",IF(_calc!$E$516&lt;=500,"Insurance","Certificate of insurance"))</f>
        <v/>
      </c>
      <c r="D514" s="46">
        <f>IF(_calc!$E$516="","",IF(_calc!$E$516&lt;=500,IF(ISNUMBER(INDEX('Our policies'!$I$4:$I$503,_calc!$E$516)),TEXT(INDEX('Our policies'!$I$4:$I$503,_calc!$E$516),"yyyy-mm-dd"),""),""))</f>
        <v/>
      </c>
      <c r="E514" s="46">
        <f>IF(_calc!$E$516="","",IF(_calc!$E$516&lt;=500,IF(LEN(INDEX('Our policies'!$Q$4:$Q$503,_calc!$E$516))=0,"",INDEX('Our policies'!$Q$4:$Q$503,_calc!$E$516)),"Medium"))</f>
        <v/>
      </c>
      <c r="F514" s="46">
        <f>IF(_calc!$E$516="","",IF(_calc!$E$516&lt;=500,TRIM(IF(LEN(IF(LEN(INDEX('Our policies'!$B$4:$B$503,_calc!$E$516))=0,"",INDEX('Our policies'!$B$4:$B$503,_calc!$E$516)))=0,"","Cover: "&amp;IF(LEN(INDEX('Our policies'!$B$4:$B$503,_calc!$E$516))=0,"",INDEX('Our policies'!$B$4:$B$503,_calc!$E$516))&amp;". ")&amp;IF(LEN(IF(LEN(INDEX('Our policies'!$C$4:$C$503,_calc!$E$516))=0,"",INDEX('Our policies'!$C$4:$C$503,_calc!$E$516)))=0,"","Insurer: "&amp;IF(LEN(INDEX('Our policies'!$C$4:$C$503,_calc!$E$516))=0,"",INDEX('Our policies'!$C$4:$C$503,_calc!$E$516))&amp;". ")&amp;IF(LEN(IF(LEN(INDEX('Our policies'!$D$4:$D$503,_calc!$E$516))=0,"",INDEX('Our policies'!$D$4:$D$503,_calc!$E$516)))=0,"","Broker: "&amp;IF(LEN(INDEX('Our policies'!$D$4:$D$503,_calc!$E$516))=0,"",INDEX('Our policies'!$D$4:$D$503,_calc!$E$516))&amp;". ")&amp;IF(LEN(IF(LEN(INDEX('Our policies'!$E$4:$E$503,_calc!$E$516))=0,"",INDEX('Our policies'!$E$4:$E$503,_calc!$E$516)))=0,"","Policy no.: "&amp;IF(LEN(INDEX('Our policies'!$E$4:$E$503,_calc!$E$516))=0,"",INDEX('Our policies'!$E$4:$E$503,_calc!$E$516))&amp;". ")&amp;IF(LEN(IF(LEN(INDEX('Our policies'!$S$4:$S$503,_calc!$E$516))=0,"",INDEX('Our policies'!$S$4:$S$503,_calc!$E$516)))=0,"",IF(LEN(INDEX('Our policies'!$S$4:$S$503,_calc!$E$516))=0,"",INDEX('Our policies'!$S$4:$S$503,_calc!$E$516)))),TRIM(IF(LEN(IF(LEN(INDEX('Vendor COIs'!$C$4:$C$503,(_calc!$E$516-500)))=0,"",INDEX('Vendor COIs'!$C$4:$C$503,(_calc!$E$516-500))))=0,"","Insurer: "&amp;IF(LEN(INDEX('Vendor COIs'!$C$4:$C$503,(_calc!$E$516-500)))=0,"",INDEX('Vendor COIs'!$C$4:$C$503,(_calc!$E$516-500)))&amp;". ")&amp;IF(LEN(IF(LEN(INDEX('Vendor COIs'!$D$4:$D$503,(_calc!$E$516-500)))=0,"",INDEX('Vendor COIs'!$D$4:$D$503,(_calc!$E$516-500))))=0,"","Policy no.: "&amp;IF(LEN(INDEX('Vendor COIs'!$D$4:$D$503,(_calc!$E$516-500)))=0,"",INDEX('Vendor COIs'!$D$4:$D$503,(_calc!$E$516-500)))&amp;". ")&amp;IF(LEN(IF(LEN(INDEX('Vendor COIs'!$F$4:$F$503,(_calc!$E$516-500)))=0,"",INDEX('Vendor COIs'!$F$4:$F$503,(_calc!$E$516-500))))=0,"","Meets minimum: "&amp;IF(LEN(INDEX('Vendor COIs'!$F$4:$F$503,(_calc!$E$516-500)))=0,"",INDEX('Vendor COIs'!$F$4:$F$503,(_calc!$E$516-500)))&amp;". ")&amp;IF(LEN(IF(LEN(INDEX('Vendor COIs'!$G$4:$G$503,(_calc!$E$516-500)))=0,"",INDEX('Vendor COIs'!$G$4:$G$503,(_calc!$E$516-500))))=0,"","Additional insured: "&amp;IF(LEN(INDEX('Vendor COIs'!$G$4:$G$503,(_calc!$E$516-500)))=0,"",INDEX('Vendor COIs'!$G$4:$G$503,(_calc!$E$516-500)))&amp;". ")&amp;IF(LEN(IF(LEN(INDEX('Vendor COIs'!$M$4:$M$503,(_calc!$E$516-500)))=0,"",INDEX('Vendor COIs'!$M$4:$M$503,(_calc!$E$516-500))))=0,"","Vendor contact: "&amp;IF(LEN(INDEX('Vendor COIs'!$M$4:$M$503,(_calc!$E$516-500)))=0,"",INDEX('Vendor COIs'!$M$4:$M$503,(_calc!$E$516-500)))&amp;". ")&amp;IF(LEN(IF(LEN(INDEX('Vendor COIs'!$P$4:$P$503,(_calc!$E$516-500)))=0,"",INDEX('Vendor COIs'!$P$4:$P$503,(_calc!$E$516-500))))=0,"",IF(LEN(INDEX('Vendor COIs'!$P$4:$P$503,(_calc!$E$516-500)))=0,"",INDEX('Vendor COIs'!$P$4:$P$503,(_calc!$E$516-500)))))))</f>
        <v/>
      </c>
      <c r="G514" s="46">
        <f>IF(_calc!$E$516="","",IF(_calc!$E$516&lt;=500,IF(LEN(INDEX('Our policies'!$R$4:$R$503,_calc!$E$516))=0,"",INDEX('Our policies'!$R$4:$R$503,_calc!$E$516)),IF(LEN(INDEX('Vendor COIs'!$O$4:$O$503,(_calc!$E$516-500)))=0,"",INDEX('Vendor COIs'!$O$4:$O$503,(_calc!$E$516-500)))))</f>
        <v/>
      </c>
      <c r="H514" s="46">
        <f>IF(_calc!$E$516="","",IF(_calc!$E$516&lt;=500,IF(LEN(INDEX('Our policies'!$G$4:$G$503,_calc!$E$516))=0,"",INDEX('Our policies'!$G$4:$G$503,_calc!$E$516)),""))</f>
        <v/>
      </c>
      <c r="I514" s="46">
        <f>IF(_calc!$E$516="","",IF(_calc!$E$516&lt;=500,IF(LEN(INDEX('Our policies'!$H$4:$H$503,_calc!$E$516))=0,"",INDEX('Our policies'!$H$4:$H$503,_calc!$E$516)),""))</f>
        <v/>
      </c>
      <c r="K514" s="46">
        <f>IF(_calc!$E$516="","",IF(_calc!$E$516&lt;=500,IF(LEN(INDEX('Our policies'!$P$4:$P$503,_calc!$E$516))=0,"",INDEX('Our policies'!$P$4:$P$503,_calc!$E$516)),IF(LEN(INDEX('Vendor COIs'!$N$4:$N$503,(_calc!$E$516-500)))=0,"",INDEX('Vendor COIs'!$N$4:$N$503,(_calc!$E$516-500)))))</f>
        <v/>
      </c>
    </row>
    <row r="515">
      <c r="A515" s="46">
        <f>IF(_calc!$E$517="","",IF(_calc!$E$517&lt;=500,IF(LEN(INDEX('Our policies'!$A$4:$A$503,_calc!$E$517))=0,"",INDEX('Our policies'!$A$4:$A$503,_calc!$E$517)),"COI – "&amp;IF(LEN(INDEX('Vendor COIs'!$A$4:$A$503,(_calc!$E$517-500)))=0,"",INDEX('Vendor COIs'!$A$4:$A$503,(_calc!$E$517-500)))&amp;" – "&amp;IF(LEN(INDEX('Vendor COIs'!$B$4:$B$503,(_calc!$E$517-500)))=0,"",INDEX('Vendor COIs'!$B$4:$B$503,(_calc!$E$517-500)))))</f>
        <v/>
      </c>
      <c r="B515" s="46">
        <f>IF(_calc!$E$517="","",IF(_calc!$E$517&lt;=500,IF(ISNUMBER(INDEX('Our policies'!$J$4:$J$503,_calc!$E$517)),TEXT(INDEX('Our policies'!$J$4:$J$503,_calc!$E$517),"yyyy-mm-dd"),""),IF(ISNUMBER(INDEX('Vendor COIs'!$H$4:$H$503,(_calc!$E$517-500))),TEXT(INDEX('Vendor COIs'!$H$4:$H$503,(_calc!$E$517-500)),"yyyy-mm-dd"),"")))</f>
        <v/>
      </c>
      <c r="C515" s="46">
        <f>IF(_calc!$E$517="","",IF(_calc!$E$517&lt;=500,"Insurance","Certificate of insurance"))</f>
        <v/>
      </c>
      <c r="D515" s="46">
        <f>IF(_calc!$E$517="","",IF(_calc!$E$517&lt;=500,IF(ISNUMBER(INDEX('Our policies'!$I$4:$I$503,_calc!$E$517)),TEXT(INDEX('Our policies'!$I$4:$I$503,_calc!$E$517),"yyyy-mm-dd"),""),""))</f>
        <v/>
      </c>
      <c r="E515" s="46">
        <f>IF(_calc!$E$517="","",IF(_calc!$E$517&lt;=500,IF(LEN(INDEX('Our policies'!$Q$4:$Q$503,_calc!$E$517))=0,"",INDEX('Our policies'!$Q$4:$Q$503,_calc!$E$517)),"Medium"))</f>
        <v/>
      </c>
      <c r="F515" s="46">
        <f>IF(_calc!$E$517="","",IF(_calc!$E$517&lt;=500,TRIM(IF(LEN(IF(LEN(INDEX('Our policies'!$B$4:$B$503,_calc!$E$517))=0,"",INDEX('Our policies'!$B$4:$B$503,_calc!$E$517)))=0,"","Cover: "&amp;IF(LEN(INDEX('Our policies'!$B$4:$B$503,_calc!$E$517))=0,"",INDEX('Our policies'!$B$4:$B$503,_calc!$E$517))&amp;". ")&amp;IF(LEN(IF(LEN(INDEX('Our policies'!$C$4:$C$503,_calc!$E$517))=0,"",INDEX('Our policies'!$C$4:$C$503,_calc!$E$517)))=0,"","Insurer: "&amp;IF(LEN(INDEX('Our policies'!$C$4:$C$503,_calc!$E$517))=0,"",INDEX('Our policies'!$C$4:$C$503,_calc!$E$517))&amp;". ")&amp;IF(LEN(IF(LEN(INDEX('Our policies'!$D$4:$D$503,_calc!$E$517))=0,"",INDEX('Our policies'!$D$4:$D$503,_calc!$E$517)))=0,"","Broker: "&amp;IF(LEN(INDEX('Our policies'!$D$4:$D$503,_calc!$E$517))=0,"",INDEX('Our policies'!$D$4:$D$503,_calc!$E$517))&amp;". ")&amp;IF(LEN(IF(LEN(INDEX('Our policies'!$E$4:$E$503,_calc!$E$517))=0,"",INDEX('Our policies'!$E$4:$E$503,_calc!$E$517)))=0,"","Policy no.: "&amp;IF(LEN(INDEX('Our policies'!$E$4:$E$503,_calc!$E$517))=0,"",INDEX('Our policies'!$E$4:$E$503,_calc!$E$517))&amp;". ")&amp;IF(LEN(IF(LEN(INDEX('Our policies'!$S$4:$S$503,_calc!$E$517))=0,"",INDEX('Our policies'!$S$4:$S$503,_calc!$E$517)))=0,"",IF(LEN(INDEX('Our policies'!$S$4:$S$503,_calc!$E$517))=0,"",INDEX('Our policies'!$S$4:$S$503,_calc!$E$517)))),TRIM(IF(LEN(IF(LEN(INDEX('Vendor COIs'!$C$4:$C$503,(_calc!$E$517-500)))=0,"",INDEX('Vendor COIs'!$C$4:$C$503,(_calc!$E$517-500))))=0,"","Insurer: "&amp;IF(LEN(INDEX('Vendor COIs'!$C$4:$C$503,(_calc!$E$517-500)))=0,"",INDEX('Vendor COIs'!$C$4:$C$503,(_calc!$E$517-500)))&amp;". ")&amp;IF(LEN(IF(LEN(INDEX('Vendor COIs'!$D$4:$D$503,(_calc!$E$517-500)))=0,"",INDEX('Vendor COIs'!$D$4:$D$503,(_calc!$E$517-500))))=0,"","Policy no.: "&amp;IF(LEN(INDEX('Vendor COIs'!$D$4:$D$503,(_calc!$E$517-500)))=0,"",INDEX('Vendor COIs'!$D$4:$D$503,(_calc!$E$517-500)))&amp;". ")&amp;IF(LEN(IF(LEN(INDEX('Vendor COIs'!$F$4:$F$503,(_calc!$E$517-500)))=0,"",INDEX('Vendor COIs'!$F$4:$F$503,(_calc!$E$517-500))))=0,"","Meets minimum: "&amp;IF(LEN(INDEX('Vendor COIs'!$F$4:$F$503,(_calc!$E$517-500)))=0,"",INDEX('Vendor COIs'!$F$4:$F$503,(_calc!$E$517-500)))&amp;". ")&amp;IF(LEN(IF(LEN(INDEX('Vendor COIs'!$G$4:$G$503,(_calc!$E$517-500)))=0,"",INDEX('Vendor COIs'!$G$4:$G$503,(_calc!$E$517-500))))=0,"","Additional insured: "&amp;IF(LEN(INDEX('Vendor COIs'!$G$4:$G$503,(_calc!$E$517-500)))=0,"",INDEX('Vendor COIs'!$G$4:$G$503,(_calc!$E$517-500)))&amp;". ")&amp;IF(LEN(IF(LEN(INDEX('Vendor COIs'!$M$4:$M$503,(_calc!$E$517-500)))=0,"",INDEX('Vendor COIs'!$M$4:$M$503,(_calc!$E$517-500))))=0,"","Vendor contact: "&amp;IF(LEN(INDEX('Vendor COIs'!$M$4:$M$503,(_calc!$E$517-500)))=0,"",INDEX('Vendor COIs'!$M$4:$M$503,(_calc!$E$517-500)))&amp;". ")&amp;IF(LEN(IF(LEN(INDEX('Vendor COIs'!$P$4:$P$503,(_calc!$E$517-500)))=0,"",INDEX('Vendor COIs'!$P$4:$P$503,(_calc!$E$517-500))))=0,"",IF(LEN(INDEX('Vendor COIs'!$P$4:$P$503,(_calc!$E$517-500)))=0,"",INDEX('Vendor COIs'!$P$4:$P$503,(_calc!$E$517-500)))))))</f>
        <v/>
      </c>
      <c r="G515" s="46">
        <f>IF(_calc!$E$517="","",IF(_calc!$E$517&lt;=500,IF(LEN(INDEX('Our policies'!$R$4:$R$503,_calc!$E$517))=0,"",INDEX('Our policies'!$R$4:$R$503,_calc!$E$517)),IF(LEN(INDEX('Vendor COIs'!$O$4:$O$503,(_calc!$E$517-500)))=0,"",INDEX('Vendor COIs'!$O$4:$O$503,(_calc!$E$517-500)))))</f>
        <v/>
      </c>
      <c r="H515" s="46">
        <f>IF(_calc!$E$517="","",IF(_calc!$E$517&lt;=500,IF(LEN(INDEX('Our policies'!$G$4:$G$503,_calc!$E$517))=0,"",INDEX('Our policies'!$G$4:$G$503,_calc!$E$517)),""))</f>
        <v/>
      </c>
      <c r="I515" s="46">
        <f>IF(_calc!$E$517="","",IF(_calc!$E$517&lt;=500,IF(LEN(INDEX('Our policies'!$H$4:$H$503,_calc!$E$517))=0,"",INDEX('Our policies'!$H$4:$H$503,_calc!$E$517)),""))</f>
        <v/>
      </c>
      <c r="K515" s="46">
        <f>IF(_calc!$E$517="","",IF(_calc!$E$517&lt;=500,IF(LEN(INDEX('Our policies'!$P$4:$P$503,_calc!$E$517))=0,"",INDEX('Our policies'!$P$4:$P$503,_calc!$E$517)),IF(LEN(INDEX('Vendor COIs'!$N$4:$N$503,(_calc!$E$517-500)))=0,"",INDEX('Vendor COIs'!$N$4:$N$503,(_calc!$E$517-500)))))</f>
        <v/>
      </c>
    </row>
    <row r="516">
      <c r="A516" s="46">
        <f>IF(_calc!$E$518="","",IF(_calc!$E$518&lt;=500,IF(LEN(INDEX('Our policies'!$A$4:$A$503,_calc!$E$518))=0,"",INDEX('Our policies'!$A$4:$A$503,_calc!$E$518)),"COI – "&amp;IF(LEN(INDEX('Vendor COIs'!$A$4:$A$503,(_calc!$E$518-500)))=0,"",INDEX('Vendor COIs'!$A$4:$A$503,(_calc!$E$518-500)))&amp;" – "&amp;IF(LEN(INDEX('Vendor COIs'!$B$4:$B$503,(_calc!$E$518-500)))=0,"",INDEX('Vendor COIs'!$B$4:$B$503,(_calc!$E$518-500)))))</f>
        <v/>
      </c>
      <c r="B516" s="46">
        <f>IF(_calc!$E$518="","",IF(_calc!$E$518&lt;=500,IF(ISNUMBER(INDEX('Our policies'!$J$4:$J$503,_calc!$E$518)),TEXT(INDEX('Our policies'!$J$4:$J$503,_calc!$E$518),"yyyy-mm-dd"),""),IF(ISNUMBER(INDEX('Vendor COIs'!$H$4:$H$503,(_calc!$E$518-500))),TEXT(INDEX('Vendor COIs'!$H$4:$H$503,(_calc!$E$518-500)),"yyyy-mm-dd"),"")))</f>
        <v/>
      </c>
      <c r="C516" s="46">
        <f>IF(_calc!$E$518="","",IF(_calc!$E$518&lt;=500,"Insurance","Certificate of insurance"))</f>
        <v/>
      </c>
      <c r="D516" s="46">
        <f>IF(_calc!$E$518="","",IF(_calc!$E$518&lt;=500,IF(ISNUMBER(INDEX('Our policies'!$I$4:$I$503,_calc!$E$518)),TEXT(INDEX('Our policies'!$I$4:$I$503,_calc!$E$518),"yyyy-mm-dd"),""),""))</f>
        <v/>
      </c>
      <c r="E516" s="46">
        <f>IF(_calc!$E$518="","",IF(_calc!$E$518&lt;=500,IF(LEN(INDEX('Our policies'!$Q$4:$Q$503,_calc!$E$518))=0,"",INDEX('Our policies'!$Q$4:$Q$503,_calc!$E$518)),"Medium"))</f>
        <v/>
      </c>
      <c r="F516" s="46">
        <f>IF(_calc!$E$518="","",IF(_calc!$E$518&lt;=500,TRIM(IF(LEN(IF(LEN(INDEX('Our policies'!$B$4:$B$503,_calc!$E$518))=0,"",INDEX('Our policies'!$B$4:$B$503,_calc!$E$518)))=0,"","Cover: "&amp;IF(LEN(INDEX('Our policies'!$B$4:$B$503,_calc!$E$518))=0,"",INDEX('Our policies'!$B$4:$B$503,_calc!$E$518))&amp;". ")&amp;IF(LEN(IF(LEN(INDEX('Our policies'!$C$4:$C$503,_calc!$E$518))=0,"",INDEX('Our policies'!$C$4:$C$503,_calc!$E$518)))=0,"","Insurer: "&amp;IF(LEN(INDEX('Our policies'!$C$4:$C$503,_calc!$E$518))=0,"",INDEX('Our policies'!$C$4:$C$503,_calc!$E$518))&amp;". ")&amp;IF(LEN(IF(LEN(INDEX('Our policies'!$D$4:$D$503,_calc!$E$518))=0,"",INDEX('Our policies'!$D$4:$D$503,_calc!$E$518)))=0,"","Broker: "&amp;IF(LEN(INDEX('Our policies'!$D$4:$D$503,_calc!$E$518))=0,"",INDEX('Our policies'!$D$4:$D$503,_calc!$E$518))&amp;". ")&amp;IF(LEN(IF(LEN(INDEX('Our policies'!$E$4:$E$503,_calc!$E$518))=0,"",INDEX('Our policies'!$E$4:$E$503,_calc!$E$518)))=0,"","Policy no.: "&amp;IF(LEN(INDEX('Our policies'!$E$4:$E$503,_calc!$E$518))=0,"",INDEX('Our policies'!$E$4:$E$503,_calc!$E$518))&amp;". ")&amp;IF(LEN(IF(LEN(INDEX('Our policies'!$S$4:$S$503,_calc!$E$518))=0,"",INDEX('Our policies'!$S$4:$S$503,_calc!$E$518)))=0,"",IF(LEN(INDEX('Our policies'!$S$4:$S$503,_calc!$E$518))=0,"",INDEX('Our policies'!$S$4:$S$503,_calc!$E$518)))),TRIM(IF(LEN(IF(LEN(INDEX('Vendor COIs'!$C$4:$C$503,(_calc!$E$518-500)))=0,"",INDEX('Vendor COIs'!$C$4:$C$503,(_calc!$E$518-500))))=0,"","Insurer: "&amp;IF(LEN(INDEX('Vendor COIs'!$C$4:$C$503,(_calc!$E$518-500)))=0,"",INDEX('Vendor COIs'!$C$4:$C$503,(_calc!$E$518-500)))&amp;". ")&amp;IF(LEN(IF(LEN(INDEX('Vendor COIs'!$D$4:$D$503,(_calc!$E$518-500)))=0,"",INDEX('Vendor COIs'!$D$4:$D$503,(_calc!$E$518-500))))=0,"","Policy no.: "&amp;IF(LEN(INDEX('Vendor COIs'!$D$4:$D$503,(_calc!$E$518-500)))=0,"",INDEX('Vendor COIs'!$D$4:$D$503,(_calc!$E$518-500)))&amp;". ")&amp;IF(LEN(IF(LEN(INDEX('Vendor COIs'!$F$4:$F$503,(_calc!$E$518-500)))=0,"",INDEX('Vendor COIs'!$F$4:$F$503,(_calc!$E$518-500))))=0,"","Meets minimum: "&amp;IF(LEN(INDEX('Vendor COIs'!$F$4:$F$503,(_calc!$E$518-500)))=0,"",INDEX('Vendor COIs'!$F$4:$F$503,(_calc!$E$518-500)))&amp;". ")&amp;IF(LEN(IF(LEN(INDEX('Vendor COIs'!$G$4:$G$503,(_calc!$E$518-500)))=0,"",INDEX('Vendor COIs'!$G$4:$G$503,(_calc!$E$518-500))))=0,"","Additional insured: "&amp;IF(LEN(INDEX('Vendor COIs'!$G$4:$G$503,(_calc!$E$518-500)))=0,"",INDEX('Vendor COIs'!$G$4:$G$503,(_calc!$E$518-500)))&amp;". ")&amp;IF(LEN(IF(LEN(INDEX('Vendor COIs'!$M$4:$M$503,(_calc!$E$518-500)))=0,"",INDEX('Vendor COIs'!$M$4:$M$503,(_calc!$E$518-500))))=0,"","Vendor contact: "&amp;IF(LEN(INDEX('Vendor COIs'!$M$4:$M$503,(_calc!$E$518-500)))=0,"",INDEX('Vendor COIs'!$M$4:$M$503,(_calc!$E$518-500)))&amp;". ")&amp;IF(LEN(IF(LEN(INDEX('Vendor COIs'!$P$4:$P$503,(_calc!$E$518-500)))=0,"",INDEX('Vendor COIs'!$P$4:$P$503,(_calc!$E$518-500))))=0,"",IF(LEN(INDEX('Vendor COIs'!$P$4:$P$503,(_calc!$E$518-500)))=0,"",INDEX('Vendor COIs'!$P$4:$P$503,(_calc!$E$518-500)))))))</f>
        <v/>
      </c>
      <c r="G516" s="46">
        <f>IF(_calc!$E$518="","",IF(_calc!$E$518&lt;=500,IF(LEN(INDEX('Our policies'!$R$4:$R$503,_calc!$E$518))=0,"",INDEX('Our policies'!$R$4:$R$503,_calc!$E$518)),IF(LEN(INDEX('Vendor COIs'!$O$4:$O$503,(_calc!$E$518-500)))=0,"",INDEX('Vendor COIs'!$O$4:$O$503,(_calc!$E$518-500)))))</f>
        <v/>
      </c>
      <c r="H516" s="46">
        <f>IF(_calc!$E$518="","",IF(_calc!$E$518&lt;=500,IF(LEN(INDEX('Our policies'!$G$4:$G$503,_calc!$E$518))=0,"",INDEX('Our policies'!$G$4:$G$503,_calc!$E$518)),""))</f>
        <v/>
      </c>
      <c r="I516" s="46">
        <f>IF(_calc!$E$518="","",IF(_calc!$E$518&lt;=500,IF(LEN(INDEX('Our policies'!$H$4:$H$503,_calc!$E$518))=0,"",INDEX('Our policies'!$H$4:$H$503,_calc!$E$518)),""))</f>
        <v/>
      </c>
      <c r="K516" s="46">
        <f>IF(_calc!$E$518="","",IF(_calc!$E$518&lt;=500,IF(LEN(INDEX('Our policies'!$P$4:$P$503,_calc!$E$518))=0,"",INDEX('Our policies'!$P$4:$P$503,_calc!$E$518)),IF(LEN(INDEX('Vendor COIs'!$N$4:$N$503,(_calc!$E$518-500)))=0,"",INDEX('Vendor COIs'!$N$4:$N$503,(_calc!$E$518-500)))))</f>
        <v/>
      </c>
    </row>
    <row r="517">
      <c r="A517" s="46">
        <f>IF(_calc!$E$519="","",IF(_calc!$E$519&lt;=500,IF(LEN(INDEX('Our policies'!$A$4:$A$503,_calc!$E$519))=0,"",INDEX('Our policies'!$A$4:$A$503,_calc!$E$519)),"COI – "&amp;IF(LEN(INDEX('Vendor COIs'!$A$4:$A$503,(_calc!$E$519-500)))=0,"",INDEX('Vendor COIs'!$A$4:$A$503,(_calc!$E$519-500)))&amp;" – "&amp;IF(LEN(INDEX('Vendor COIs'!$B$4:$B$503,(_calc!$E$519-500)))=0,"",INDEX('Vendor COIs'!$B$4:$B$503,(_calc!$E$519-500)))))</f>
        <v/>
      </c>
      <c r="B517" s="46">
        <f>IF(_calc!$E$519="","",IF(_calc!$E$519&lt;=500,IF(ISNUMBER(INDEX('Our policies'!$J$4:$J$503,_calc!$E$519)),TEXT(INDEX('Our policies'!$J$4:$J$503,_calc!$E$519),"yyyy-mm-dd"),""),IF(ISNUMBER(INDEX('Vendor COIs'!$H$4:$H$503,(_calc!$E$519-500))),TEXT(INDEX('Vendor COIs'!$H$4:$H$503,(_calc!$E$519-500)),"yyyy-mm-dd"),"")))</f>
        <v/>
      </c>
      <c r="C517" s="46">
        <f>IF(_calc!$E$519="","",IF(_calc!$E$519&lt;=500,"Insurance","Certificate of insurance"))</f>
        <v/>
      </c>
      <c r="D517" s="46">
        <f>IF(_calc!$E$519="","",IF(_calc!$E$519&lt;=500,IF(ISNUMBER(INDEX('Our policies'!$I$4:$I$503,_calc!$E$519)),TEXT(INDEX('Our policies'!$I$4:$I$503,_calc!$E$519),"yyyy-mm-dd"),""),""))</f>
        <v/>
      </c>
      <c r="E517" s="46">
        <f>IF(_calc!$E$519="","",IF(_calc!$E$519&lt;=500,IF(LEN(INDEX('Our policies'!$Q$4:$Q$503,_calc!$E$519))=0,"",INDEX('Our policies'!$Q$4:$Q$503,_calc!$E$519)),"Medium"))</f>
        <v/>
      </c>
      <c r="F517" s="46">
        <f>IF(_calc!$E$519="","",IF(_calc!$E$519&lt;=500,TRIM(IF(LEN(IF(LEN(INDEX('Our policies'!$B$4:$B$503,_calc!$E$519))=0,"",INDEX('Our policies'!$B$4:$B$503,_calc!$E$519)))=0,"","Cover: "&amp;IF(LEN(INDEX('Our policies'!$B$4:$B$503,_calc!$E$519))=0,"",INDEX('Our policies'!$B$4:$B$503,_calc!$E$519))&amp;". ")&amp;IF(LEN(IF(LEN(INDEX('Our policies'!$C$4:$C$503,_calc!$E$519))=0,"",INDEX('Our policies'!$C$4:$C$503,_calc!$E$519)))=0,"","Insurer: "&amp;IF(LEN(INDEX('Our policies'!$C$4:$C$503,_calc!$E$519))=0,"",INDEX('Our policies'!$C$4:$C$503,_calc!$E$519))&amp;". ")&amp;IF(LEN(IF(LEN(INDEX('Our policies'!$D$4:$D$503,_calc!$E$519))=0,"",INDEX('Our policies'!$D$4:$D$503,_calc!$E$519)))=0,"","Broker: "&amp;IF(LEN(INDEX('Our policies'!$D$4:$D$503,_calc!$E$519))=0,"",INDEX('Our policies'!$D$4:$D$503,_calc!$E$519))&amp;". ")&amp;IF(LEN(IF(LEN(INDEX('Our policies'!$E$4:$E$503,_calc!$E$519))=0,"",INDEX('Our policies'!$E$4:$E$503,_calc!$E$519)))=0,"","Policy no.: "&amp;IF(LEN(INDEX('Our policies'!$E$4:$E$503,_calc!$E$519))=0,"",INDEX('Our policies'!$E$4:$E$503,_calc!$E$519))&amp;". ")&amp;IF(LEN(IF(LEN(INDEX('Our policies'!$S$4:$S$503,_calc!$E$519))=0,"",INDEX('Our policies'!$S$4:$S$503,_calc!$E$519)))=0,"",IF(LEN(INDEX('Our policies'!$S$4:$S$503,_calc!$E$519))=0,"",INDEX('Our policies'!$S$4:$S$503,_calc!$E$519)))),TRIM(IF(LEN(IF(LEN(INDEX('Vendor COIs'!$C$4:$C$503,(_calc!$E$519-500)))=0,"",INDEX('Vendor COIs'!$C$4:$C$503,(_calc!$E$519-500))))=0,"","Insurer: "&amp;IF(LEN(INDEX('Vendor COIs'!$C$4:$C$503,(_calc!$E$519-500)))=0,"",INDEX('Vendor COIs'!$C$4:$C$503,(_calc!$E$519-500)))&amp;". ")&amp;IF(LEN(IF(LEN(INDEX('Vendor COIs'!$D$4:$D$503,(_calc!$E$519-500)))=0,"",INDEX('Vendor COIs'!$D$4:$D$503,(_calc!$E$519-500))))=0,"","Policy no.: "&amp;IF(LEN(INDEX('Vendor COIs'!$D$4:$D$503,(_calc!$E$519-500)))=0,"",INDEX('Vendor COIs'!$D$4:$D$503,(_calc!$E$519-500)))&amp;". ")&amp;IF(LEN(IF(LEN(INDEX('Vendor COIs'!$F$4:$F$503,(_calc!$E$519-500)))=0,"",INDEX('Vendor COIs'!$F$4:$F$503,(_calc!$E$519-500))))=0,"","Meets minimum: "&amp;IF(LEN(INDEX('Vendor COIs'!$F$4:$F$503,(_calc!$E$519-500)))=0,"",INDEX('Vendor COIs'!$F$4:$F$503,(_calc!$E$519-500)))&amp;". ")&amp;IF(LEN(IF(LEN(INDEX('Vendor COIs'!$G$4:$G$503,(_calc!$E$519-500)))=0,"",INDEX('Vendor COIs'!$G$4:$G$503,(_calc!$E$519-500))))=0,"","Additional insured: "&amp;IF(LEN(INDEX('Vendor COIs'!$G$4:$G$503,(_calc!$E$519-500)))=0,"",INDEX('Vendor COIs'!$G$4:$G$503,(_calc!$E$519-500)))&amp;". ")&amp;IF(LEN(IF(LEN(INDEX('Vendor COIs'!$M$4:$M$503,(_calc!$E$519-500)))=0,"",INDEX('Vendor COIs'!$M$4:$M$503,(_calc!$E$519-500))))=0,"","Vendor contact: "&amp;IF(LEN(INDEX('Vendor COIs'!$M$4:$M$503,(_calc!$E$519-500)))=0,"",INDEX('Vendor COIs'!$M$4:$M$503,(_calc!$E$519-500)))&amp;". ")&amp;IF(LEN(IF(LEN(INDEX('Vendor COIs'!$P$4:$P$503,(_calc!$E$519-500)))=0,"",INDEX('Vendor COIs'!$P$4:$P$503,(_calc!$E$519-500))))=0,"",IF(LEN(INDEX('Vendor COIs'!$P$4:$P$503,(_calc!$E$519-500)))=0,"",INDEX('Vendor COIs'!$P$4:$P$503,(_calc!$E$519-500)))))))</f>
        <v/>
      </c>
      <c r="G517" s="46">
        <f>IF(_calc!$E$519="","",IF(_calc!$E$519&lt;=500,IF(LEN(INDEX('Our policies'!$R$4:$R$503,_calc!$E$519))=0,"",INDEX('Our policies'!$R$4:$R$503,_calc!$E$519)),IF(LEN(INDEX('Vendor COIs'!$O$4:$O$503,(_calc!$E$519-500)))=0,"",INDEX('Vendor COIs'!$O$4:$O$503,(_calc!$E$519-500)))))</f>
        <v/>
      </c>
      <c r="H517" s="46">
        <f>IF(_calc!$E$519="","",IF(_calc!$E$519&lt;=500,IF(LEN(INDEX('Our policies'!$G$4:$G$503,_calc!$E$519))=0,"",INDEX('Our policies'!$G$4:$G$503,_calc!$E$519)),""))</f>
        <v/>
      </c>
      <c r="I517" s="46">
        <f>IF(_calc!$E$519="","",IF(_calc!$E$519&lt;=500,IF(LEN(INDEX('Our policies'!$H$4:$H$503,_calc!$E$519))=0,"",INDEX('Our policies'!$H$4:$H$503,_calc!$E$519)),""))</f>
        <v/>
      </c>
      <c r="K517" s="46">
        <f>IF(_calc!$E$519="","",IF(_calc!$E$519&lt;=500,IF(LEN(INDEX('Our policies'!$P$4:$P$503,_calc!$E$519))=0,"",INDEX('Our policies'!$P$4:$P$503,_calc!$E$519)),IF(LEN(INDEX('Vendor COIs'!$N$4:$N$503,(_calc!$E$519-500)))=0,"",INDEX('Vendor COIs'!$N$4:$N$503,(_calc!$E$519-500)))))</f>
        <v/>
      </c>
    </row>
    <row r="518">
      <c r="A518" s="46">
        <f>IF(_calc!$E$520="","",IF(_calc!$E$520&lt;=500,IF(LEN(INDEX('Our policies'!$A$4:$A$503,_calc!$E$520))=0,"",INDEX('Our policies'!$A$4:$A$503,_calc!$E$520)),"COI – "&amp;IF(LEN(INDEX('Vendor COIs'!$A$4:$A$503,(_calc!$E$520-500)))=0,"",INDEX('Vendor COIs'!$A$4:$A$503,(_calc!$E$520-500)))&amp;" – "&amp;IF(LEN(INDEX('Vendor COIs'!$B$4:$B$503,(_calc!$E$520-500)))=0,"",INDEX('Vendor COIs'!$B$4:$B$503,(_calc!$E$520-500)))))</f>
        <v/>
      </c>
      <c r="B518" s="46">
        <f>IF(_calc!$E$520="","",IF(_calc!$E$520&lt;=500,IF(ISNUMBER(INDEX('Our policies'!$J$4:$J$503,_calc!$E$520)),TEXT(INDEX('Our policies'!$J$4:$J$503,_calc!$E$520),"yyyy-mm-dd"),""),IF(ISNUMBER(INDEX('Vendor COIs'!$H$4:$H$503,(_calc!$E$520-500))),TEXT(INDEX('Vendor COIs'!$H$4:$H$503,(_calc!$E$520-500)),"yyyy-mm-dd"),"")))</f>
        <v/>
      </c>
      <c r="C518" s="46">
        <f>IF(_calc!$E$520="","",IF(_calc!$E$520&lt;=500,"Insurance","Certificate of insurance"))</f>
        <v/>
      </c>
      <c r="D518" s="46">
        <f>IF(_calc!$E$520="","",IF(_calc!$E$520&lt;=500,IF(ISNUMBER(INDEX('Our policies'!$I$4:$I$503,_calc!$E$520)),TEXT(INDEX('Our policies'!$I$4:$I$503,_calc!$E$520),"yyyy-mm-dd"),""),""))</f>
        <v/>
      </c>
      <c r="E518" s="46">
        <f>IF(_calc!$E$520="","",IF(_calc!$E$520&lt;=500,IF(LEN(INDEX('Our policies'!$Q$4:$Q$503,_calc!$E$520))=0,"",INDEX('Our policies'!$Q$4:$Q$503,_calc!$E$520)),"Medium"))</f>
        <v/>
      </c>
      <c r="F518" s="46">
        <f>IF(_calc!$E$520="","",IF(_calc!$E$520&lt;=500,TRIM(IF(LEN(IF(LEN(INDEX('Our policies'!$B$4:$B$503,_calc!$E$520))=0,"",INDEX('Our policies'!$B$4:$B$503,_calc!$E$520)))=0,"","Cover: "&amp;IF(LEN(INDEX('Our policies'!$B$4:$B$503,_calc!$E$520))=0,"",INDEX('Our policies'!$B$4:$B$503,_calc!$E$520))&amp;". ")&amp;IF(LEN(IF(LEN(INDEX('Our policies'!$C$4:$C$503,_calc!$E$520))=0,"",INDEX('Our policies'!$C$4:$C$503,_calc!$E$520)))=0,"","Insurer: "&amp;IF(LEN(INDEX('Our policies'!$C$4:$C$503,_calc!$E$520))=0,"",INDEX('Our policies'!$C$4:$C$503,_calc!$E$520))&amp;". ")&amp;IF(LEN(IF(LEN(INDEX('Our policies'!$D$4:$D$503,_calc!$E$520))=0,"",INDEX('Our policies'!$D$4:$D$503,_calc!$E$520)))=0,"","Broker: "&amp;IF(LEN(INDEX('Our policies'!$D$4:$D$503,_calc!$E$520))=0,"",INDEX('Our policies'!$D$4:$D$503,_calc!$E$520))&amp;". ")&amp;IF(LEN(IF(LEN(INDEX('Our policies'!$E$4:$E$503,_calc!$E$520))=0,"",INDEX('Our policies'!$E$4:$E$503,_calc!$E$520)))=0,"","Policy no.: "&amp;IF(LEN(INDEX('Our policies'!$E$4:$E$503,_calc!$E$520))=0,"",INDEX('Our policies'!$E$4:$E$503,_calc!$E$520))&amp;". ")&amp;IF(LEN(IF(LEN(INDEX('Our policies'!$S$4:$S$503,_calc!$E$520))=0,"",INDEX('Our policies'!$S$4:$S$503,_calc!$E$520)))=0,"",IF(LEN(INDEX('Our policies'!$S$4:$S$503,_calc!$E$520))=0,"",INDEX('Our policies'!$S$4:$S$503,_calc!$E$520)))),TRIM(IF(LEN(IF(LEN(INDEX('Vendor COIs'!$C$4:$C$503,(_calc!$E$520-500)))=0,"",INDEX('Vendor COIs'!$C$4:$C$503,(_calc!$E$520-500))))=0,"","Insurer: "&amp;IF(LEN(INDEX('Vendor COIs'!$C$4:$C$503,(_calc!$E$520-500)))=0,"",INDEX('Vendor COIs'!$C$4:$C$503,(_calc!$E$520-500)))&amp;". ")&amp;IF(LEN(IF(LEN(INDEX('Vendor COIs'!$D$4:$D$503,(_calc!$E$520-500)))=0,"",INDEX('Vendor COIs'!$D$4:$D$503,(_calc!$E$520-500))))=0,"","Policy no.: "&amp;IF(LEN(INDEX('Vendor COIs'!$D$4:$D$503,(_calc!$E$520-500)))=0,"",INDEX('Vendor COIs'!$D$4:$D$503,(_calc!$E$520-500)))&amp;". ")&amp;IF(LEN(IF(LEN(INDEX('Vendor COIs'!$F$4:$F$503,(_calc!$E$520-500)))=0,"",INDEX('Vendor COIs'!$F$4:$F$503,(_calc!$E$520-500))))=0,"","Meets minimum: "&amp;IF(LEN(INDEX('Vendor COIs'!$F$4:$F$503,(_calc!$E$520-500)))=0,"",INDEX('Vendor COIs'!$F$4:$F$503,(_calc!$E$520-500)))&amp;". ")&amp;IF(LEN(IF(LEN(INDEX('Vendor COIs'!$G$4:$G$503,(_calc!$E$520-500)))=0,"",INDEX('Vendor COIs'!$G$4:$G$503,(_calc!$E$520-500))))=0,"","Additional insured: "&amp;IF(LEN(INDEX('Vendor COIs'!$G$4:$G$503,(_calc!$E$520-500)))=0,"",INDEX('Vendor COIs'!$G$4:$G$503,(_calc!$E$520-500)))&amp;". ")&amp;IF(LEN(IF(LEN(INDEX('Vendor COIs'!$M$4:$M$503,(_calc!$E$520-500)))=0,"",INDEX('Vendor COIs'!$M$4:$M$503,(_calc!$E$520-500))))=0,"","Vendor contact: "&amp;IF(LEN(INDEX('Vendor COIs'!$M$4:$M$503,(_calc!$E$520-500)))=0,"",INDEX('Vendor COIs'!$M$4:$M$503,(_calc!$E$520-500)))&amp;". ")&amp;IF(LEN(IF(LEN(INDEX('Vendor COIs'!$P$4:$P$503,(_calc!$E$520-500)))=0,"",INDEX('Vendor COIs'!$P$4:$P$503,(_calc!$E$520-500))))=0,"",IF(LEN(INDEX('Vendor COIs'!$P$4:$P$503,(_calc!$E$520-500)))=0,"",INDEX('Vendor COIs'!$P$4:$P$503,(_calc!$E$520-500)))))))</f>
        <v/>
      </c>
      <c r="G518" s="46">
        <f>IF(_calc!$E$520="","",IF(_calc!$E$520&lt;=500,IF(LEN(INDEX('Our policies'!$R$4:$R$503,_calc!$E$520))=0,"",INDEX('Our policies'!$R$4:$R$503,_calc!$E$520)),IF(LEN(INDEX('Vendor COIs'!$O$4:$O$503,(_calc!$E$520-500)))=0,"",INDEX('Vendor COIs'!$O$4:$O$503,(_calc!$E$520-500)))))</f>
        <v/>
      </c>
      <c r="H518" s="46">
        <f>IF(_calc!$E$520="","",IF(_calc!$E$520&lt;=500,IF(LEN(INDEX('Our policies'!$G$4:$G$503,_calc!$E$520))=0,"",INDEX('Our policies'!$G$4:$G$503,_calc!$E$520)),""))</f>
        <v/>
      </c>
      <c r="I518" s="46">
        <f>IF(_calc!$E$520="","",IF(_calc!$E$520&lt;=500,IF(LEN(INDEX('Our policies'!$H$4:$H$503,_calc!$E$520))=0,"",INDEX('Our policies'!$H$4:$H$503,_calc!$E$520)),""))</f>
        <v/>
      </c>
      <c r="K518" s="46">
        <f>IF(_calc!$E$520="","",IF(_calc!$E$520&lt;=500,IF(LEN(INDEX('Our policies'!$P$4:$P$503,_calc!$E$520))=0,"",INDEX('Our policies'!$P$4:$P$503,_calc!$E$520)),IF(LEN(INDEX('Vendor COIs'!$N$4:$N$503,(_calc!$E$520-500)))=0,"",INDEX('Vendor COIs'!$N$4:$N$503,(_calc!$E$520-500)))))</f>
        <v/>
      </c>
    </row>
    <row r="519">
      <c r="A519" s="46">
        <f>IF(_calc!$E$521="","",IF(_calc!$E$521&lt;=500,IF(LEN(INDEX('Our policies'!$A$4:$A$503,_calc!$E$521))=0,"",INDEX('Our policies'!$A$4:$A$503,_calc!$E$521)),"COI – "&amp;IF(LEN(INDEX('Vendor COIs'!$A$4:$A$503,(_calc!$E$521-500)))=0,"",INDEX('Vendor COIs'!$A$4:$A$503,(_calc!$E$521-500)))&amp;" – "&amp;IF(LEN(INDEX('Vendor COIs'!$B$4:$B$503,(_calc!$E$521-500)))=0,"",INDEX('Vendor COIs'!$B$4:$B$503,(_calc!$E$521-500)))))</f>
        <v/>
      </c>
      <c r="B519" s="46">
        <f>IF(_calc!$E$521="","",IF(_calc!$E$521&lt;=500,IF(ISNUMBER(INDEX('Our policies'!$J$4:$J$503,_calc!$E$521)),TEXT(INDEX('Our policies'!$J$4:$J$503,_calc!$E$521),"yyyy-mm-dd"),""),IF(ISNUMBER(INDEX('Vendor COIs'!$H$4:$H$503,(_calc!$E$521-500))),TEXT(INDEX('Vendor COIs'!$H$4:$H$503,(_calc!$E$521-500)),"yyyy-mm-dd"),"")))</f>
        <v/>
      </c>
      <c r="C519" s="46">
        <f>IF(_calc!$E$521="","",IF(_calc!$E$521&lt;=500,"Insurance","Certificate of insurance"))</f>
        <v/>
      </c>
      <c r="D519" s="46">
        <f>IF(_calc!$E$521="","",IF(_calc!$E$521&lt;=500,IF(ISNUMBER(INDEX('Our policies'!$I$4:$I$503,_calc!$E$521)),TEXT(INDEX('Our policies'!$I$4:$I$503,_calc!$E$521),"yyyy-mm-dd"),""),""))</f>
        <v/>
      </c>
      <c r="E519" s="46">
        <f>IF(_calc!$E$521="","",IF(_calc!$E$521&lt;=500,IF(LEN(INDEX('Our policies'!$Q$4:$Q$503,_calc!$E$521))=0,"",INDEX('Our policies'!$Q$4:$Q$503,_calc!$E$521)),"Medium"))</f>
        <v/>
      </c>
      <c r="F519" s="46">
        <f>IF(_calc!$E$521="","",IF(_calc!$E$521&lt;=500,TRIM(IF(LEN(IF(LEN(INDEX('Our policies'!$B$4:$B$503,_calc!$E$521))=0,"",INDEX('Our policies'!$B$4:$B$503,_calc!$E$521)))=0,"","Cover: "&amp;IF(LEN(INDEX('Our policies'!$B$4:$B$503,_calc!$E$521))=0,"",INDEX('Our policies'!$B$4:$B$503,_calc!$E$521))&amp;". ")&amp;IF(LEN(IF(LEN(INDEX('Our policies'!$C$4:$C$503,_calc!$E$521))=0,"",INDEX('Our policies'!$C$4:$C$503,_calc!$E$521)))=0,"","Insurer: "&amp;IF(LEN(INDEX('Our policies'!$C$4:$C$503,_calc!$E$521))=0,"",INDEX('Our policies'!$C$4:$C$503,_calc!$E$521))&amp;". ")&amp;IF(LEN(IF(LEN(INDEX('Our policies'!$D$4:$D$503,_calc!$E$521))=0,"",INDEX('Our policies'!$D$4:$D$503,_calc!$E$521)))=0,"","Broker: "&amp;IF(LEN(INDEX('Our policies'!$D$4:$D$503,_calc!$E$521))=0,"",INDEX('Our policies'!$D$4:$D$503,_calc!$E$521))&amp;". ")&amp;IF(LEN(IF(LEN(INDEX('Our policies'!$E$4:$E$503,_calc!$E$521))=0,"",INDEX('Our policies'!$E$4:$E$503,_calc!$E$521)))=0,"","Policy no.: "&amp;IF(LEN(INDEX('Our policies'!$E$4:$E$503,_calc!$E$521))=0,"",INDEX('Our policies'!$E$4:$E$503,_calc!$E$521))&amp;". ")&amp;IF(LEN(IF(LEN(INDEX('Our policies'!$S$4:$S$503,_calc!$E$521))=0,"",INDEX('Our policies'!$S$4:$S$503,_calc!$E$521)))=0,"",IF(LEN(INDEX('Our policies'!$S$4:$S$503,_calc!$E$521))=0,"",INDEX('Our policies'!$S$4:$S$503,_calc!$E$521)))),TRIM(IF(LEN(IF(LEN(INDEX('Vendor COIs'!$C$4:$C$503,(_calc!$E$521-500)))=0,"",INDEX('Vendor COIs'!$C$4:$C$503,(_calc!$E$521-500))))=0,"","Insurer: "&amp;IF(LEN(INDEX('Vendor COIs'!$C$4:$C$503,(_calc!$E$521-500)))=0,"",INDEX('Vendor COIs'!$C$4:$C$503,(_calc!$E$521-500)))&amp;". ")&amp;IF(LEN(IF(LEN(INDEX('Vendor COIs'!$D$4:$D$503,(_calc!$E$521-500)))=0,"",INDEX('Vendor COIs'!$D$4:$D$503,(_calc!$E$521-500))))=0,"","Policy no.: "&amp;IF(LEN(INDEX('Vendor COIs'!$D$4:$D$503,(_calc!$E$521-500)))=0,"",INDEX('Vendor COIs'!$D$4:$D$503,(_calc!$E$521-500)))&amp;". ")&amp;IF(LEN(IF(LEN(INDEX('Vendor COIs'!$F$4:$F$503,(_calc!$E$521-500)))=0,"",INDEX('Vendor COIs'!$F$4:$F$503,(_calc!$E$521-500))))=0,"","Meets minimum: "&amp;IF(LEN(INDEX('Vendor COIs'!$F$4:$F$503,(_calc!$E$521-500)))=0,"",INDEX('Vendor COIs'!$F$4:$F$503,(_calc!$E$521-500)))&amp;". ")&amp;IF(LEN(IF(LEN(INDEX('Vendor COIs'!$G$4:$G$503,(_calc!$E$521-500)))=0,"",INDEX('Vendor COIs'!$G$4:$G$503,(_calc!$E$521-500))))=0,"","Additional insured: "&amp;IF(LEN(INDEX('Vendor COIs'!$G$4:$G$503,(_calc!$E$521-500)))=0,"",INDEX('Vendor COIs'!$G$4:$G$503,(_calc!$E$521-500)))&amp;". ")&amp;IF(LEN(IF(LEN(INDEX('Vendor COIs'!$M$4:$M$503,(_calc!$E$521-500)))=0,"",INDEX('Vendor COIs'!$M$4:$M$503,(_calc!$E$521-500))))=0,"","Vendor contact: "&amp;IF(LEN(INDEX('Vendor COIs'!$M$4:$M$503,(_calc!$E$521-500)))=0,"",INDEX('Vendor COIs'!$M$4:$M$503,(_calc!$E$521-500)))&amp;". ")&amp;IF(LEN(IF(LEN(INDEX('Vendor COIs'!$P$4:$P$503,(_calc!$E$521-500)))=0,"",INDEX('Vendor COIs'!$P$4:$P$503,(_calc!$E$521-500))))=0,"",IF(LEN(INDEX('Vendor COIs'!$P$4:$P$503,(_calc!$E$521-500)))=0,"",INDEX('Vendor COIs'!$P$4:$P$503,(_calc!$E$521-500)))))))</f>
        <v/>
      </c>
      <c r="G519" s="46">
        <f>IF(_calc!$E$521="","",IF(_calc!$E$521&lt;=500,IF(LEN(INDEX('Our policies'!$R$4:$R$503,_calc!$E$521))=0,"",INDEX('Our policies'!$R$4:$R$503,_calc!$E$521)),IF(LEN(INDEX('Vendor COIs'!$O$4:$O$503,(_calc!$E$521-500)))=0,"",INDEX('Vendor COIs'!$O$4:$O$503,(_calc!$E$521-500)))))</f>
        <v/>
      </c>
      <c r="H519" s="46">
        <f>IF(_calc!$E$521="","",IF(_calc!$E$521&lt;=500,IF(LEN(INDEX('Our policies'!$G$4:$G$503,_calc!$E$521))=0,"",INDEX('Our policies'!$G$4:$G$503,_calc!$E$521)),""))</f>
        <v/>
      </c>
      <c r="I519" s="46">
        <f>IF(_calc!$E$521="","",IF(_calc!$E$521&lt;=500,IF(LEN(INDEX('Our policies'!$H$4:$H$503,_calc!$E$521))=0,"",INDEX('Our policies'!$H$4:$H$503,_calc!$E$521)),""))</f>
        <v/>
      </c>
      <c r="K519" s="46">
        <f>IF(_calc!$E$521="","",IF(_calc!$E$521&lt;=500,IF(LEN(INDEX('Our policies'!$P$4:$P$503,_calc!$E$521))=0,"",INDEX('Our policies'!$P$4:$P$503,_calc!$E$521)),IF(LEN(INDEX('Vendor COIs'!$N$4:$N$503,(_calc!$E$521-500)))=0,"",INDEX('Vendor COIs'!$N$4:$N$503,(_calc!$E$521-500)))))</f>
        <v/>
      </c>
    </row>
    <row r="520">
      <c r="A520" s="46">
        <f>IF(_calc!$E$522="","",IF(_calc!$E$522&lt;=500,IF(LEN(INDEX('Our policies'!$A$4:$A$503,_calc!$E$522))=0,"",INDEX('Our policies'!$A$4:$A$503,_calc!$E$522)),"COI – "&amp;IF(LEN(INDEX('Vendor COIs'!$A$4:$A$503,(_calc!$E$522-500)))=0,"",INDEX('Vendor COIs'!$A$4:$A$503,(_calc!$E$522-500)))&amp;" – "&amp;IF(LEN(INDEX('Vendor COIs'!$B$4:$B$503,(_calc!$E$522-500)))=0,"",INDEX('Vendor COIs'!$B$4:$B$503,(_calc!$E$522-500)))))</f>
        <v/>
      </c>
      <c r="B520" s="46">
        <f>IF(_calc!$E$522="","",IF(_calc!$E$522&lt;=500,IF(ISNUMBER(INDEX('Our policies'!$J$4:$J$503,_calc!$E$522)),TEXT(INDEX('Our policies'!$J$4:$J$503,_calc!$E$522),"yyyy-mm-dd"),""),IF(ISNUMBER(INDEX('Vendor COIs'!$H$4:$H$503,(_calc!$E$522-500))),TEXT(INDEX('Vendor COIs'!$H$4:$H$503,(_calc!$E$522-500)),"yyyy-mm-dd"),"")))</f>
        <v/>
      </c>
      <c r="C520" s="46">
        <f>IF(_calc!$E$522="","",IF(_calc!$E$522&lt;=500,"Insurance","Certificate of insurance"))</f>
        <v/>
      </c>
      <c r="D520" s="46">
        <f>IF(_calc!$E$522="","",IF(_calc!$E$522&lt;=500,IF(ISNUMBER(INDEX('Our policies'!$I$4:$I$503,_calc!$E$522)),TEXT(INDEX('Our policies'!$I$4:$I$503,_calc!$E$522),"yyyy-mm-dd"),""),""))</f>
        <v/>
      </c>
      <c r="E520" s="46">
        <f>IF(_calc!$E$522="","",IF(_calc!$E$522&lt;=500,IF(LEN(INDEX('Our policies'!$Q$4:$Q$503,_calc!$E$522))=0,"",INDEX('Our policies'!$Q$4:$Q$503,_calc!$E$522)),"Medium"))</f>
        <v/>
      </c>
      <c r="F520" s="46">
        <f>IF(_calc!$E$522="","",IF(_calc!$E$522&lt;=500,TRIM(IF(LEN(IF(LEN(INDEX('Our policies'!$B$4:$B$503,_calc!$E$522))=0,"",INDEX('Our policies'!$B$4:$B$503,_calc!$E$522)))=0,"","Cover: "&amp;IF(LEN(INDEX('Our policies'!$B$4:$B$503,_calc!$E$522))=0,"",INDEX('Our policies'!$B$4:$B$503,_calc!$E$522))&amp;". ")&amp;IF(LEN(IF(LEN(INDEX('Our policies'!$C$4:$C$503,_calc!$E$522))=0,"",INDEX('Our policies'!$C$4:$C$503,_calc!$E$522)))=0,"","Insurer: "&amp;IF(LEN(INDEX('Our policies'!$C$4:$C$503,_calc!$E$522))=0,"",INDEX('Our policies'!$C$4:$C$503,_calc!$E$522))&amp;". ")&amp;IF(LEN(IF(LEN(INDEX('Our policies'!$D$4:$D$503,_calc!$E$522))=0,"",INDEX('Our policies'!$D$4:$D$503,_calc!$E$522)))=0,"","Broker: "&amp;IF(LEN(INDEX('Our policies'!$D$4:$D$503,_calc!$E$522))=0,"",INDEX('Our policies'!$D$4:$D$503,_calc!$E$522))&amp;". ")&amp;IF(LEN(IF(LEN(INDEX('Our policies'!$E$4:$E$503,_calc!$E$522))=0,"",INDEX('Our policies'!$E$4:$E$503,_calc!$E$522)))=0,"","Policy no.: "&amp;IF(LEN(INDEX('Our policies'!$E$4:$E$503,_calc!$E$522))=0,"",INDEX('Our policies'!$E$4:$E$503,_calc!$E$522))&amp;". ")&amp;IF(LEN(IF(LEN(INDEX('Our policies'!$S$4:$S$503,_calc!$E$522))=0,"",INDEX('Our policies'!$S$4:$S$503,_calc!$E$522)))=0,"",IF(LEN(INDEX('Our policies'!$S$4:$S$503,_calc!$E$522))=0,"",INDEX('Our policies'!$S$4:$S$503,_calc!$E$522)))),TRIM(IF(LEN(IF(LEN(INDEX('Vendor COIs'!$C$4:$C$503,(_calc!$E$522-500)))=0,"",INDEX('Vendor COIs'!$C$4:$C$503,(_calc!$E$522-500))))=0,"","Insurer: "&amp;IF(LEN(INDEX('Vendor COIs'!$C$4:$C$503,(_calc!$E$522-500)))=0,"",INDEX('Vendor COIs'!$C$4:$C$503,(_calc!$E$522-500)))&amp;". ")&amp;IF(LEN(IF(LEN(INDEX('Vendor COIs'!$D$4:$D$503,(_calc!$E$522-500)))=0,"",INDEX('Vendor COIs'!$D$4:$D$503,(_calc!$E$522-500))))=0,"","Policy no.: "&amp;IF(LEN(INDEX('Vendor COIs'!$D$4:$D$503,(_calc!$E$522-500)))=0,"",INDEX('Vendor COIs'!$D$4:$D$503,(_calc!$E$522-500)))&amp;". ")&amp;IF(LEN(IF(LEN(INDEX('Vendor COIs'!$F$4:$F$503,(_calc!$E$522-500)))=0,"",INDEX('Vendor COIs'!$F$4:$F$503,(_calc!$E$522-500))))=0,"","Meets minimum: "&amp;IF(LEN(INDEX('Vendor COIs'!$F$4:$F$503,(_calc!$E$522-500)))=0,"",INDEX('Vendor COIs'!$F$4:$F$503,(_calc!$E$522-500)))&amp;". ")&amp;IF(LEN(IF(LEN(INDEX('Vendor COIs'!$G$4:$G$503,(_calc!$E$522-500)))=0,"",INDEX('Vendor COIs'!$G$4:$G$503,(_calc!$E$522-500))))=0,"","Additional insured: "&amp;IF(LEN(INDEX('Vendor COIs'!$G$4:$G$503,(_calc!$E$522-500)))=0,"",INDEX('Vendor COIs'!$G$4:$G$503,(_calc!$E$522-500)))&amp;". ")&amp;IF(LEN(IF(LEN(INDEX('Vendor COIs'!$M$4:$M$503,(_calc!$E$522-500)))=0,"",INDEX('Vendor COIs'!$M$4:$M$503,(_calc!$E$522-500))))=0,"","Vendor contact: "&amp;IF(LEN(INDEX('Vendor COIs'!$M$4:$M$503,(_calc!$E$522-500)))=0,"",INDEX('Vendor COIs'!$M$4:$M$503,(_calc!$E$522-500)))&amp;". ")&amp;IF(LEN(IF(LEN(INDEX('Vendor COIs'!$P$4:$P$503,(_calc!$E$522-500)))=0,"",INDEX('Vendor COIs'!$P$4:$P$503,(_calc!$E$522-500))))=0,"",IF(LEN(INDEX('Vendor COIs'!$P$4:$P$503,(_calc!$E$522-500)))=0,"",INDEX('Vendor COIs'!$P$4:$P$503,(_calc!$E$522-500)))))))</f>
        <v/>
      </c>
      <c r="G520" s="46">
        <f>IF(_calc!$E$522="","",IF(_calc!$E$522&lt;=500,IF(LEN(INDEX('Our policies'!$R$4:$R$503,_calc!$E$522))=0,"",INDEX('Our policies'!$R$4:$R$503,_calc!$E$522)),IF(LEN(INDEX('Vendor COIs'!$O$4:$O$503,(_calc!$E$522-500)))=0,"",INDEX('Vendor COIs'!$O$4:$O$503,(_calc!$E$522-500)))))</f>
        <v/>
      </c>
      <c r="H520" s="46">
        <f>IF(_calc!$E$522="","",IF(_calc!$E$522&lt;=500,IF(LEN(INDEX('Our policies'!$G$4:$G$503,_calc!$E$522))=0,"",INDEX('Our policies'!$G$4:$G$503,_calc!$E$522)),""))</f>
        <v/>
      </c>
      <c r="I520" s="46">
        <f>IF(_calc!$E$522="","",IF(_calc!$E$522&lt;=500,IF(LEN(INDEX('Our policies'!$H$4:$H$503,_calc!$E$522))=0,"",INDEX('Our policies'!$H$4:$H$503,_calc!$E$522)),""))</f>
        <v/>
      </c>
      <c r="K520" s="46">
        <f>IF(_calc!$E$522="","",IF(_calc!$E$522&lt;=500,IF(LEN(INDEX('Our policies'!$P$4:$P$503,_calc!$E$522))=0,"",INDEX('Our policies'!$P$4:$P$503,_calc!$E$522)),IF(LEN(INDEX('Vendor COIs'!$N$4:$N$503,(_calc!$E$522-500)))=0,"",INDEX('Vendor COIs'!$N$4:$N$503,(_calc!$E$522-500)))))</f>
        <v/>
      </c>
    </row>
    <row r="521">
      <c r="A521" s="46">
        <f>IF(_calc!$E$523="","",IF(_calc!$E$523&lt;=500,IF(LEN(INDEX('Our policies'!$A$4:$A$503,_calc!$E$523))=0,"",INDEX('Our policies'!$A$4:$A$503,_calc!$E$523)),"COI – "&amp;IF(LEN(INDEX('Vendor COIs'!$A$4:$A$503,(_calc!$E$523-500)))=0,"",INDEX('Vendor COIs'!$A$4:$A$503,(_calc!$E$523-500)))&amp;" – "&amp;IF(LEN(INDEX('Vendor COIs'!$B$4:$B$503,(_calc!$E$523-500)))=0,"",INDEX('Vendor COIs'!$B$4:$B$503,(_calc!$E$523-500)))))</f>
        <v/>
      </c>
      <c r="B521" s="46">
        <f>IF(_calc!$E$523="","",IF(_calc!$E$523&lt;=500,IF(ISNUMBER(INDEX('Our policies'!$J$4:$J$503,_calc!$E$523)),TEXT(INDEX('Our policies'!$J$4:$J$503,_calc!$E$523),"yyyy-mm-dd"),""),IF(ISNUMBER(INDEX('Vendor COIs'!$H$4:$H$503,(_calc!$E$523-500))),TEXT(INDEX('Vendor COIs'!$H$4:$H$503,(_calc!$E$523-500)),"yyyy-mm-dd"),"")))</f>
        <v/>
      </c>
      <c r="C521" s="46">
        <f>IF(_calc!$E$523="","",IF(_calc!$E$523&lt;=500,"Insurance","Certificate of insurance"))</f>
        <v/>
      </c>
      <c r="D521" s="46">
        <f>IF(_calc!$E$523="","",IF(_calc!$E$523&lt;=500,IF(ISNUMBER(INDEX('Our policies'!$I$4:$I$503,_calc!$E$523)),TEXT(INDEX('Our policies'!$I$4:$I$503,_calc!$E$523),"yyyy-mm-dd"),""),""))</f>
        <v/>
      </c>
      <c r="E521" s="46">
        <f>IF(_calc!$E$523="","",IF(_calc!$E$523&lt;=500,IF(LEN(INDEX('Our policies'!$Q$4:$Q$503,_calc!$E$523))=0,"",INDEX('Our policies'!$Q$4:$Q$503,_calc!$E$523)),"Medium"))</f>
        <v/>
      </c>
      <c r="F521" s="46">
        <f>IF(_calc!$E$523="","",IF(_calc!$E$523&lt;=500,TRIM(IF(LEN(IF(LEN(INDEX('Our policies'!$B$4:$B$503,_calc!$E$523))=0,"",INDEX('Our policies'!$B$4:$B$503,_calc!$E$523)))=0,"","Cover: "&amp;IF(LEN(INDEX('Our policies'!$B$4:$B$503,_calc!$E$523))=0,"",INDEX('Our policies'!$B$4:$B$503,_calc!$E$523))&amp;". ")&amp;IF(LEN(IF(LEN(INDEX('Our policies'!$C$4:$C$503,_calc!$E$523))=0,"",INDEX('Our policies'!$C$4:$C$503,_calc!$E$523)))=0,"","Insurer: "&amp;IF(LEN(INDEX('Our policies'!$C$4:$C$503,_calc!$E$523))=0,"",INDEX('Our policies'!$C$4:$C$503,_calc!$E$523))&amp;". ")&amp;IF(LEN(IF(LEN(INDEX('Our policies'!$D$4:$D$503,_calc!$E$523))=0,"",INDEX('Our policies'!$D$4:$D$503,_calc!$E$523)))=0,"","Broker: "&amp;IF(LEN(INDEX('Our policies'!$D$4:$D$503,_calc!$E$523))=0,"",INDEX('Our policies'!$D$4:$D$503,_calc!$E$523))&amp;". ")&amp;IF(LEN(IF(LEN(INDEX('Our policies'!$E$4:$E$503,_calc!$E$523))=0,"",INDEX('Our policies'!$E$4:$E$503,_calc!$E$523)))=0,"","Policy no.: "&amp;IF(LEN(INDEX('Our policies'!$E$4:$E$503,_calc!$E$523))=0,"",INDEX('Our policies'!$E$4:$E$503,_calc!$E$523))&amp;". ")&amp;IF(LEN(IF(LEN(INDEX('Our policies'!$S$4:$S$503,_calc!$E$523))=0,"",INDEX('Our policies'!$S$4:$S$503,_calc!$E$523)))=0,"",IF(LEN(INDEX('Our policies'!$S$4:$S$503,_calc!$E$523))=0,"",INDEX('Our policies'!$S$4:$S$503,_calc!$E$523)))),TRIM(IF(LEN(IF(LEN(INDEX('Vendor COIs'!$C$4:$C$503,(_calc!$E$523-500)))=0,"",INDEX('Vendor COIs'!$C$4:$C$503,(_calc!$E$523-500))))=0,"","Insurer: "&amp;IF(LEN(INDEX('Vendor COIs'!$C$4:$C$503,(_calc!$E$523-500)))=0,"",INDEX('Vendor COIs'!$C$4:$C$503,(_calc!$E$523-500)))&amp;". ")&amp;IF(LEN(IF(LEN(INDEX('Vendor COIs'!$D$4:$D$503,(_calc!$E$523-500)))=0,"",INDEX('Vendor COIs'!$D$4:$D$503,(_calc!$E$523-500))))=0,"","Policy no.: "&amp;IF(LEN(INDEX('Vendor COIs'!$D$4:$D$503,(_calc!$E$523-500)))=0,"",INDEX('Vendor COIs'!$D$4:$D$503,(_calc!$E$523-500)))&amp;". ")&amp;IF(LEN(IF(LEN(INDEX('Vendor COIs'!$F$4:$F$503,(_calc!$E$523-500)))=0,"",INDEX('Vendor COIs'!$F$4:$F$503,(_calc!$E$523-500))))=0,"","Meets minimum: "&amp;IF(LEN(INDEX('Vendor COIs'!$F$4:$F$503,(_calc!$E$523-500)))=0,"",INDEX('Vendor COIs'!$F$4:$F$503,(_calc!$E$523-500)))&amp;". ")&amp;IF(LEN(IF(LEN(INDEX('Vendor COIs'!$G$4:$G$503,(_calc!$E$523-500)))=0,"",INDEX('Vendor COIs'!$G$4:$G$503,(_calc!$E$523-500))))=0,"","Additional insured: "&amp;IF(LEN(INDEX('Vendor COIs'!$G$4:$G$503,(_calc!$E$523-500)))=0,"",INDEX('Vendor COIs'!$G$4:$G$503,(_calc!$E$523-500)))&amp;". ")&amp;IF(LEN(IF(LEN(INDEX('Vendor COIs'!$M$4:$M$503,(_calc!$E$523-500)))=0,"",INDEX('Vendor COIs'!$M$4:$M$503,(_calc!$E$523-500))))=0,"","Vendor contact: "&amp;IF(LEN(INDEX('Vendor COIs'!$M$4:$M$503,(_calc!$E$523-500)))=0,"",INDEX('Vendor COIs'!$M$4:$M$503,(_calc!$E$523-500)))&amp;". ")&amp;IF(LEN(IF(LEN(INDEX('Vendor COIs'!$P$4:$P$503,(_calc!$E$523-500)))=0,"",INDEX('Vendor COIs'!$P$4:$P$503,(_calc!$E$523-500))))=0,"",IF(LEN(INDEX('Vendor COIs'!$P$4:$P$503,(_calc!$E$523-500)))=0,"",INDEX('Vendor COIs'!$P$4:$P$503,(_calc!$E$523-500)))))))</f>
        <v/>
      </c>
      <c r="G521" s="46">
        <f>IF(_calc!$E$523="","",IF(_calc!$E$523&lt;=500,IF(LEN(INDEX('Our policies'!$R$4:$R$503,_calc!$E$523))=0,"",INDEX('Our policies'!$R$4:$R$503,_calc!$E$523)),IF(LEN(INDEX('Vendor COIs'!$O$4:$O$503,(_calc!$E$523-500)))=0,"",INDEX('Vendor COIs'!$O$4:$O$503,(_calc!$E$523-500)))))</f>
        <v/>
      </c>
      <c r="H521" s="46">
        <f>IF(_calc!$E$523="","",IF(_calc!$E$523&lt;=500,IF(LEN(INDEX('Our policies'!$G$4:$G$503,_calc!$E$523))=0,"",INDEX('Our policies'!$G$4:$G$503,_calc!$E$523)),""))</f>
        <v/>
      </c>
      <c r="I521" s="46">
        <f>IF(_calc!$E$523="","",IF(_calc!$E$523&lt;=500,IF(LEN(INDEX('Our policies'!$H$4:$H$503,_calc!$E$523))=0,"",INDEX('Our policies'!$H$4:$H$503,_calc!$E$523)),""))</f>
        <v/>
      </c>
      <c r="K521" s="46">
        <f>IF(_calc!$E$523="","",IF(_calc!$E$523&lt;=500,IF(LEN(INDEX('Our policies'!$P$4:$P$503,_calc!$E$523))=0,"",INDEX('Our policies'!$P$4:$P$503,_calc!$E$523)),IF(LEN(INDEX('Vendor COIs'!$N$4:$N$503,(_calc!$E$523-500)))=0,"",INDEX('Vendor COIs'!$N$4:$N$503,(_calc!$E$523-500)))))</f>
        <v/>
      </c>
    </row>
    <row r="522">
      <c r="A522" s="46">
        <f>IF(_calc!$E$524="","",IF(_calc!$E$524&lt;=500,IF(LEN(INDEX('Our policies'!$A$4:$A$503,_calc!$E$524))=0,"",INDEX('Our policies'!$A$4:$A$503,_calc!$E$524)),"COI – "&amp;IF(LEN(INDEX('Vendor COIs'!$A$4:$A$503,(_calc!$E$524-500)))=0,"",INDEX('Vendor COIs'!$A$4:$A$503,(_calc!$E$524-500)))&amp;" – "&amp;IF(LEN(INDEX('Vendor COIs'!$B$4:$B$503,(_calc!$E$524-500)))=0,"",INDEX('Vendor COIs'!$B$4:$B$503,(_calc!$E$524-500)))))</f>
        <v/>
      </c>
      <c r="B522" s="46">
        <f>IF(_calc!$E$524="","",IF(_calc!$E$524&lt;=500,IF(ISNUMBER(INDEX('Our policies'!$J$4:$J$503,_calc!$E$524)),TEXT(INDEX('Our policies'!$J$4:$J$503,_calc!$E$524),"yyyy-mm-dd"),""),IF(ISNUMBER(INDEX('Vendor COIs'!$H$4:$H$503,(_calc!$E$524-500))),TEXT(INDEX('Vendor COIs'!$H$4:$H$503,(_calc!$E$524-500)),"yyyy-mm-dd"),"")))</f>
        <v/>
      </c>
      <c r="C522" s="46">
        <f>IF(_calc!$E$524="","",IF(_calc!$E$524&lt;=500,"Insurance","Certificate of insurance"))</f>
        <v/>
      </c>
      <c r="D522" s="46">
        <f>IF(_calc!$E$524="","",IF(_calc!$E$524&lt;=500,IF(ISNUMBER(INDEX('Our policies'!$I$4:$I$503,_calc!$E$524)),TEXT(INDEX('Our policies'!$I$4:$I$503,_calc!$E$524),"yyyy-mm-dd"),""),""))</f>
        <v/>
      </c>
      <c r="E522" s="46">
        <f>IF(_calc!$E$524="","",IF(_calc!$E$524&lt;=500,IF(LEN(INDEX('Our policies'!$Q$4:$Q$503,_calc!$E$524))=0,"",INDEX('Our policies'!$Q$4:$Q$503,_calc!$E$524)),"Medium"))</f>
        <v/>
      </c>
      <c r="F522" s="46">
        <f>IF(_calc!$E$524="","",IF(_calc!$E$524&lt;=500,TRIM(IF(LEN(IF(LEN(INDEX('Our policies'!$B$4:$B$503,_calc!$E$524))=0,"",INDEX('Our policies'!$B$4:$B$503,_calc!$E$524)))=0,"","Cover: "&amp;IF(LEN(INDEX('Our policies'!$B$4:$B$503,_calc!$E$524))=0,"",INDEX('Our policies'!$B$4:$B$503,_calc!$E$524))&amp;". ")&amp;IF(LEN(IF(LEN(INDEX('Our policies'!$C$4:$C$503,_calc!$E$524))=0,"",INDEX('Our policies'!$C$4:$C$503,_calc!$E$524)))=0,"","Insurer: "&amp;IF(LEN(INDEX('Our policies'!$C$4:$C$503,_calc!$E$524))=0,"",INDEX('Our policies'!$C$4:$C$503,_calc!$E$524))&amp;". ")&amp;IF(LEN(IF(LEN(INDEX('Our policies'!$D$4:$D$503,_calc!$E$524))=0,"",INDEX('Our policies'!$D$4:$D$503,_calc!$E$524)))=0,"","Broker: "&amp;IF(LEN(INDEX('Our policies'!$D$4:$D$503,_calc!$E$524))=0,"",INDEX('Our policies'!$D$4:$D$503,_calc!$E$524))&amp;". ")&amp;IF(LEN(IF(LEN(INDEX('Our policies'!$E$4:$E$503,_calc!$E$524))=0,"",INDEX('Our policies'!$E$4:$E$503,_calc!$E$524)))=0,"","Policy no.: "&amp;IF(LEN(INDEX('Our policies'!$E$4:$E$503,_calc!$E$524))=0,"",INDEX('Our policies'!$E$4:$E$503,_calc!$E$524))&amp;". ")&amp;IF(LEN(IF(LEN(INDEX('Our policies'!$S$4:$S$503,_calc!$E$524))=0,"",INDEX('Our policies'!$S$4:$S$503,_calc!$E$524)))=0,"",IF(LEN(INDEX('Our policies'!$S$4:$S$503,_calc!$E$524))=0,"",INDEX('Our policies'!$S$4:$S$503,_calc!$E$524)))),TRIM(IF(LEN(IF(LEN(INDEX('Vendor COIs'!$C$4:$C$503,(_calc!$E$524-500)))=0,"",INDEX('Vendor COIs'!$C$4:$C$503,(_calc!$E$524-500))))=0,"","Insurer: "&amp;IF(LEN(INDEX('Vendor COIs'!$C$4:$C$503,(_calc!$E$524-500)))=0,"",INDEX('Vendor COIs'!$C$4:$C$503,(_calc!$E$524-500)))&amp;". ")&amp;IF(LEN(IF(LEN(INDEX('Vendor COIs'!$D$4:$D$503,(_calc!$E$524-500)))=0,"",INDEX('Vendor COIs'!$D$4:$D$503,(_calc!$E$524-500))))=0,"","Policy no.: "&amp;IF(LEN(INDEX('Vendor COIs'!$D$4:$D$503,(_calc!$E$524-500)))=0,"",INDEX('Vendor COIs'!$D$4:$D$503,(_calc!$E$524-500)))&amp;". ")&amp;IF(LEN(IF(LEN(INDEX('Vendor COIs'!$F$4:$F$503,(_calc!$E$524-500)))=0,"",INDEX('Vendor COIs'!$F$4:$F$503,(_calc!$E$524-500))))=0,"","Meets minimum: "&amp;IF(LEN(INDEX('Vendor COIs'!$F$4:$F$503,(_calc!$E$524-500)))=0,"",INDEX('Vendor COIs'!$F$4:$F$503,(_calc!$E$524-500)))&amp;". ")&amp;IF(LEN(IF(LEN(INDEX('Vendor COIs'!$G$4:$G$503,(_calc!$E$524-500)))=0,"",INDEX('Vendor COIs'!$G$4:$G$503,(_calc!$E$524-500))))=0,"","Additional insured: "&amp;IF(LEN(INDEX('Vendor COIs'!$G$4:$G$503,(_calc!$E$524-500)))=0,"",INDEX('Vendor COIs'!$G$4:$G$503,(_calc!$E$524-500)))&amp;". ")&amp;IF(LEN(IF(LEN(INDEX('Vendor COIs'!$M$4:$M$503,(_calc!$E$524-500)))=0,"",INDEX('Vendor COIs'!$M$4:$M$503,(_calc!$E$524-500))))=0,"","Vendor contact: "&amp;IF(LEN(INDEX('Vendor COIs'!$M$4:$M$503,(_calc!$E$524-500)))=0,"",INDEX('Vendor COIs'!$M$4:$M$503,(_calc!$E$524-500)))&amp;". ")&amp;IF(LEN(IF(LEN(INDEX('Vendor COIs'!$P$4:$P$503,(_calc!$E$524-500)))=0,"",INDEX('Vendor COIs'!$P$4:$P$503,(_calc!$E$524-500))))=0,"",IF(LEN(INDEX('Vendor COIs'!$P$4:$P$503,(_calc!$E$524-500)))=0,"",INDEX('Vendor COIs'!$P$4:$P$503,(_calc!$E$524-500)))))))</f>
        <v/>
      </c>
      <c r="G522" s="46">
        <f>IF(_calc!$E$524="","",IF(_calc!$E$524&lt;=500,IF(LEN(INDEX('Our policies'!$R$4:$R$503,_calc!$E$524))=0,"",INDEX('Our policies'!$R$4:$R$503,_calc!$E$524)),IF(LEN(INDEX('Vendor COIs'!$O$4:$O$503,(_calc!$E$524-500)))=0,"",INDEX('Vendor COIs'!$O$4:$O$503,(_calc!$E$524-500)))))</f>
        <v/>
      </c>
      <c r="H522" s="46">
        <f>IF(_calc!$E$524="","",IF(_calc!$E$524&lt;=500,IF(LEN(INDEX('Our policies'!$G$4:$G$503,_calc!$E$524))=0,"",INDEX('Our policies'!$G$4:$G$503,_calc!$E$524)),""))</f>
        <v/>
      </c>
      <c r="I522" s="46">
        <f>IF(_calc!$E$524="","",IF(_calc!$E$524&lt;=500,IF(LEN(INDEX('Our policies'!$H$4:$H$503,_calc!$E$524))=0,"",INDEX('Our policies'!$H$4:$H$503,_calc!$E$524)),""))</f>
        <v/>
      </c>
      <c r="K522" s="46">
        <f>IF(_calc!$E$524="","",IF(_calc!$E$524&lt;=500,IF(LEN(INDEX('Our policies'!$P$4:$P$503,_calc!$E$524))=0,"",INDEX('Our policies'!$P$4:$P$503,_calc!$E$524)),IF(LEN(INDEX('Vendor COIs'!$N$4:$N$503,(_calc!$E$524-500)))=0,"",INDEX('Vendor COIs'!$N$4:$N$503,(_calc!$E$524-500)))))</f>
        <v/>
      </c>
    </row>
    <row r="523">
      <c r="A523" s="46">
        <f>IF(_calc!$E$525="","",IF(_calc!$E$525&lt;=500,IF(LEN(INDEX('Our policies'!$A$4:$A$503,_calc!$E$525))=0,"",INDEX('Our policies'!$A$4:$A$503,_calc!$E$525)),"COI – "&amp;IF(LEN(INDEX('Vendor COIs'!$A$4:$A$503,(_calc!$E$525-500)))=0,"",INDEX('Vendor COIs'!$A$4:$A$503,(_calc!$E$525-500)))&amp;" – "&amp;IF(LEN(INDEX('Vendor COIs'!$B$4:$B$503,(_calc!$E$525-500)))=0,"",INDEX('Vendor COIs'!$B$4:$B$503,(_calc!$E$525-500)))))</f>
        <v/>
      </c>
      <c r="B523" s="46">
        <f>IF(_calc!$E$525="","",IF(_calc!$E$525&lt;=500,IF(ISNUMBER(INDEX('Our policies'!$J$4:$J$503,_calc!$E$525)),TEXT(INDEX('Our policies'!$J$4:$J$503,_calc!$E$525),"yyyy-mm-dd"),""),IF(ISNUMBER(INDEX('Vendor COIs'!$H$4:$H$503,(_calc!$E$525-500))),TEXT(INDEX('Vendor COIs'!$H$4:$H$503,(_calc!$E$525-500)),"yyyy-mm-dd"),"")))</f>
        <v/>
      </c>
      <c r="C523" s="46">
        <f>IF(_calc!$E$525="","",IF(_calc!$E$525&lt;=500,"Insurance","Certificate of insurance"))</f>
        <v/>
      </c>
      <c r="D523" s="46">
        <f>IF(_calc!$E$525="","",IF(_calc!$E$525&lt;=500,IF(ISNUMBER(INDEX('Our policies'!$I$4:$I$503,_calc!$E$525)),TEXT(INDEX('Our policies'!$I$4:$I$503,_calc!$E$525),"yyyy-mm-dd"),""),""))</f>
        <v/>
      </c>
      <c r="E523" s="46">
        <f>IF(_calc!$E$525="","",IF(_calc!$E$525&lt;=500,IF(LEN(INDEX('Our policies'!$Q$4:$Q$503,_calc!$E$525))=0,"",INDEX('Our policies'!$Q$4:$Q$503,_calc!$E$525)),"Medium"))</f>
        <v/>
      </c>
      <c r="F523" s="46">
        <f>IF(_calc!$E$525="","",IF(_calc!$E$525&lt;=500,TRIM(IF(LEN(IF(LEN(INDEX('Our policies'!$B$4:$B$503,_calc!$E$525))=0,"",INDEX('Our policies'!$B$4:$B$503,_calc!$E$525)))=0,"","Cover: "&amp;IF(LEN(INDEX('Our policies'!$B$4:$B$503,_calc!$E$525))=0,"",INDEX('Our policies'!$B$4:$B$503,_calc!$E$525))&amp;". ")&amp;IF(LEN(IF(LEN(INDEX('Our policies'!$C$4:$C$503,_calc!$E$525))=0,"",INDEX('Our policies'!$C$4:$C$503,_calc!$E$525)))=0,"","Insurer: "&amp;IF(LEN(INDEX('Our policies'!$C$4:$C$503,_calc!$E$525))=0,"",INDEX('Our policies'!$C$4:$C$503,_calc!$E$525))&amp;". ")&amp;IF(LEN(IF(LEN(INDEX('Our policies'!$D$4:$D$503,_calc!$E$525))=0,"",INDEX('Our policies'!$D$4:$D$503,_calc!$E$525)))=0,"","Broker: "&amp;IF(LEN(INDEX('Our policies'!$D$4:$D$503,_calc!$E$525))=0,"",INDEX('Our policies'!$D$4:$D$503,_calc!$E$525))&amp;". ")&amp;IF(LEN(IF(LEN(INDEX('Our policies'!$E$4:$E$503,_calc!$E$525))=0,"",INDEX('Our policies'!$E$4:$E$503,_calc!$E$525)))=0,"","Policy no.: "&amp;IF(LEN(INDEX('Our policies'!$E$4:$E$503,_calc!$E$525))=0,"",INDEX('Our policies'!$E$4:$E$503,_calc!$E$525))&amp;". ")&amp;IF(LEN(IF(LEN(INDEX('Our policies'!$S$4:$S$503,_calc!$E$525))=0,"",INDEX('Our policies'!$S$4:$S$503,_calc!$E$525)))=0,"",IF(LEN(INDEX('Our policies'!$S$4:$S$503,_calc!$E$525))=0,"",INDEX('Our policies'!$S$4:$S$503,_calc!$E$525)))),TRIM(IF(LEN(IF(LEN(INDEX('Vendor COIs'!$C$4:$C$503,(_calc!$E$525-500)))=0,"",INDEX('Vendor COIs'!$C$4:$C$503,(_calc!$E$525-500))))=0,"","Insurer: "&amp;IF(LEN(INDEX('Vendor COIs'!$C$4:$C$503,(_calc!$E$525-500)))=0,"",INDEX('Vendor COIs'!$C$4:$C$503,(_calc!$E$525-500)))&amp;". ")&amp;IF(LEN(IF(LEN(INDEX('Vendor COIs'!$D$4:$D$503,(_calc!$E$525-500)))=0,"",INDEX('Vendor COIs'!$D$4:$D$503,(_calc!$E$525-500))))=0,"","Policy no.: "&amp;IF(LEN(INDEX('Vendor COIs'!$D$4:$D$503,(_calc!$E$525-500)))=0,"",INDEX('Vendor COIs'!$D$4:$D$503,(_calc!$E$525-500)))&amp;". ")&amp;IF(LEN(IF(LEN(INDEX('Vendor COIs'!$F$4:$F$503,(_calc!$E$525-500)))=0,"",INDEX('Vendor COIs'!$F$4:$F$503,(_calc!$E$525-500))))=0,"","Meets minimum: "&amp;IF(LEN(INDEX('Vendor COIs'!$F$4:$F$503,(_calc!$E$525-500)))=0,"",INDEX('Vendor COIs'!$F$4:$F$503,(_calc!$E$525-500)))&amp;". ")&amp;IF(LEN(IF(LEN(INDEX('Vendor COIs'!$G$4:$G$503,(_calc!$E$525-500)))=0,"",INDEX('Vendor COIs'!$G$4:$G$503,(_calc!$E$525-500))))=0,"","Additional insured: "&amp;IF(LEN(INDEX('Vendor COIs'!$G$4:$G$503,(_calc!$E$525-500)))=0,"",INDEX('Vendor COIs'!$G$4:$G$503,(_calc!$E$525-500)))&amp;". ")&amp;IF(LEN(IF(LEN(INDEX('Vendor COIs'!$M$4:$M$503,(_calc!$E$525-500)))=0,"",INDEX('Vendor COIs'!$M$4:$M$503,(_calc!$E$525-500))))=0,"","Vendor contact: "&amp;IF(LEN(INDEX('Vendor COIs'!$M$4:$M$503,(_calc!$E$525-500)))=0,"",INDEX('Vendor COIs'!$M$4:$M$503,(_calc!$E$525-500)))&amp;". ")&amp;IF(LEN(IF(LEN(INDEX('Vendor COIs'!$P$4:$P$503,(_calc!$E$525-500)))=0,"",INDEX('Vendor COIs'!$P$4:$P$503,(_calc!$E$525-500))))=0,"",IF(LEN(INDEX('Vendor COIs'!$P$4:$P$503,(_calc!$E$525-500)))=0,"",INDEX('Vendor COIs'!$P$4:$P$503,(_calc!$E$525-500)))))))</f>
        <v/>
      </c>
      <c r="G523" s="46">
        <f>IF(_calc!$E$525="","",IF(_calc!$E$525&lt;=500,IF(LEN(INDEX('Our policies'!$R$4:$R$503,_calc!$E$525))=0,"",INDEX('Our policies'!$R$4:$R$503,_calc!$E$525)),IF(LEN(INDEX('Vendor COIs'!$O$4:$O$503,(_calc!$E$525-500)))=0,"",INDEX('Vendor COIs'!$O$4:$O$503,(_calc!$E$525-500)))))</f>
        <v/>
      </c>
      <c r="H523" s="46">
        <f>IF(_calc!$E$525="","",IF(_calc!$E$525&lt;=500,IF(LEN(INDEX('Our policies'!$G$4:$G$503,_calc!$E$525))=0,"",INDEX('Our policies'!$G$4:$G$503,_calc!$E$525)),""))</f>
        <v/>
      </c>
      <c r="I523" s="46">
        <f>IF(_calc!$E$525="","",IF(_calc!$E$525&lt;=500,IF(LEN(INDEX('Our policies'!$H$4:$H$503,_calc!$E$525))=0,"",INDEX('Our policies'!$H$4:$H$503,_calc!$E$525)),""))</f>
        <v/>
      </c>
      <c r="K523" s="46">
        <f>IF(_calc!$E$525="","",IF(_calc!$E$525&lt;=500,IF(LEN(INDEX('Our policies'!$P$4:$P$503,_calc!$E$525))=0,"",INDEX('Our policies'!$P$4:$P$503,_calc!$E$525)),IF(LEN(INDEX('Vendor COIs'!$N$4:$N$503,(_calc!$E$525-500)))=0,"",INDEX('Vendor COIs'!$N$4:$N$503,(_calc!$E$525-500)))))</f>
        <v/>
      </c>
    </row>
    <row r="524">
      <c r="A524" s="46">
        <f>IF(_calc!$E$526="","",IF(_calc!$E$526&lt;=500,IF(LEN(INDEX('Our policies'!$A$4:$A$503,_calc!$E$526))=0,"",INDEX('Our policies'!$A$4:$A$503,_calc!$E$526)),"COI – "&amp;IF(LEN(INDEX('Vendor COIs'!$A$4:$A$503,(_calc!$E$526-500)))=0,"",INDEX('Vendor COIs'!$A$4:$A$503,(_calc!$E$526-500)))&amp;" – "&amp;IF(LEN(INDEX('Vendor COIs'!$B$4:$B$503,(_calc!$E$526-500)))=0,"",INDEX('Vendor COIs'!$B$4:$B$503,(_calc!$E$526-500)))))</f>
        <v/>
      </c>
      <c r="B524" s="46">
        <f>IF(_calc!$E$526="","",IF(_calc!$E$526&lt;=500,IF(ISNUMBER(INDEX('Our policies'!$J$4:$J$503,_calc!$E$526)),TEXT(INDEX('Our policies'!$J$4:$J$503,_calc!$E$526),"yyyy-mm-dd"),""),IF(ISNUMBER(INDEX('Vendor COIs'!$H$4:$H$503,(_calc!$E$526-500))),TEXT(INDEX('Vendor COIs'!$H$4:$H$503,(_calc!$E$526-500)),"yyyy-mm-dd"),"")))</f>
        <v/>
      </c>
      <c r="C524" s="46">
        <f>IF(_calc!$E$526="","",IF(_calc!$E$526&lt;=500,"Insurance","Certificate of insurance"))</f>
        <v/>
      </c>
      <c r="D524" s="46">
        <f>IF(_calc!$E$526="","",IF(_calc!$E$526&lt;=500,IF(ISNUMBER(INDEX('Our policies'!$I$4:$I$503,_calc!$E$526)),TEXT(INDEX('Our policies'!$I$4:$I$503,_calc!$E$526),"yyyy-mm-dd"),""),""))</f>
        <v/>
      </c>
      <c r="E524" s="46">
        <f>IF(_calc!$E$526="","",IF(_calc!$E$526&lt;=500,IF(LEN(INDEX('Our policies'!$Q$4:$Q$503,_calc!$E$526))=0,"",INDEX('Our policies'!$Q$4:$Q$503,_calc!$E$526)),"Medium"))</f>
        <v/>
      </c>
      <c r="F524" s="46">
        <f>IF(_calc!$E$526="","",IF(_calc!$E$526&lt;=500,TRIM(IF(LEN(IF(LEN(INDEX('Our policies'!$B$4:$B$503,_calc!$E$526))=0,"",INDEX('Our policies'!$B$4:$B$503,_calc!$E$526)))=0,"","Cover: "&amp;IF(LEN(INDEX('Our policies'!$B$4:$B$503,_calc!$E$526))=0,"",INDEX('Our policies'!$B$4:$B$503,_calc!$E$526))&amp;". ")&amp;IF(LEN(IF(LEN(INDEX('Our policies'!$C$4:$C$503,_calc!$E$526))=0,"",INDEX('Our policies'!$C$4:$C$503,_calc!$E$526)))=0,"","Insurer: "&amp;IF(LEN(INDEX('Our policies'!$C$4:$C$503,_calc!$E$526))=0,"",INDEX('Our policies'!$C$4:$C$503,_calc!$E$526))&amp;". ")&amp;IF(LEN(IF(LEN(INDEX('Our policies'!$D$4:$D$503,_calc!$E$526))=0,"",INDEX('Our policies'!$D$4:$D$503,_calc!$E$526)))=0,"","Broker: "&amp;IF(LEN(INDEX('Our policies'!$D$4:$D$503,_calc!$E$526))=0,"",INDEX('Our policies'!$D$4:$D$503,_calc!$E$526))&amp;". ")&amp;IF(LEN(IF(LEN(INDEX('Our policies'!$E$4:$E$503,_calc!$E$526))=0,"",INDEX('Our policies'!$E$4:$E$503,_calc!$E$526)))=0,"","Policy no.: "&amp;IF(LEN(INDEX('Our policies'!$E$4:$E$503,_calc!$E$526))=0,"",INDEX('Our policies'!$E$4:$E$503,_calc!$E$526))&amp;". ")&amp;IF(LEN(IF(LEN(INDEX('Our policies'!$S$4:$S$503,_calc!$E$526))=0,"",INDEX('Our policies'!$S$4:$S$503,_calc!$E$526)))=0,"",IF(LEN(INDEX('Our policies'!$S$4:$S$503,_calc!$E$526))=0,"",INDEX('Our policies'!$S$4:$S$503,_calc!$E$526)))),TRIM(IF(LEN(IF(LEN(INDEX('Vendor COIs'!$C$4:$C$503,(_calc!$E$526-500)))=0,"",INDEX('Vendor COIs'!$C$4:$C$503,(_calc!$E$526-500))))=0,"","Insurer: "&amp;IF(LEN(INDEX('Vendor COIs'!$C$4:$C$503,(_calc!$E$526-500)))=0,"",INDEX('Vendor COIs'!$C$4:$C$503,(_calc!$E$526-500)))&amp;". ")&amp;IF(LEN(IF(LEN(INDEX('Vendor COIs'!$D$4:$D$503,(_calc!$E$526-500)))=0,"",INDEX('Vendor COIs'!$D$4:$D$503,(_calc!$E$526-500))))=0,"","Policy no.: "&amp;IF(LEN(INDEX('Vendor COIs'!$D$4:$D$503,(_calc!$E$526-500)))=0,"",INDEX('Vendor COIs'!$D$4:$D$503,(_calc!$E$526-500)))&amp;". ")&amp;IF(LEN(IF(LEN(INDEX('Vendor COIs'!$F$4:$F$503,(_calc!$E$526-500)))=0,"",INDEX('Vendor COIs'!$F$4:$F$503,(_calc!$E$526-500))))=0,"","Meets minimum: "&amp;IF(LEN(INDEX('Vendor COIs'!$F$4:$F$503,(_calc!$E$526-500)))=0,"",INDEX('Vendor COIs'!$F$4:$F$503,(_calc!$E$526-500)))&amp;". ")&amp;IF(LEN(IF(LEN(INDEX('Vendor COIs'!$G$4:$G$503,(_calc!$E$526-500)))=0,"",INDEX('Vendor COIs'!$G$4:$G$503,(_calc!$E$526-500))))=0,"","Additional insured: "&amp;IF(LEN(INDEX('Vendor COIs'!$G$4:$G$503,(_calc!$E$526-500)))=0,"",INDEX('Vendor COIs'!$G$4:$G$503,(_calc!$E$526-500)))&amp;". ")&amp;IF(LEN(IF(LEN(INDEX('Vendor COIs'!$M$4:$M$503,(_calc!$E$526-500)))=0,"",INDEX('Vendor COIs'!$M$4:$M$503,(_calc!$E$526-500))))=0,"","Vendor contact: "&amp;IF(LEN(INDEX('Vendor COIs'!$M$4:$M$503,(_calc!$E$526-500)))=0,"",INDEX('Vendor COIs'!$M$4:$M$503,(_calc!$E$526-500)))&amp;". ")&amp;IF(LEN(IF(LEN(INDEX('Vendor COIs'!$P$4:$P$503,(_calc!$E$526-500)))=0,"",INDEX('Vendor COIs'!$P$4:$P$503,(_calc!$E$526-500))))=0,"",IF(LEN(INDEX('Vendor COIs'!$P$4:$P$503,(_calc!$E$526-500)))=0,"",INDEX('Vendor COIs'!$P$4:$P$503,(_calc!$E$526-500)))))))</f>
        <v/>
      </c>
      <c r="G524" s="46">
        <f>IF(_calc!$E$526="","",IF(_calc!$E$526&lt;=500,IF(LEN(INDEX('Our policies'!$R$4:$R$503,_calc!$E$526))=0,"",INDEX('Our policies'!$R$4:$R$503,_calc!$E$526)),IF(LEN(INDEX('Vendor COIs'!$O$4:$O$503,(_calc!$E$526-500)))=0,"",INDEX('Vendor COIs'!$O$4:$O$503,(_calc!$E$526-500)))))</f>
        <v/>
      </c>
      <c r="H524" s="46">
        <f>IF(_calc!$E$526="","",IF(_calc!$E$526&lt;=500,IF(LEN(INDEX('Our policies'!$G$4:$G$503,_calc!$E$526))=0,"",INDEX('Our policies'!$G$4:$G$503,_calc!$E$526)),""))</f>
        <v/>
      </c>
      <c r="I524" s="46">
        <f>IF(_calc!$E$526="","",IF(_calc!$E$526&lt;=500,IF(LEN(INDEX('Our policies'!$H$4:$H$503,_calc!$E$526))=0,"",INDEX('Our policies'!$H$4:$H$503,_calc!$E$526)),""))</f>
        <v/>
      </c>
      <c r="K524" s="46">
        <f>IF(_calc!$E$526="","",IF(_calc!$E$526&lt;=500,IF(LEN(INDEX('Our policies'!$P$4:$P$503,_calc!$E$526))=0,"",INDEX('Our policies'!$P$4:$P$503,_calc!$E$526)),IF(LEN(INDEX('Vendor COIs'!$N$4:$N$503,(_calc!$E$526-500)))=0,"",INDEX('Vendor COIs'!$N$4:$N$503,(_calc!$E$526-500)))))</f>
        <v/>
      </c>
    </row>
    <row r="525">
      <c r="A525" s="46">
        <f>IF(_calc!$E$527="","",IF(_calc!$E$527&lt;=500,IF(LEN(INDEX('Our policies'!$A$4:$A$503,_calc!$E$527))=0,"",INDEX('Our policies'!$A$4:$A$503,_calc!$E$527)),"COI – "&amp;IF(LEN(INDEX('Vendor COIs'!$A$4:$A$503,(_calc!$E$527-500)))=0,"",INDEX('Vendor COIs'!$A$4:$A$503,(_calc!$E$527-500)))&amp;" – "&amp;IF(LEN(INDEX('Vendor COIs'!$B$4:$B$503,(_calc!$E$527-500)))=0,"",INDEX('Vendor COIs'!$B$4:$B$503,(_calc!$E$527-500)))))</f>
        <v/>
      </c>
      <c r="B525" s="46">
        <f>IF(_calc!$E$527="","",IF(_calc!$E$527&lt;=500,IF(ISNUMBER(INDEX('Our policies'!$J$4:$J$503,_calc!$E$527)),TEXT(INDEX('Our policies'!$J$4:$J$503,_calc!$E$527),"yyyy-mm-dd"),""),IF(ISNUMBER(INDEX('Vendor COIs'!$H$4:$H$503,(_calc!$E$527-500))),TEXT(INDEX('Vendor COIs'!$H$4:$H$503,(_calc!$E$527-500)),"yyyy-mm-dd"),"")))</f>
        <v/>
      </c>
      <c r="C525" s="46">
        <f>IF(_calc!$E$527="","",IF(_calc!$E$527&lt;=500,"Insurance","Certificate of insurance"))</f>
        <v/>
      </c>
      <c r="D525" s="46">
        <f>IF(_calc!$E$527="","",IF(_calc!$E$527&lt;=500,IF(ISNUMBER(INDEX('Our policies'!$I$4:$I$503,_calc!$E$527)),TEXT(INDEX('Our policies'!$I$4:$I$503,_calc!$E$527),"yyyy-mm-dd"),""),""))</f>
        <v/>
      </c>
      <c r="E525" s="46">
        <f>IF(_calc!$E$527="","",IF(_calc!$E$527&lt;=500,IF(LEN(INDEX('Our policies'!$Q$4:$Q$503,_calc!$E$527))=0,"",INDEX('Our policies'!$Q$4:$Q$503,_calc!$E$527)),"Medium"))</f>
        <v/>
      </c>
      <c r="F525" s="46">
        <f>IF(_calc!$E$527="","",IF(_calc!$E$527&lt;=500,TRIM(IF(LEN(IF(LEN(INDEX('Our policies'!$B$4:$B$503,_calc!$E$527))=0,"",INDEX('Our policies'!$B$4:$B$503,_calc!$E$527)))=0,"","Cover: "&amp;IF(LEN(INDEX('Our policies'!$B$4:$B$503,_calc!$E$527))=0,"",INDEX('Our policies'!$B$4:$B$503,_calc!$E$527))&amp;". ")&amp;IF(LEN(IF(LEN(INDEX('Our policies'!$C$4:$C$503,_calc!$E$527))=0,"",INDEX('Our policies'!$C$4:$C$503,_calc!$E$527)))=0,"","Insurer: "&amp;IF(LEN(INDEX('Our policies'!$C$4:$C$503,_calc!$E$527))=0,"",INDEX('Our policies'!$C$4:$C$503,_calc!$E$527))&amp;". ")&amp;IF(LEN(IF(LEN(INDEX('Our policies'!$D$4:$D$503,_calc!$E$527))=0,"",INDEX('Our policies'!$D$4:$D$503,_calc!$E$527)))=0,"","Broker: "&amp;IF(LEN(INDEX('Our policies'!$D$4:$D$503,_calc!$E$527))=0,"",INDEX('Our policies'!$D$4:$D$503,_calc!$E$527))&amp;". ")&amp;IF(LEN(IF(LEN(INDEX('Our policies'!$E$4:$E$503,_calc!$E$527))=0,"",INDEX('Our policies'!$E$4:$E$503,_calc!$E$527)))=0,"","Policy no.: "&amp;IF(LEN(INDEX('Our policies'!$E$4:$E$503,_calc!$E$527))=0,"",INDEX('Our policies'!$E$4:$E$503,_calc!$E$527))&amp;". ")&amp;IF(LEN(IF(LEN(INDEX('Our policies'!$S$4:$S$503,_calc!$E$527))=0,"",INDEX('Our policies'!$S$4:$S$503,_calc!$E$527)))=0,"",IF(LEN(INDEX('Our policies'!$S$4:$S$503,_calc!$E$527))=0,"",INDEX('Our policies'!$S$4:$S$503,_calc!$E$527)))),TRIM(IF(LEN(IF(LEN(INDEX('Vendor COIs'!$C$4:$C$503,(_calc!$E$527-500)))=0,"",INDEX('Vendor COIs'!$C$4:$C$503,(_calc!$E$527-500))))=0,"","Insurer: "&amp;IF(LEN(INDEX('Vendor COIs'!$C$4:$C$503,(_calc!$E$527-500)))=0,"",INDEX('Vendor COIs'!$C$4:$C$503,(_calc!$E$527-500)))&amp;". ")&amp;IF(LEN(IF(LEN(INDEX('Vendor COIs'!$D$4:$D$503,(_calc!$E$527-500)))=0,"",INDEX('Vendor COIs'!$D$4:$D$503,(_calc!$E$527-500))))=0,"","Policy no.: "&amp;IF(LEN(INDEX('Vendor COIs'!$D$4:$D$503,(_calc!$E$527-500)))=0,"",INDEX('Vendor COIs'!$D$4:$D$503,(_calc!$E$527-500)))&amp;". ")&amp;IF(LEN(IF(LEN(INDEX('Vendor COIs'!$F$4:$F$503,(_calc!$E$527-500)))=0,"",INDEX('Vendor COIs'!$F$4:$F$503,(_calc!$E$527-500))))=0,"","Meets minimum: "&amp;IF(LEN(INDEX('Vendor COIs'!$F$4:$F$503,(_calc!$E$527-500)))=0,"",INDEX('Vendor COIs'!$F$4:$F$503,(_calc!$E$527-500)))&amp;". ")&amp;IF(LEN(IF(LEN(INDEX('Vendor COIs'!$G$4:$G$503,(_calc!$E$527-500)))=0,"",INDEX('Vendor COIs'!$G$4:$G$503,(_calc!$E$527-500))))=0,"","Additional insured: "&amp;IF(LEN(INDEX('Vendor COIs'!$G$4:$G$503,(_calc!$E$527-500)))=0,"",INDEX('Vendor COIs'!$G$4:$G$503,(_calc!$E$527-500)))&amp;". ")&amp;IF(LEN(IF(LEN(INDEX('Vendor COIs'!$M$4:$M$503,(_calc!$E$527-500)))=0,"",INDEX('Vendor COIs'!$M$4:$M$503,(_calc!$E$527-500))))=0,"","Vendor contact: "&amp;IF(LEN(INDEX('Vendor COIs'!$M$4:$M$503,(_calc!$E$527-500)))=0,"",INDEX('Vendor COIs'!$M$4:$M$503,(_calc!$E$527-500)))&amp;". ")&amp;IF(LEN(IF(LEN(INDEX('Vendor COIs'!$P$4:$P$503,(_calc!$E$527-500)))=0,"",INDEX('Vendor COIs'!$P$4:$P$503,(_calc!$E$527-500))))=0,"",IF(LEN(INDEX('Vendor COIs'!$P$4:$P$503,(_calc!$E$527-500)))=0,"",INDEX('Vendor COIs'!$P$4:$P$503,(_calc!$E$527-500)))))))</f>
        <v/>
      </c>
      <c r="G525" s="46">
        <f>IF(_calc!$E$527="","",IF(_calc!$E$527&lt;=500,IF(LEN(INDEX('Our policies'!$R$4:$R$503,_calc!$E$527))=0,"",INDEX('Our policies'!$R$4:$R$503,_calc!$E$527)),IF(LEN(INDEX('Vendor COIs'!$O$4:$O$503,(_calc!$E$527-500)))=0,"",INDEX('Vendor COIs'!$O$4:$O$503,(_calc!$E$527-500)))))</f>
        <v/>
      </c>
      <c r="H525" s="46">
        <f>IF(_calc!$E$527="","",IF(_calc!$E$527&lt;=500,IF(LEN(INDEX('Our policies'!$G$4:$G$503,_calc!$E$527))=0,"",INDEX('Our policies'!$G$4:$G$503,_calc!$E$527)),""))</f>
        <v/>
      </c>
      <c r="I525" s="46">
        <f>IF(_calc!$E$527="","",IF(_calc!$E$527&lt;=500,IF(LEN(INDEX('Our policies'!$H$4:$H$503,_calc!$E$527))=0,"",INDEX('Our policies'!$H$4:$H$503,_calc!$E$527)),""))</f>
        <v/>
      </c>
      <c r="K525" s="46">
        <f>IF(_calc!$E$527="","",IF(_calc!$E$527&lt;=500,IF(LEN(INDEX('Our policies'!$P$4:$P$503,_calc!$E$527))=0,"",INDEX('Our policies'!$P$4:$P$503,_calc!$E$527)),IF(LEN(INDEX('Vendor COIs'!$N$4:$N$503,(_calc!$E$527-500)))=0,"",INDEX('Vendor COIs'!$N$4:$N$503,(_calc!$E$527-500)))))</f>
        <v/>
      </c>
    </row>
    <row r="526">
      <c r="A526" s="46">
        <f>IF(_calc!$E$528="","",IF(_calc!$E$528&lt;=500,IF(LEN(INDEX('Our policies'!$A$4:$A$503,_calc!$E$528))=0,"",INDEX('Our policies'!$A$4:$A$503,_calc!$E$528)),"COI – "&amp;IF(LEN(INDEX('Vendor COIs'!$A$4:$A$503,(_calc!$E$528-500)))=0,"",INDEX('Vendor COIs'!$A$4:$A$503,(_calc!$E$528-500)))&amp;" – "&amp;IF(LEN(INDEX('Vendor COIs'!$B$4:$B$503,(_calc!$E$528-500)))=0,"",INDEX('Vendor COIs'!$B$4:$B$503,(_calc!$E$528-500)))))</f>
        <v/>
      </c>
      <c r="B526" s="46">
        <f>IF(_calc!$E$528="","",IF(_calc!$E$528&lt;=500,IF(ISNUMBER(INDEX('Our policies'!$J$4:$J$503,_calc!$E$528)),TEXT(INDEX('Our policies'!$J$4:$J$503,_calc!$E$528),"yyyy-mm-dd"),""),IF(ISNUMBER(INDEX('Vendor COIs'!$H$4:$H$503,(_calc!$E$528-500))),TEXT(INDEX('Vendor COIs'!$H$4:$H$503,(_calc!$E$528-500)),"yyyy-mm-dd"),"")))</f>
        <v/>
      </c>
      <c r="C526" s="46">
        <f>IF(_calc!$E$528="","",IF(_calc!$E$528&lt;=500,"Insurance","Certificate of insurance"))</f>
        <v/>
      </c>
      <c r="D526" s="46">
        <f>IF(_calc!$E$528="","",IF(_calc!$E$528&lt;=500,IF(ISNUMBER(INDEX('Our policies'!$I$4:$I$503,_calc!$E$528)),TEXT(INDEX('Our policies'!$I$4:$I$503,_calc!$E$528),"yyyy-mm-dd"),""),""))</f>
        <v/>
      </c>
      <c r="E526" s="46">
        <f>IF(_calc!$E$528="","",IF(_calc!$E$528&lt;=500,IF(LEN(INDEX('Our policies'!$Q$4:$Q$503,_calc!$E$528))=0,"",INDEX('Our policies'!$Q$4:$Q$503,_calc!$E$528)),"Medium"))</f>
        <v/>
      </c>
      <c r="F526" s="46">
        <f>IF(_calc!$E$528="","",IF(_calc!$E$528&lt;=500,TRIM(IF(LEN(IF(LEN(INDEX('Our policies'!$B$4:$B$503,_calc!$E$528))=0,"",INDEX('Our policies'!$B$4:$B$503,_calc!$E$528)))=0,"","Cover: "&amp;IF(LEN(INDEX('Our policies'!$B$4:$B$503,_calc!$E$528))=0,"",INDEX('Our policies'!$B$4:$B$503,_calc!$E$528))&amp;". ")&amp;IF(LEN(IF(LEN(INDEX('Our policies'!$C$4:$C$503,_calc!$E$528))=0,"",INDEX('Our policies'!$C$4:$C$503,_calc!$E$528)))=0,"","Insurer: "&amp;IF(LEN(INDEX('Our policies'!$C$4:$C$503,_calc!$E$528))=0,"",INDEX('Our policies'!$C$4:$C$503,_calc!$E$528))&amp;". ")&amp;IF(LEN(IF(LEN(INDEX('Our policies'!$D$4:$D$503,_calc!$E$528))=0,"",INDEX('Our policies'!$D$4:$D$503,_calc!$E$528)))=0,"","Broker: "&amp;IF(LEN(INDEX('Our policies'!$D$4:$D$503,_calc!$E$528))=0,"",INDEX('Our policies'!$D$4:$D$503,_calc!$E$528))&amp;". ")&amp;IF(LEN(IF(LEN(INDEX('Our policies'!$E$4:$E$503,_calc!$E$528))=0,"",INDEX('Our policies'!$E$4:$E$503,_calc!$E$528)))=0,"","Policy no.: "&amp;IF(LEN(INDEX('Our policies'!$E$4:$E$503,_calc!$E$528))=0,"",INDEX('Our policies'!$E$4:$E$503,_calc!$E$528))&amp;". ")&amp;IF(LEN(IF(LEN(INDEX('Our policies'!$S$4:$S$503,_calc!$E$528))=0,"",INDEX('Our policies'!$S$4:$S$503,_calc!$E$528)))=0,"",IF(LEN(INDEX('Our policies'!$S$4:$S$503,_calc!$E$528))=0,"",INDEX('Our policies'!$S$4:$S$503,_calc!$E$528)))),TRIM(IF(LEN(IF(LEN(INDEX('Vendor COIs'!$C$4:$C$503,(_calc!$E$528-500)))=0,"",INDEX('Vendor COIs'!$C$4:$C$503,(_calc!$E$528-500))))=0,"","Insurer: "&amp;IF(LEN(INDEX('Vendor COIs'!$C$4:$C$503,(_calc!$E$528-500)))=0,"",INDEX('Vendor COIs'!$C$4:$C$503,(_calc!$E$528-500)))&amp;". ")&amp;IF(LEN(IF(LEN(INDEX('Vendor COIs'!$D$4:$D$503,(_calc!$E$528-500)))=0,"",INDEX('Vendor COIs'!$D$4:$D$503,(_calc!$E$528-500))))=0,"","Policy no.: "&amp;IF(LEN(INDEX('Vendor COIs'!$D$4:$D$503,(_calc!$E$528-500)))=0,"",INDEX('Vendor COIs'!$D$4:$D$503,(_calc!$E$528-500)))&amp;". ")&amp;IF(LEN(IF(LEN(INDEX('Vendor COIs'!$F$4:$F$503,(_calc!$E$528-500)))=0,"",INDEX('Vendor COIs'!$F$4:$F$503,(_calc!$E$528-500))))=0,"","Meets minimum: "&amp;IF(LEN(INDEX('Vendor COIs'!$F$4:$F$503,(_calc!$E$528-500)))=0,"",INDEX('Vendor COIs'!$F$4:$F$503,(_calc!$E$528-500)))&amp;". ")&amp;IF(LEN(IF(LEN(INDEX('Vendor COIs'!$G$4:$G$503,(_calc!$E$528-500)))=0,"",INDEX('Vendor COIs'!$G$4:$G$503,(_calc!$E$528-500))))=0,"","Additional insured: "&amp;IF(LEN(INDEX('Vendor COIs'!$G$4:$G$503,(_calc!$E$528-500)))=0,"",INDEX('Vendor COIs'!$G$4:$G$503,(_calc!$E$528-500)))&amp;". ")&amp;IF(LEN(IF(LEN(INDEX('Vendor COIs'!$M$4:$M$503,(_calc!$E$528-500)))=0,"",INDEX('Vendor COIs'!$M$4:$M$503,(_calc!$E$528-500))))=0,"","Vendor contact: "&amp;IF(LEN(INDEX('Vendor COIs'!$M$4:$M$503,(_calc!$E$528-500)))=0,"",INDEX('Vendor COIs'!$M$4:$M$503,(_calc!$E$528-500)))&amp;". ")&amp;IF(LEN(IF(LEN(INDEX('Vendor COIs'!$P$4:$P$503,(_calc!$E$528-500)))=0,"",INDEX('Vendor COIs'!$P$4:$P$503,(_calc!$E$528-500))))=0,"",IF(LEN(INDEX('Vendor COIs'!$P$4:$P$503,(_calc!$E$528-500)))=0,"",INDEX('Vendor COIs'!$P$4:$P$503,(_calc!$E$528-500)))))))</f>
        <v/>
      </c>
      <c r="G526" s="46">
        <f>IF(_calc!$E$528="","",IF(_calc!$E$528&lt;=500,IF(LEN(INDEX('Our policies'!$R$4:$R$503,_calc!$E$528))=0,"",INDEX('Our policies'!$R$4:$R$503,_calc!$E$528)),IF(LEN(INDEX('Vendor COIs'!$O$4:$O$503,(_calc!$E$528-500)))=0,"",INDEX('Vendor COIs'!$O$4:$O$503,(_calc!$E$528-500)))))</f>
        <v/>
      </c>
      <c r="H526" s="46">
        <f>IF(_calc!$E$528="","",IF(_calc!$E$528&lt;=500,IF(LEN(INDEX('Our policies'!$G$4:$G$503,_calc!$E$528))=0,"",INDEX('Our policies'!$G$4:$G$503,_calc!$E$528)),""))</f>
        <v/>
      </c>
      <c r="I526" s="46">
        <f>IF(_calc!$E$528="","",IF(_calc!$E$528&lt;=500,IF(LEN(INDEX('Our policies'!$H$4:$H$503,_calc!$E$528))=0,"",INDEX('Our policies'!$H$4:$H$503,_calc!$E$528)),""))</f>
        <v/>
      </c>
      <c r="K526" s="46">
        <f>IF(_calc!$E$528="","",IF(_calc!$E$528&lt;=500,IF(LEN(INDEX('Our policies'!$P$4:$P$503,_calc!$E$528))=0,"",INDEX('Our policies'!$P$4:$P$503,_calc!$E$528)),IF(LEN(INDEX('Vendor COIs'!$N$4:$N$503,(_calc!$E$528-500)))=0,"",INDEX('Vendor COIs'!$N$4:$N$503,(_calc!$E$528-500)))))</f>
        <v/>
      </c>
    </row>
    <row r="527">
      <c r="A527" s="46">
        <f>IF(_calc!$E$529="","",IF(_calc!$E$529&lt;=500,IF(LEN(INDEX('Our policies'!$A$4:$A$503,_calc!$E$529))=0,"",INDEX('Our policies'!$A$4:$A$503,_calc!$E$529)),"COI – "&amp;IF(LEN(INDEX('Vendor COIs'!$A$4:$A$503,(_calc!$E$529-500)))=0,"",INDEX('Vendor COIs'!$A$4:$A$503,(_calc!$E$529-500)))&amp;" – "&amp;IF(LEN(INDEX('Vendor COIs'!$B$4:$B$503,(_calc!$E$529-500)))=0,"",INDEX('Vendor COIs'!$B$4:$B$503,(_calc!$E$529-500)))))</f>
        <v/>
      </c>
      <c r="B527" s="46">
        <f>IF(_calc!$E$529="","",IF(_calc!$E$529&lt;=500,IF(ISNUMBER(INDEX('Our policies'!$J$4:$J$503,_calc!$E$529)),TEXT(INDEX('Our policies'!$J$4:$J$503,_calc!$E$529),"yyyy-mm-dd"),""),IF(ISNUMBER(INDEX('Vendor COIs'!$H$4:$H$503,(_calc!$E$529-500))),TEXT(INDEX('Vendor COIs'!$H$4:$H$503,(_calc!$E$529-500)),"yyyy-mm-dd"),"")))</f>
        <v/>
      </c>
      <c r="C527" s="46">
        <f>IF(_calc!$E$529="","",IF(_calc!$E$529&lt;=500,"Insurance","Certificate of insurance"))</f>
        <v/>
      </c>
      <c r="D527" s="46">
        <f>IF(_calc!$E$529="","",IF(_calc!$E$529&lt;=500,IF(ISNUMBER(INDEX('Our policies'!$I$4:$I$503,_calc!$E$529)),TEXT(INDEX('Our policies'!$I$4:$I$503,_calc!$E$529),"yyyy-mm-dd"),""),""))</f>
        <v/>
      </c>
      <c r="E527" s="46">
        <f>IF(_calc!$E$529="","",IF(_calc!$E$529&lt;=500,IF(LEN(INDEX('Our policies'!$Q$4:$Q$503,_calc!$E$529))=0,"",INDEX('Our policies'!$Q$4:$Q$503,_calc!$E$529)),"Medium"))</f>
        <v/>
      </c>
      <c r="F527" s="46">
        <f>IF(_calc!$E$529="","",IF(_calc!$E$529&lt;=500,TRIM(IF(LEN(IF(LEN(INDEX('Our policies'!$B$4:$B$503,_calc!$E$529))=0,"",INDEX('Our policies'!$B$4:$B$503,_calc!$E$529)))=0,"","Cover: "&amp;IF(LEN(INDEX('Our policies'!$B$4:$B$503,_calc!$E$529))=0,"",INDEX('Our policies'!$B$4:$B$503,_calc!$E$529))&amp;". ")&amp;IF(LEN(IF(LEN(INDEX('Our policies'!$C$4:$C$503,_calc!$E$529))=0,"",INDEX('Our policies'!$C$4:$C$503,_calc!$E$529)))=0,"","Insurer: "&amp;IF(LEN(INDEX('Our policies'!$C$4:$C$503,_calc!$E$529))=0,"",INDEX('Our policies'!$C$4:$C$503,_calc!$E$529))&amp;". ")&amp;IF(LEN(IF(LEN(INDEX('Our policies'!$D$4:$D$503,_calc!$E$529))=0,"",INDEX('Our policies'!$D$4:$D$503,_calc!$E$529)))=0,"","Broker: "&amp;IF(LEN(INDEX('Our policies'!$D$4:$D$503,_calc!$E$529))=0,"",INDEX('Our policies'!$D$4:$D$503,_calc!$E$529))&amp;". ")&amp;IF(LEN(IF(LEN(INDEX('Our policies'!$E$4:$E$503,_calc!$E$529))=0,"",INDEX('Our policies'!$E$4:$E$503,_calc!$E$529)))=0,"","Policy no.: "&amp;IF(LEN(INDEX('Our policies'!$E$4:$E$503,_calc!$E$529))=0,"",INDEX('Our policies'!$E$4:$E$503,_calc!$E$529))&amp;". ")&amp;IF(LEN(IF(LEN(INDEX('Our policies'!$S$4:$S$503,_calc!$E$529))=0,"",INDEX('Our policies'!$S$4:$S$503,_calc!$E$529)))=0,"",IF(LEN(INDEX('Our policies'!$S$4:$S$503,_calc!$E$529))=0,"",INDEX('Our policies'!$S$4:$S$503,_calc!$E$529)))),TRIM(IF(LEN(IF(LEN(INDEX('Vendor COIs'!$C$4:$C$503,(_calc!$E$529-500)))=0,"",INDEX('Vendor COIs'!$C$4:$C$503,(_calc!$E$529-500))))=0,"","Insurer: "&amp;IF(LEN(INDEX('Vendor COIs'!$C$4:$C$503,(_calc!$E$529-500)))=0,"",INDEX('Vendor COIs'!$C$4:$C$503,(_calc!$E$529-500)))&amp;". ")&amp;IF(LEN(IF(LEN(INDEX('Vendor COIs'!$D$4:$D$503,(_calc!$E$529-500)))=0,"",INDEX('Vendor COIs'!$D$4:$D$503,(_calc!$E$529-500))))=0,"","Policy no.: "&amp;IF(LEN(INDEX('Vendor COIs'!$D$4:$D$503,(_calc!$E$529-500)))=0,"",INDEX('Vendor COIs'!$D$4:$D$503,(_calc!$E$529-500)))&amp;". ")&amp;IF(LEN(IF(LEN(INDEX('Vendor COIs'!$F$4:$F$503,(_calc!$E$529-500)))=0,"",INDEX('Vendor COIs'!$F$4:$F$503,(_calc!$E$529-500))))=0,"","Meets minimum: "&amp;IF(LEN(INDEX('Vendor COIs'!$F$4:$F$503,(_calc!$E$529-500)))=0,"",INDEX('Vendor COIs'!$F$4:$F$503,(_calc!$E$529-500)))&amp;". ")&amp;IF(LEN(IF(LEN(INDEX('Vendor COIs'!$G$4:$G$503,(_calc!$E$529-500)))=0,"",INDEX('Vendor COIs'!$G$4:$G$503,(_calc!$E$529-500))))=0,"","Additional insured: "&amp;IF(LEN(INDEX('Vendor COIs'!$G$4:$G$503,(_calc!$E$529-500)))=0,"",INDEX('Vendor COIs'!$G$4:$G$503,(_calc!$E$529-500)))&amp;". ")&amp;IF(LEN(IF(LEN(INDEX('Vendor COIs'!$M$4:$M$503,(_calc!$E$529-500)))=0,"",INDEX('Vendor COIs'!$M$4:$M$503,(_calc!$E$529-500))))=0,"","Vendor contact: "&amp;IF(LEN(INDEX('Vendor COIs'!$M$4:$M$503,(_calc!$E$529-500)))=0,"",INDEX('Vendor COIs'!$M$4:$M$503,(_calc!$E$529-500)))&amp;". ")&amp;IF(LEN(IF(LEN(INDEX('Vendor COIs'!$P$4:$P$503,(_calc!$E$529-500)))=0,"",INDEX('Vendor COIs'!$P$4:$P$503,(_calc!$E$529-500))))=0,"",IF(LEN(INDEX('Vendor COIs'!$P$4:$P$503,(_calc!$E$529-500)))=0,"",INDEX('Vendor COIs'!$P$4:$P$503,(_calc!$E$529-500)))))))</f>
        <v/>
      </c>
      <c r="G527" s="46">
        <f>IF(_calc!$E$529="","",IF(_calc!$E$529&lt;=500,IF(LEN(INDEX('Our policies'!$R$4:$R$503,_calc!$E$529))=0,"",INDEX('Our policies'!$R$4:$R$503,_calc!$E$529)),IF(LEN(INDEX('Vendor COIs'!$O$4:$O$503,(_calc!$E$529-500)))=0,"",INDEX('Vendor COIs'!$O$4:$O$503,(_calc!$E$529-500)))))</f>
        <v/>
      </c>
      <c r="H527" s="46">
        <f>IF(_calc!$E$529="","",IF(_calc!$E$529&lt;=500,IF(LEN(INDEX('Our policies'!$G$4:$G$503,_calc!$E$529))=0,"",INDEX('Our policies'!$G$4:$G$503,_calc!$E$529)),""))</f>
        <v/>
      </c>
      <c r="I527" s="46">
        <f>IF(_calc!$E$529="","",IF(_calc!$E$529&lt;=500,IF(LEN(INDEX('Our policies'!$H$4:$H$503,_calc!$E$529))=0,"",INDEX('Our policies'!$H$4:$H$503,_calc!$E$529)),""))</f>
        <v/>
      </c>
      <c r="K527" s="46">
        <f>IF(_calc!$E$529="","",IF(_calc!$E$529&lt;=500,IF(LEN(INDEX('Our policies'!$P$4:$P$503,_calc!$E$529))=0,"",INDEX('Our policies'!$P$4:$P$503,_calc!$E$529)),IF(LEN(INDEX('Vendor COIs'!$N$4:$N$503,(_calc!$E$529-500)))=0,"",INDEX('Vendor COIs'!$N$4:$N$503,(_calc!$E$529-500)))))</f>
        <v/>
      </c>
    </row>
    <row r="528">
      <c r="A528" s="46">
        <f>IF(_calc!$E$530="","",IF(_calc!$E$530&lt;=500,IF(LEN(INDEX('Our policies'!$A$4:$A$503,_calc!$E$530))=0,"",INDEX('Our policies'!$A$4:$A$503,_calc!$E$530)),"COI – "&amp;IF(LEN(INDEX('Vendor COIs'!$A$4:$A$503,(_calc!$E$530-500)))=0,"",INDEX('Vendor COIs'!$A$4:$A$503,(_calc!$E$530-500)))&amp;" – "&amp;IF(LEN(INDEX('Vendor COIs'!$B$4:$B$503,(_calc!$E$530-500)))=0,"",INDEX('Vendor COIs'!$B$4:$B$503,(_calc!$E$530-500)))))</f>
        <v/>
      </c>
      <c r="B528" s="46">
        <f>IF(_calc!$E$530="","",IF(_calc!$E$530&lt;=500,IF(ISNUMBER(INDEX('Our policies'!$J$4:$J$503,_calc!$E$530)),TEXT(INDEX('Our policies'!$J$4:$J$503,_calc!$E$530),"yyyy-mm-dd"),""),IF(ISNUMBER(INDEX('Vendor COIs'!$H$4:$H$503,(_calc!$E$530-500))),TEXT(INDEX('Vendor COIs'!$H$4:$H$503,(_calc!$E$530-500)),"yyyy-mm-dd"),"")))</f>
        <v/>
      </c>
      <c r="C528" s="46">
        <f>IF(_calc!$E$530="","",IF(_calc!$E$530&lt;=500,"Insurance","Certificate of insurance"))</f>
        <v/>
      </c>
      <c r="D528" s="46">
        <f>IF(_calc!$E$530="","",IF(_calc!$E$530&lt;=500,IF(ISNUMBER(INDEX('Our policies'!$I$4:$I$503,_calc!$E$530)),TEXT(INDEX('Our policies'!$I$4:$I$503,_calc!$E$530),"yyyy-mm-dd"),""),""))</f>
        <v/>
      </c>
      <c r="E528" s="46">
        <f>IF(_calc!$E$530="","",IF(_calc!$E$530&lt;=500,IF(LEN(INDEX('Our policies'!$Q$4:$Q$503,_calc!$E$530))=0,"",INDEX('Our policies'!$Q$4:$Q$503,_calc!$E$530)),"Medium"))</f>
        <v/>
      </c>
      <c r="F528" s="46">
        <f>IF(_calc!$E$530="","",IF(_calc!$E$530&lt;=500,TRIM(IF(LEN(IF(LEN(INDEX('Our policies'!$B$4:$B$503,_calc!$E$530))=0,"",INDEX('Our policies'!$B$4:$B$503,_calc!$E$530)))=0,"","Cover: "&amp;IF(LEN(INDEX('Our policies'!$B$4:$B$503,_calc!$E$530))=0,"",INDEX('Our policies'!$B$4:$B$503,_calc!$E$530))&amp;". ")&amp;IF(LEN(IF(LEN(INDEX('Our policies'!$C$4:$C$503,_calc!$E$530))=0,"",INDEX('Our policies'!$C$4:$C$503,_calc!$E$530)))=0,"","Insurer: "&amp;IF(LEN(INDEX('Our policies'!$C$4:$C$503,_calc!$E$530))=0,"",INDEX('Our policies'!$C$4:$C$503,_calc!$E$530))&amp;". ")&amp;IF(LEN(IF(LEN(INDEX('Our policies'!$D$4:$D$503,_calc!$E$530))=0,"",INDEX('Our policies'!$D$4:$D$503,_calc!$E$530)))=0,"","Broker: "&amp;IF(LEN(INDEX('Our policies'!$D$4:$D$503,_calc!$E$530))=0,"",INDEX('Our policies'!$D$4:$D$503,_calc!$E$530))&amp;". ")&amp;IF(LEN(IF(LEN(INDEX('Our policies'!$E$4:$E$503,_calc!$E$530))=0,"",INDEX('Our policies'!$E$4:$E$503,_calc!$E$530)))=0,"","Policy no.: "&amp;IF(LEN(INDEX('Our policies'!$E$4:$E$503,_calc!$E$530))=0,"",INDEX('Our policies'!$E$4:$E$503,_calc!$E$530))&amp;". ")&amp;IF(LEN(IF(LEN(INDEX('Our policies'!$S$4:$S$503,_calc!$E$530))=0,"",INDEX('Our policies'!$S$4:$S$503,_calc!$E$530)))=0,"",IF(LEN(INDEX('Our policies'!$S$4:$S$503,_calc!$E$530))=0,"",INDEX('Our policies'!$S$4:$S$503,_calc!$E$530)))),TRIM(IF(LEN(IF(LEN(INDEX('Vendor COIs'!$C$4:$C$503,(_calc!$E$530-500)))=0,"",INDEX('Vendor COIs'!$C$4:$C$503,(_calc!$E$530-500))))=0,"","Insurer: "&amp;IF(LEN(INDEX('Vendor COIs'!$C$4:$C$503,(_calc!$E$530-500)))=0,"",INDEX('Vendor COIs'!$C$4:$C$503,(_calc!$E$530-500)))&amp;". ")&amp;IF(LEN(IF(LEN(INDEX('Vendor COIs'!$D$4:$D$503,(_calc!$E$530-500)))=0,"",INDEX('Vendor COIs'!$D$4:$D$503,(_calc!$E$530-500))))=0,"","Policy no.: "&amp;IF(LEN(INDEX('Vendor COIs'!$D$4:$D$503,(_calc!$E$530-500)))=0,"",INDEX('Vendor COIs'!$D$4:$D$503,(_calc!$E$530-500)))&amp;". ")&amp;IF(LEN(IF(LEN(INDEX('Vendor COIs'!$F$4:$F$503,(_calc!$E$530-500)))=0,"",INDEX('Vendor COIs'!$F$4:$F$503,(_calc!$E$530-500))))=0,"","Meets minimum: "&amp;IF(LEN(INDEX('Vendor COIs'!$F$4:$F$503,(_calc!$E$530-500)))=0,"",INDEX('Vendor COIs'!$F$4:$F$503,(_calc!$E$530-500)))&amp;". ")&amp;IF(LEN(IF(LEN(INDEX('Vendor COIs'!$G$4:$G$503,(_calc!$E$530-500)))=0,"",INDEX('Vendor COIs'!$G$4:$G$503,(_calc!$E$530-500))))=0,"","Additional insured: "&amp;IF(LEN(INDEX('Vendor COIs'!$G$4:$G$503,(_calc!$E$530-500)))=0,"",INDEX('Vendor COIs'!$G$4:$G$503,(_calc!$E$530-500)))&amp;". ")&amp;IF(LEN(IF(LEN(INDEX('Vendor COIs'!$M$4:$M$503,(_calc!$E$530-500)))=0,"",INDEX('Vendor COIs'!$M$4:$M$503,(_calc!$E$530-500))))=0,"","Vendor contact: "&amp;IF(LEN(INDEX('Vendor COIs'!$M$4:$M$503,(_calc!$E$530-500)))=0,"",INDEX('Vendor COIs'!$M$4:$M$503,(_calc!$E$530-500)))&amp;". ")&amp;IF(LEN(IF(LEN(INDEX('Vendor COIs'!$P$4:$P$503,(_calc!$E$530-500)))=0,"",INDEX('Vendor COIs'!$P$4:$P$503,(_calc!$E$530-500))))=0,"",IF(LEN(INDEX('Vendor COIs'!$P$4:$P$503,(_calc!$E$530-500)))=0,"",INDEX('Vendor COIs'!$P$4:$P$503,(_calc!$E$530-500)))))))</f>
        <v/>
      </c>
      <c r="G528" s="46">
        <f>IF(_calc!$E$530="","",IF(_calc!$E$530&lt;=500,IF(LEN(INDEX('Our policies'!$R$4:$R$503,_calc!$E$530))=0,"",INDEX('Our policies'!$R$4:$R$503,_calc!$E$530)),IF(LEN(INDEX('Vendor COIs'!$O$4:$O$503,(_calc!$E$530-500)))=0,"",INDEX('Vendor COIs'!$O$4:$O$503,(_calc!$E$530-500)))))</f>
        <v/>
      </c>
      <c r="H528" s="46">
        <f>IF(_calc!$E$530="","",IF(_calc!$E$530&lt;=500,IF(LEN(INDEX('Our policies'!$G$4:$G$503,_calc!$E$530))=0,"",INDEX('Our policies'!$G$4:$G$503,_calc!$E$530)),""))</f>
        <v/>
      </c>
      <c r="I528" s="46">
        <f>IF(_calc!$E$530="","",IF(_calc!$E$530&lt;=500,IF(LEN(INDEX('Our policies'!$H$4:$H$503,_calc!$E$530))=0,"",INDEX('Our policies'!$H$4:$H$503,_calc!$E$530)),""))</f>
        <v/>
      </c>
      <c r="K528" s="46">
        <f>IF(_calc!$E$530="","",IF(_calc!$E$530&lt;=500,IF(LEN(INDEX('Our policies'!$P$4:$P$503,_calc!$E$530))=0,"",INDEX('Our policies'!$P$4:$P$503,_calc!$E$530)),IF(LEN(INDEX('Vendor COIs'!$N$4:$N$503,(_calc!$E$530-500)))=0,"",INDEX('Vendor COIs'!$N$4:$N$503,(_calc!$E$530-500)))))</f>
        <v/>
      </c>
    </row>
    <row r="529">
      <c r="A529" s="46">
        <f>IF(_calc!$E$531="","",IF(_calc!$E$531&lt;=500,IF(LEN(INDEX('Our policies'!$A$4:$A$503,_calc!$E$531))=0,"",INDEX('Our policies'!$A$4:$A$503,_calc!$E$531)),"COI – "&amp;IF(LEN(INDEX('Vendor COIs'!$A$4:$A$503,(_calc!$E$531-500)))=0,"",INDEX('Vendor COIs'!$A$4:$A$503,(_calc!$E$531-500)))&amp;" – "&amp;IF(LEN(INDEX('Vendor COIs'!$B$4:$B$503,(_calc!$E$531-500)))=0,"",INDEX('Vendor COIs'!$B$4:$B$503,(_calc!$E$531-500)))))</f>
        <v/>
      </c>
      <c r="B529" s="46">
        <f>IF(_calc!$E$531="","",IF(_calc!$E$531&lt;=500,IF(ISNUMBER(INDEX('Our policies'!$J$4:$J$503,_calc!$E$531)),TEXT(INDEX('Our policies'!$J$4:$J$503,_calc!$E$531),"yyyy-mm-dd"),""),IF(ISNUMBER(INDEX('Vendor COIs'!$H$4:$H$503,(_calc!$E$531-500))),TEXT(INDEX('Vendor COIs'!$H$4:$H$503,(_calc!$E$531-500)),"yyyy-mm-dd"),"")))</f>
        <v/>
      </c>
      <c r="C529" s="46">
        <f>IF(_calc!$E$531="","",IF(_calc!$E$531&lt;=500,"Insurance","Certificate of insurance"))</f>
        <v/>
      </c>
      <c r="D529" s="46">
        <f>IF(_calc!$E$531="","",IF(_calc!$E$531&lt;=500,IF(ISNUMBER(INDEX('Our policies'!$I$4:$I$503,_calc!$E$531)),TEXT(INDEX('Our policies'!$I$4:$I$503,_calc!$E$531),"yyyy-mm-dd"),""),""))</f>
        <v/>
      </c>
      <c r="E529" s="46">
        <f>IF(_calc!$E$531="","",IF(_calc!$E$531&lt;=500,IF(LEN(INDEX('Our policies'!$Q$4:$Q$503,_calc!$E$531))=0,"",INDEX('Our policies'!$Q$4:$Q$503,_calc!$E$531)),"Medium"))</f>
        <v/>
      </c>
      <c r="F529" s="46">
        <f>IF(_calc!$E$531="","",IF(_calc!$E$531&lt;=500,TRIM(IF(LEN(IF(LEN(INDEX('Our policies'!$B$4:$B$503,_calc!$E$531))=0,"",INDEX('Our policies'!$B$4:$B$503,_calc!$E$531)))=0,"","Cover: "&amp;IF(LEN(INDEX('Our policies'!$B$4:$B$503,_calc!$E$531))=0,"",INDEX('Our policies'!$B$4:$B$503,_calc!$E$531))&amp;". ")&amp;IF(LEN(IF(LEN(INDEX('Our policies'!$C$4:$C$503,_calc!$E$531))=0,"",INDEX('Our policies'!$C$4:$C$503,_calc!$E$531)))=0,"","Insurer: "&amp;IF(LEN(INDEX('Our policies'!$C$4:$C$503,_calc!$E$531))=0,"",INDEX('Our policies'!$C$4:$C$503,_calc!$E$531))&amp;". ")&amp;IF(LEN(IF(LEN(INDEX('Our policies'!$D$4:$D$503,_calc!$E$531))=0,"",INDEX('Our policies'!$D$4:$D$503,_calc!$E$531)))=0,"","Broker: "&amp;IF(LEN(INDEX('Our policies'!$D$4:$D$503,_calc!$E$531))=0,"",INDEX('Our policies'!$D$4:$D$503,_calc!$E$531))&amp;". ")&amp;IF(LEN(IF(LEN(INDEX('Our policies'!$E$4:$E$503,_calc!$E$531))=0,"",INDEX('Our policies'!$E$4:$E$503,_calc!$E$531)))=0,"","Policy no.: "&amp;IF(LEN(INDEX('Our policies'!$E$4:$E$503,_calc!$E$531))=0,"",INDEX('Our policies'!$E$4:$E$503,_calc!$E$531))&amp;". ")&amp;IF(LEN(IF(LEN(INDEX('Our policies'!$S$4:$S$503,_calc!$E$531))=0,"",INDEX('Our policies'!$S$4:$S$503,_calc!$E$531)))=0,"",IF(LEN(INDEX('Our policies'!$S$4:$S$503,_calc!$E$531))=0,"",INDEX('Our policies'!$S$4:$S$503,_calc!$E$531)))),TRIM(IF(LEN(IF(LEN(INDEX('Vendor COIs'!$C$4:$C$503,(_calc!$E$531-500)))=0,"",INDEX('Vendor COIs'!$C$4:$C$503,(_calc!$E$531-500))))=0,"","Insurer: "&amp;IF(LEN(INDEX('Vendor COIs'!$C$4:$C$503,(_calc!$E$531-500)))=0,"",INDEX('Vendor COIs'!$C$4:$C$503,(_calc!$E$531-500)))&amp;". ")&amp;IF(LEN(IF(LEN(INDEX('Vendor COIs'!$D$4:$D$503,(_calc!$E$531-500)))=0,"",INDEX('Vendor COIs'!$D$4:$D$503,(_calc!$E$531-500))))=0,"","Policy no.: "&amp;IF(LEN(INDEX('Vendor COIs'!$D$4:$D$503,(_calc!$E$531-500)))=0,"",INDEX('Vendor COIs'!$D$4:$D$503,(_calc!$E$531-500)))&amp;". ")&amp;IF(LEN(IF(LEN(INDEX('Vendor COIs'!$F$4:$F$503,(_calc!$E$531-500)))=0,"",INDEX('Vendor COIs'!$F$4:$F$503,(_calc!$E$531-500))))=0,"","Meets minimum: "&amp;IF(LEN(INDEX('Vendor COIs'!$F$4:$F$503,(_calc!$E$531-500)))=0,"",INDEX('Vendor COIs'!$F$4:$F$503,(_calc!$E$531-500)))&amp;". ")&amp;IF(LEN(IF(LEN(INDEX('Vendor COIs'!$G$4:$G$503,(_calc!$E$531-500)))=0,"",INDEX('Vendor COIs'!$G$4:$G$503,(_calc!$E$531-500))))=0,"","Additional insured: "&amp;IF(LEN(INDEX('Vendor COIs'!$G$4:$G$503,(_calc!$E$531-500)))=0,"",INDEX('Vendor COIs'!$G$4:$G$503,(_calc!$E$531-500)))&amp;". ")&amp;IF(LEN(IF(LEN(INDEX('Vendor COIs'!$M$4:$M$503,(_calc!$E$531-500)))=0,"",INDEX('Vendor COIs'!$M$4:$M$503,(_calc!$E$531-500))))=0,"","Vendor contact: "&amp;IF(LEN(INDEX('Vendor COIs'!$M$4:$M$503,(_calc!$E$531-500)))=0,"",INDEX('Vendor COIs'!$M$4:$M$503,(_calc!$E$531-500)))&amp;". ")&amp;IF(LEN(IF(LEN(INDEX('Vendor COIs'!$P$4:$P$503,(_calc!$E$531-500)))=0,"",INDEX('Vendor COIs'!$P$4:$P$503,(_calc!$E$531-500))))=0,"",IF(LEN(INDEX('Vendor COIs'!$P$4:$P$503,(_calc!$E$531-500)))=0,"",INDEX('Vendor COIs'!$P$4:$P$503,(_calc!$E$531-500)))))))</f>
        <v/>
      </c>
      <c r="G529" s="46">
        <f>IF(_calc!$E$531="","",IF(_calc!$E$531&lt;=500,IF(LEN(INDEX('Our policies'!$R$4:$R$503,_calc!$E$531))=0,"",INDEX('Our policies'!$R$4:$R$503,_calc!$E$531)),IF(LEN(INDEX('Vendor COIs'!$O$4:$O$503,(_calc!$E$531-500)))=0,"",INDEX('Vendor COIs'!$O$4:$O$503,(_calc!$E$531-500)))))</f>
        <v/>
      </c>
      <c r="H529" s="46">
        <f>IF(_calc!$E$531="","",IF(_calc!$E$531&lt;=500,IF(LEN(INDEX('Our policies'!$G$4:$G$503,_calc!$E$531))=0,"",INDEX('Our policies'!$G$4:$G$503,_calc!$E$531)),""))</f>
        <v/>
      </c>
      <c r="I529" s="46">
        <f>IF(_calc!$E$531="","",IF(_calc!$E$531&lt;=500,IF(LEN(INDEX('Our policies'!$H$4:$H$503,_calc!$E$531))=0,"",INDEX('Our policies'!$H$4:$H$503,_calc!$E$531)),""))</f>
        <v/>
      </c>
      <c r="K529" s="46">
        <f>IF(_calc!$E$531="","",IF(_calc!$E$531&lt;=500,IF(LEN(INDEX('Our policies'!$P$4:$P$503,_calc!$E$531))=0,"",INDEX('Our policies'!$P$4:$P$503,_calc!$E$531)),IF(LEN(INDEX('Vendor COIs'!$N$4:$N$503,(_calc!$E$531-500)))=0,"",INDEX('Vendor COIs'!$N$4:$N$503,(_calc!$E$531-500)))))</f>
        <v/>
      </c>
    </row>
    <row r="530">
      <c r="A530" s="46">
        <f>IF(_calc!$E$532="","",IF(_calc!$E$532&lt;=500,IF(LEN(INDEX('Our policies'!$A$4:$A$503,_calc!$E$532))=0,"",INDEX('Our policies'!$A$4:$A$503,_calc!$E$532)),"COI – "&amp;IF(LEN(INDEX('Vendor COIs'!$A$4:$A$503,(_calc!$E$532-500)))=0,"",INDEX('Vendor COIs'!$A$4:$A$503,(_calc!$E$532-500)))&amp;" – "&amp;IF(LEN(INDEX('Vendor COIs'!$B$4:$B$503,(_calc!$E$532-500)))=0,"",INDEX('Vendor COIs'!$B$4:$B$503,(_calc!$E$532-500)))))</f>
        <v/>
      </c>
      <c r="B530" s="46">
        <f>IF(_calc!$E$532="","",IF(_calc!$E$532&lt;=500,IF(ISNUMBER(INDEX('Our policies'!$J$4:$J$503,_calc!$E$532)),TEXT(INDEX('Our policies'!$J$4:$J$503,_calc!$E$532),"yyyy-mm-dd"),""),IF(ISNUMBER(INDEX('Vendor COIs'!$H$4:$H$503,(_calc!$E$532-500))),TEXT(INDEX('Vendor COIs'!$H$4:$H$503,(_calc!$E$532-500)),"yyyy-mm-dd"),"")))</f>
        <v/>
      </c>
      <c r="C530" s="46">
        <f>IF(_calc!$E$532="","",IF(_calc!$E$532&lt;=500,"Insurance","Certificate of insurance"))</f>
        <v/>
      </c>
      <c r="D530" s="46">
        <f>IF(_calc!$E$532="","",IF(_calc!$E$532&lt;=500,IF(ISNUMBER(INDEX('Our policies'!$I$4:$I$503,_calc!$E$532)),TEXT(INDEX('Our policies'!$I$4:$I$503,_calc!$E$532),"yyyy-mm-dd"),""),""))</f>
        <v/>
      </c>
      <c r="E530" s="46">
        <f>IF(_calc!$E$532="","",IF(_calc!$E$532&lt;=500,IF(LEN(INDEX('Our policies'!$Q$4:$Q$503,_calc!$E$532))=0,"",INDEX('Our policies'!$Q$4:$Q$503,_calc!$E$532)),"Medium"))</f>
        <v/>
      </c>
      <c r="F530" s="46">
        <f>IF(_calc!$E$532="","",IF(_calc!$E$532&lt;=500,TRIM(IF(LEN(IF(LEN(INDEX('Our policies'!$B$4:$B$503,_calc!$E$532))=0,"",INDEX('Our policies'!$B$4:$B$503,_calc!$E$532)))=0,"","Cover: "&amp;IF(LEN(INDEX('Our policies'!$B$4:$B$503,_calc!$E$532))=0,"",INDEX('Our policies'!$B$4:$B$503,_calc!$E$532))&amp;". ")&amp;IF(LEN(IF(LEN(INDEX('Our policies'!$C$4:$C$503,_calc!$E$532))=0,"",INDEX('Our policies'!$C$4:$C$503,_calc!$E$532)))=0,"","Insurer: "&amp;IF(LEN(INDEX('Our policies'!$C$4:$C$503,_calc!$E$532))=0,"",INDEX('Our policies'!$C$4:$C$503,_calc!$E$532))&amp;". ")&amp;IF(LEN(IF(LEN(INDEX('Our policies'!$D$4:$D$503,_calc!$E$532))=0,"",INDEX('Our policies'!$D$4:$D$503,_calc!$E$532)))=0,"","Broker: "&amp;IF(LEN(INDEX('Our policies'!$D$4:$D$503,_calc!$E$532))=0,"",INDEX('Our policies'!$D$4:$D$503,_calc!$E$532))&amp;". ")&amp;IF(LEN(IF(LEN(INDEX('Our policies'!$E$4:$E$503,_calc!$E$532))=0,"",INDEX('Our policies'!$E$4:$E$503,_calc!$E$532)))=0,"","Policy no.: "&amp;IF(LEN(INDEX('Our policies'!$E$4:$E$503,_calc!$E$532))=0,"",INDEX('Our policies'!$E$4:$E$503,_calc!$E$532))&amp;". ")&amp;IF(LEN(IF(LEN(INDEX('Our policies'!$S$4:$S$503,_calc!$E$532))=0,"",INDEX('Our policies'!$S$4:$S$503,_calc!$E$532)))=0,"",IF(LEN(INDEX('Our policies'!$S$4:$S$503,_calc!$E$532))=0,"",INDEX('Our policies'!$S$4:$S$503,_calc!$E$532)))),TRIM(IF(LEN(IF(LEN(INDEX('Vendor COIs'!$C$4:$C$503,(_calc!$E$532-500)))=0,"",INDEX('Vendor COIs'!$C$4:$C$503,(_calc!$E$532-500))))=0,"","Insurer: "&amp;IF(LEN(INDEX('Vendor COIs'!$C$4:$C$503,(_calc!$E$532-500)))=0,"",INDEX('Vendor COIs'!$C$4:$C$503,(_calc!$E$532-500)))&amp;". ")&amp;IF(LEN(IF(LEN(INDEX('Vendor COIs'!$D$4:$D$503,(_calc!$E$532-500)))=0,"",INDEX('Vendor COIs'!$D$4:$D$503,(_calc!$E$532-500))))=0,"","Policy no.: "&amp;IF(LEN(INDEX('Vendor COIs'!$D$4:$D$503,(_calc!$E$532-500)))=0,"",INDEX('Vendor COIs'!$D$4:$D$503,(_calc!$E$532-500)))&amp;". ")&amp;IF(LEN(IF(LEN(INDEX('Vendor COIs'!$F$4:$F$503,(_calc!$E$532-500)))=0,"",INDEX('Vendor COIs'!$F$4:$F$503,(_calc!$E$532-500))))=0,"","Meets minimum: "&amp;IF(LEN(INDEX('Vendor COIs'!$F$4:$F$503,(_calc!$E$532-500)))=0,"",INDEX('Vendor COIs'!$F$4:$F$503,(_calc!$E$532-500)))&amp;". ")&amp;IF(LEN(IF(LEN(INDEX('Vendor COIs'!$G$4:$G$503,(_calc!$E$532-500)))=0,"",INDEX('Vendor COIs'!$G$4:$G$503,(_calc!$E$532-500))))=0,"","Additional insured: "&amp;IF(LEN(INDEX('Vendor COIs'!$G$4:$G$503,(_calc!$E$532-500)))=0,"",INDEX('Vendor COIs'!$G$4:$G$503,(_calc!$E$532-500)))&amp;". ")&amp;IF(LEN(IF(LEN(INDEX('Vendor COIs'!$M$4:$M$503,(_calc!$E$532-500)))=0,"",INDEX('Vendor COIs'!$M$4:$M$503,(_calc!$E$532-500))))=0,"","Vendor contact: "&amp;IF(LEN(INDEX('Vendor COIs'!$M$4:$M$503,(_calc!$E$532-500)))=0,"",INDEX('Vendor COIs'!$M$4:$M$503,(_calc!$E$532-500)))&amp;". ")&amp;IF(LEN(IF(LEN(INDEX('Vendor COIs'!$P$4:$P$503,(_calc!$E$532-500)))=0,"",INDEX('Vendor COIs'!$P$4:$P$503,(_calc!$E$532-500))))=0,"",IF(LEN(INDEX('Vendor COIs'!$P$4:$P$503,(_calc!$E$532-500)))=0,"",INDEX('Vendor COIs'!$P$4:$P$503,(_calc!$E$532-500)))))))</f>
        <v/>
      </c>
      <c r="G530" s="46">
        <f>IF(_calc!$E$532="","",IF(_calc!$E$532&lt;=500,IF(LEN(INDEX('Our policies'!$R$4:$R$503,_calc!$E$532))=0,"",INDEX('Our policies'!$R$4:$R$503,_calc!$E$532)),IF(LEN(INDEX('Vendor COIs'!$O$4:$O$503,(_calc!$E$532-500)))=0,"",INDEX('Vendor COIs'!$O$4:$O$503,(_calc!$E$532-500)))))</f>
        <v/>
      </c>
      <c r="H530" s="46">
        <f>IF(_calc!$E$532="","",IF(_calc!$E$532&lt;=500,IF(LEN(INDEX('Our policies'!$G$4:$G$503,_calc!$E$532))=0,"",INDEX('Our policies'!$G$4:$G$503,_calc!$E$532)),""))</f>
        <v/>
      </c>
      <c r="I530" s="46">
        <f>IF(_calc!$E$532="","",IF(_calc!$E$532&lt;=500,IF(LEN(INDEX('Our policies'!$H$4:$H$503,_calc!$E$532))=0,"",INDEX('Our policies'!$H$4:$H$503,_calc!$E$532)),""))</f>
        <v/>
      </c>
      <c r="K530" s="46">
        <f>IF(_calc!$E$532="","",IF(_calc!$E$532&lt;=500,IF(LEN(INDEX('Our policies'!$P$4:$P$503,_calc!$E$532))=0,"",INDEX('Our policies'!$P$4:$P$503,_calc!$E$532)),IF(LEN(INDEX('Vendor COIs'!$N$4:$N$503,(_calc!$E$532-500)))=0,"",INDEX('Vendor COIs'!$N$4:$N$503,(_calc!$E$532-500)))))</f>
        <v/>
      </c>
    </row>
    <row r="531">
      <c r="A531" s="46">
        <f>IF(_calc!$E$533="","",IF(_calc!$E$533&lt;=500,IF(LEN(INDEX('Our policies'!$A$4:$A$503,_calc!$E$533))=0,"",INDEX('Our policies'!$A$4:$A$503,_calc!$E$533)),"COI – "&amp;IF(LEN(INDEX('Vendor COIs'!$A$4:$A$503,(_calc!$E$533-500)))=0,"",INDEX('Vendor COIs'!$A$4:$A$503,(_calc!$E$533-500)))&amp;" – "&amp;IF(LEN(INDEX('Vendor COIs'!$B$4:$B$503,(_calc!$E$533-500)))=0,"",INDEX('Vendor COIs'!$B$4:$B$503,(_calc!$E$533-500)))))</f>
        <v/>
      </c>
      <c r="B531" s="46">
        <f>IF(_calc!$E$533="","",IF(_calc!$E$533&lt;=500,IF(ISNUMBER(INDEX('Our policies'!$J$4:$J$503,_calc!$E$533)),TEXT(INDEX('Our policies'!$J$4:$J$503,_calc!$E$533),"yyyy-mm-dd"),""),IF(ISNUMBER(INDEX('Vendor COIs'!$H$4:$H$503,(_calc!$E$533-500))),TEXT(INDEX('Vendor COIs'!$H$4:$H$503,(_calc!$E$533-500)),"yyyy-mm-dd"),"")))</f>
        <v/>
      </c>
      <c r="C531" s="46">
        <f>IF(_calc!$E$533="","",IF(_calc!$E$533&lt;=500,"Insurance","Certificate of insurance"))</f>
        <v/>
      </c>
      <c r="D531" s="46">
        <f>IF(_calc!$E$533="","",IF(_calc!$E$533&lt;=500,IF(ISNUMBER(INDEX('Our policies'!$I$4:$I$503,_calc!$E$533)),TEXT(INDEX('Our policies'!$I$4:$I$503,_calc!$E$533),"yyyy-mm-dd"),""),""))</f>
        <v/>
      </c>
      <c r="E531" s="46">
        <f>IF(_calc!$E$533="","",IF(_calc!$E$533&lt;=500,IF(LEN(INDEX('Our policies'!$Q$4:$Q$503,_calc!$E$533))=0,"",INDEX('Our policies'!$Q$4:$Q$503,_calc!$E$533)),"Medium"))</f>
        <v/>
      </c>
      <c r="F531" s="46">
        <f>IF(_calc!$E$533="","",IF(_calc!$E$533&lt;=500,TRIM(IF(LEN(IF(LEN(INDEX('Our policies'!$B$4:$B$503,_calc!$E$533))=0,"",INDEX('Our policies'!$B$4:$B$503,_calc!$E$533)))=0,"","Cover: "&amp;IF(LEN(INDEX('Our policies'!$B$4:$B$503,_calc!$E$533))=0,"",INDEX('Our policies'!$B$4:$B$503,_calc!$E$533))&amp;". ")&amp;IF(LEN(IF(LEN(INDEX('Our policies'!$C$4:$C$503,_calc!$E$533))=0,"",INDEX('Our policies'!$C$4:$C$503,_calc!$E$533)))=0,"","Insurer: "&amp;IF(LEN(INDEX('Our policies'!$C$4:$C$503,_calc!$E$533))=0,"",INDEX('Our policies'!$C$4:$C$503,_calc!$E$533))&amp;". ")&amp;IF(LEN(IF(LEN(INDEX('Our policies'!$D$4:$D$503,_calc!$E$533))=0,"",INDEX('Our policies'!$D$4:$D$503,_calc!$E$533)))=0,"","Broker: "&amp;IF(LEN(INDEX('Our policies'!$D$4:$D$503,_calc!$E$533))=0,"",INDEX('Our policies'!$D$4:$D$503,_calc!$E$533))&amp;". ")&amp;IF(LEN(IF(LEN(INDEX('Our policies'!$E$4:$E$503,_calc!$E$533))=0,"",INDEX('Our policies'!$E$4:$E$503,_calc!$E$533)))=0,"","Policy no.: "&amp;IF(LEN(INDEX('Our policies'!$E$4:$E$503,_calc!$E$533))=0,"",INDEX('Our policies'!$E$4:$E$503,_calc!$E$533))&amp;". ")&amp;IF(LEN(IF(LEN(INDEX('Our policies'!$S$4:$S$503,_calc!$E$533))=0,"",INDEX('Our policies'!$S$4:$S$503,_calc!$E$533)))=0,"",IF(LEN(INDEX('Our policies'!$S$4:$S$503,_calc!$E$533))=0,"",INDEX('Our policies'!$S$4:$S$503,_calc!$E$533)))),TRIM(IF(LEN(IF(LEN(INDEX('Vendor COIs'!$C$4:$C$503,(_calc!$E$533-500)))=0,"",INDEX('Vendor COIs'!$C$4:$C$503,(_calc!$E$533-500))))=0,"","Insurer: "&amp;IF(LEN(INDEX('Vendor COIs'!$C$4:$C$503,(_calc!$E$533-500)))=0,"",INDEX('Vendor COIs'!$C$4:$C$503,(_calc!$E$533-500)))&amp;". ")&amp;IF(LEN(IF(LEN(INDEX('Vendor COIs'!$D$4:$D$503,(_calc!$E$533-500)))=0,"",INDEX('Vendor COIs'!$D$4:$D$503,(_calc!$E$533-500))))=0,"","Policy no.: "&amp;IF(LEN(INDEX('Vendor COIs'!$D$4:$D$503,(_calc!$E$533-500)))=0,"",INDEX('Vendor COIs'!$D$4:$D$503,(_calc!$E$533-500)))&amp;". ")&amp;IF(LEN(IF(LEN(INDEX('Vendor COIs'!$F$4:$F$503,(_calc!$E$533-500)))=0,"",INDEX('Vendor COIs'!$F$4:$F$503,(_calc!$E$533-500))))=0,"","Meets minimum: "&amp;IF(LEN(INDEX('Vendor COIs'!$F$4:$F$503,(_calc!$E$533-500)))=0,"",INDEX('Vendor COIs'!$F$4:$F$503,(_calc!$E$533-500)))&amp;". ")&amp;IF(LEN(IF(LEN(INDEX('Vendor COIs'!$G$4:$G$503,(_calc!$E$533-500)))=0,"",INDEX('Vendor COIs'!$G$4:$G$503,(_calc!$E$533-500))))=0,"","Additional insured: "&amp;IF(LEN(INDEX('Vendor COIs'!$G$4:$G$503,(_calc!$E$533-500)))=0,"",INDEX('Vendor COIs'!$G$4:$G$503,(_calc!$E$533-500)))&amp;". ")&amp;IF(LEN(IF(LEN(INDEX('Vendor COIs'!$M$4:$M$503,(_calc!$E$533-500)))=0,"",INDEX('Vendor COIs'!$M$4:$M$503,(_calc!$E$533-500))))=0,"","Vendor contact: "&amp;IF(LEN(INDEX('Vendor COIs'!$M$4:$M$503,(_calc!$E$533-500)))=0,"",INDEX('Vendor COIs'!$M$4:$M$503,(_calc!$E$533-500)))&amp;". ")&amp;IF(LEN(IF(LEN(INDEX('Vendor COIs'!$P$4:$P$503,(_calc!$E$533-500)))=0,"",INDEX('Vendor COIs'!$P$4:$P$503,(_calc!$E$533-500))))=0,"",IF(LEN(INDEX('Vendor COIs'!$P$4:$P$503,(_calc!$E$533-500)))=0,"",INDEX('Vendor COIs'!$P$4:$P$503,(_calc!$E$533-500)))))))</f>
        <v/>
      </c>
      <c r="G531" s="46">
        <f>IF(_calc!$E$533="","",IF(_calc!$E$533&lt;=500,IF(LEN(INDEX('Our policies'!$R$4:$R$503,_calc!$E$533))=0,"",INDEX('Our policies'!$R$4:$R$503,_calc!$E$533)),IF(LEN(INDEX('Vendor COIs'!$O$4:$O$503,(_calc!$E$533-500)))=0,"",INDEX('Vendor COIs'!$O$4:$O$503,(_calc!$E$533-500)))))</f>
        <v/>
      </c>
      <c r="H531" s="46">
        <f>IF(_calc!$E$533="","",IF(_calc!$E$533&lt;=500,IF(LEN(INDEX('Our policies'!$G$4:$G$503,_calc!$E$533))=0,"",INDEX('Our policies'!$G$4:$G$503,_calc!$E$533)),""))</f>
        <v/>
      </c>
      <c r="I531" s="46">
        <f>IF(_calc!$E$533="","",IF(_calc!$E$533&lt;=500,IF(LEN(INDEX('Our policies'!$H$4:$H$503,_calc!$E$533))=0,"",INDEX('Our policies'!$H$4:$H$503,_calc!$E$533)),""))</f>
        <v/>
      </c>
      <c r="K531" s="46">
        <f>IF(_calc!$E$533="","",IF(_calc!$E$533&lt;=500,IF(LEN(INDEX('Our policies'!$P$4:$P$503,_calc!$E$533))=0,"",INDEX('Our policies'!$P$4:$P$503,_calc!$E$533)),IF(LEN(INDEX('Vendor COIs'!$N$4:$N$503,(_calc!$E$533-500)))=0,"",INDEX('Vendor COIs'!$N$4:$N$503,(_calc!$E$533-500)))))</f>
        <v/>
      </c>
    </row>
    <row r="532">
      <c r="A532" s="46">
        <f>IF(_calc!$E$534="","",IF(_calc!$E$534&lt;=500,IF(LEN(INDEX('Our policies'!$A$4:$A$503,_calc!$E$534))=0,"",INDEX('Our policies'!$A$4:$A$503,_calc!$E$534)),"COI – "&amp;IF(LEN(INDEX('Vendor COIs'!$A$4:$A$503,(_calc!$E$534-500)))=0,"",INDEX('Vendor COIs'!$A$4:$A$503,(_calc!$E$534-500)))&amp;" – "&amp;IF(LEN(INDEX('Vendor COIs'!$B$4:$B$503,(_calc!$E$534-500)))=0,"",INDEX('Vendor COIs'!$B$4:$B$503,(_calc!$E$534-500)))))</f>
        <v/>
      </c>
      <c r="B532" s="46">
        <f>IF(_calc!$E$534="","",IF(_calc!$E$534&lt;=500,IF(ISNUMBER(INDEX('Our policies'!$J$4:$J$503,_calc!$E$534)),TEXT(INDEX('Our policies'!$J$4:$J$503,_calc!$E$534),"yyyy-mm-dd"),""),IF(ISNUMBER(INDEX('Vendor COIs'!$H$4:$H$503,(_calc!$E$534-500))),TEXT(INDEX('Vendor COIs'!$H$4:$H$503,(_calc!$E$534-500)),"yyyy-mm-dd"),"")))</f>
        <v/>
      </c>
      <c r="C532" s="46">
        <f>IF(_calc!$E$534="","",IF(_calc!$E$534&lt;=500,"Insurance","Certificate of insurance"))</f>
        <v/>
      </c>
      <c r="D532" s="46">
        <f>IF(_calc!$E$534="","",IF(_calc!$E$534&lt;=500,IF(ISNUMBER(INDEX('Our policies'!$I$4:$I$503,_calc!$E$534)),TEXT(INDEX('Our policies'!$I$4:$I$503,_calc!$E$534),"yyyy-mm-dd"),""),""))</f>
        <v/>
      </c>
      <c r="E532" s="46">
        <f>IF(_calc!$E$534="","",IF(_calc!$E$534&lt;=500,IF(LEN(INDEX('Our policies'!$Q$4:$Q$503,_calc!$E$534))=0,"",INDEX('Our policies'!$Q$4:$Q$503,_calc!$E$534)),"Medium"))</f>
        <v/>
      </c>
      <c r="F532" s="46">
        <f>IF(_calc!$E$534="","",IF(_calc!$E$534&lt;=500,TRIM(IF(LEN(IF(LEN(INDEX('Our policies'!$B$4:$B$503,_calc!$E$534))=0,"",INDEX('Our policies'!$B$4:$B$503,_calc!$E$534)))=0,"","Cover: "&amp;IF(LEN(INDEX('Our policies'!$B$4:$B$503,_calc!$E$534))=0,"",INDEX('Our policies'!$B$4:$B$503,_calc!$E$534))&amp;". ")&amp;IF(LEN(IF(LEN(INDEX('Our policies'!$C$4:$C$503,_calc!$E$534))=0,"",INDEX('Our policies'!$C$4:$C$503,_calc!$E$534)))=0,"","Insurer: "&amp;IF(LEN(INDEX('Our policies'!$C$4:$C$503,_calc!$E$534))=0,"",INDEX('Our policies'!$C$4:$C$503,_calc!$E$534))&amp;". ")&amp;IF(LEN(IF(LEN(INDEX('Our policies'!$D$4:$D$503,_calc!$E$534))=0,"",INDEX('Our policies'!$D$4:$D$503,_calc!$E$534)))=0,"","Broker: "&amp;IF(LEN(INDEX('Our policies'!$D$4:$D$503,_calc!$E$534))=0,"",INDEX('Our policies'!$D$4:$D$503,_calc!$E$534))&amp;". ")&amp;IF(LEN(IF(LEN(INDEX('Our policies'!$E$4:$E$503,_calc!$E$534))=0,"",INDEX('Our policies'!$E$4:$E$503,_calc!$E$534)))=0,"","Policy no.: "&amp;IF(LEN(INDEX('Our policies'!$E$4:$E$503,_calc!$E$534))=0,"",INDEX('Our policies'!$E$4:$E$503,_calc!$E$534))&amp;". ")&amp;IF(LEN(IF(LEN(INDEX('Our policies'!$S$4:$S$503,_calc!$E$534))=0,"",INDEX('Our policies'!$S$4:$S$503,_calc!$E$534)))=0,"",IF(LEN(INDEX('Our policies'!$S$4:$S$503,_calc!$E$534))=0,"",INDEX('Our policies'!$S$4:$S$503,_calc!$E$534)))),TRIM(IF(LEN(IF(LEN(INDEX('Vendor COIs'!$C$4:$C$503,(_calc!$E$534-500)))=0,"",INDEX('Vendor COIs'!$C$4:$C$503,(_calc!$E$534-500))))=0,"","Insurer: "&amp;IF(LEN(INDEX('Vendor COIs'!$C$4:$C$503,(_calc!$E$534-500)))=0,"",INDEX('Vendor COIs'!$C$4:$C$503,(_calc!$E$534-500)))&amp;". ")&amp;IF(LEN(IF(LEN(INDEX('Vendor COIs'!$D$4:$D$503,(_calc!$E$534-500)))=0,"",INDEX('Vendor COIs'!$D$4:$D$503,(_calc!$E$534-500))))=0,"","Policy no.: "&amp;IF(LEN(INDEX('Vendor COIs'!$D$4:$D$503,(_calc!$E$534-500)))=0,"",INDEX('Vendor COIs'!$D$4:$D$503,(_calc!$E$534-500)))&amp;". ")&amp;IF(LEN(IF(LEN(INDEX('Vendor COIs'!$F$4:$F$503,(_calc!$E$534-500)))=0,"",INDEX('Vendor COIs'!$F$4:$F$503,(_calc!$E$534-500))))=0,"","Meets minimum: "&amp;IF(LEN(INDEX('Vendor COIs'!$F$4:$F$503,(_calc!$E$534-500)))=0,"",INDEX('Vendor COIs'!$F$4:$F$503,(_calc!$E$534-500)))&amp;". ")&amp;IF(LEN(IF(LEN(INDEX('Vendor COIs'!$G$4:$G$503,(_calc!$E$534-500)))=0,"",INDEX('Vendor COIs'!$G$4:$G$503,(_calc!$E$534-500))))=0,"","Additional insured: "&amp;IF(LEN(INDEX('Vendor COIs'!$G$4:$G$503,(_calc!$E$534-500)))=0,"",INDEX('Vendor COIs'!$G$4:$G$503,(_calc!$E$534-500)))&amp;". ")&amp;IF(LEN(IF(LEN(INDEX('Vendor COIs'!$M$4:$M$503,(_calc!$E$534-500)))=0,"",INDEX('Vendor COIs'!$M$4:$M$503,(_calc!$E$534-500))))=0,"","Vendor contact: "&amp;IF(LEN(INDEX('Vendor COIs'!$M$4:$M$503,(_calc!$E$534-500)))=0,"",INDEX('Vendor COIs'!$M$4:$M$503,(_calc!$E$534-500)))&amp;". ")&amp;IF(LEN(IF(LEN(INDEX('Vendor COIs'!$P$4:$P$503,(_calc!$E$534-500)))=0,"",INDEX('Vendor COIs'!$P$4:$P$503,(_calc!$E$534-500))))=0,"",IF(LEN(INDEX('Vendor COIs'!$P$4:$P$503,(_calc!$E$534-500)))=0,"",INDEX('Vendor COIs'!$P$4:$P$503,(_calc!$E$534-500)))))))</f>
        <v/>
      </c>
      <c r="G532" s="46">
        <f>IF(_calc!$E$534="","",IF(_calc!$E$534&lt;=500,IF(LEN(INDEX('Our policies'!$R$4:$R$503,_calc!$E$534))=0,"",INDEX('Our policies'!$R$4:$R$503,_calc!$E$534)),IF(LEN(INDEX('Vendor COIs'!$O$4:$O$503,(_calc!$E$534-500)))=0,"",INDEX('Vendor COIs'!$O$4:$O$503,(_calc!$E$534-500)))))</f>
        <v/>
      </c>
      <c r="H532" s="46">
        <f>IF(_calc!$E$534="","",IF(_calc!$E$534&lt;=500,IF(LEN(INDEX('Our policies'!$G$4:$G$503,_calc!$E$534))=0,"",INDEX('Our policies'!$G$4:$G$503,_calc!$E$534)),""))</f>
        <v/>
      </c>
      <c r="I532" s="46">
        <f>IF(_calc!$E$534="","",IF(_calc!$E$534&lt;=500,IF(LEN(INDEX('Our policies'!$H$4:$H$503,_calc!$E$534))=0,"",INDEX('Our policies'!$H$4:$H$503,_calc!$E$534)),""))</f>
        <v/>
      </c>
      <c r="K532" s="46">
        <f>IF(_calc!$E$534="","",IF(_calc!$E$534&lt;=500,IF(LEN(INDEX('Our policies'!$P$4:$P$503,_calc!$E$534))=0,"",INDEX('Our policies'!$P$4:$P$503,_calc!$E$534)),IF(LEN(INDEX('Vendor COIs'!$N$4:$N$503,(_calc!$E$534-500)))=0,"",INDEX('Vendor COIs'!$N$4:$N$503,(_calc!$E$534-500)))))</f>
        <v/>
      </c>
    </row>
    <row r="533">
      <c r="A533" s="46">
        <f>IF(_calc!$E$535="","",IF(_calc!$E$535&lt;=500,IF(LEN(INDEX('Our policies'!$A$4:$A$503,_calc!$E$535))=0,"",INDEX('Our policies'!$A$4:$A$503,_calc!$E$535)),"COI – "&amp;IF(LEN(INDEX('Vendor COIs'!$A$4:$A$503,(_calc!$E$535-500)))=0,"",INDEX('Vendor COIs'!$A$4:$A$503,(_calc!$E$535-500)))&amp;" – "&amp;IF(LEN(INDEX('Vendor COIs'!$B$4:$B$503,(_calc!$E$535-500)))=0,"",INDEX('Vendor COIs'!$B$4:$B$503,(_calc!$E$535-500)))))</f>
        <v/>
      </c>
      <c r="B533" s="46">
        <f>IF(_calc!$E$535="","",IF(_calc!$E$535&lt;=500,IF(ISNUMBER(INDEX('Our policies'!$J$4:$J$503,_calc!$E$535)),TEXT(INDEX('Our policies'!$J$4:$J$503,_calc!$E$535),"yyyy-mm-dd"),""),IF(ISNUMBER(INDEX('Vendor COIs'!$H$4:$H$503,(_calc!$E$535-500))),TEXT(INDEX('Vendor COIs'!$H$4:$H$503,(_calc!$E$535-500)),"yyyy-mm-dd"),"")))</f>
        <v/>
      </c>
      <c r="C533" s="46">
        <f>IF(_calc!$E$535="","",IF(_calc!$E$535&lt;=500,"Insurance","Certificate of insurance"))</f>
        <v/>
      </c>
      <c r="D533" s="46">
        <f>IF(_calc!$E$535="","",IF(_calc!$E$535&lt;=500,IF(ISNUMBER(INDEX('Our policies'!$I$4:$I$503,_calc!$E$535)),TEXT(INDEX('Our policies'!$I$4:$I$503,_calc!$E$535),"yyyy-mm-dd"),""),""))</f>
        <v/>
      </c>
      <c r="E533" s="46">
        <f>IF(_calc!$E$535="","",IF(_calc!$E$535&lt;=500,IF(LEN(INDEX('Our policies'!$Q$4:$Q$503,_calc!$E$535))=0,"",INDEX('Our policies'!$Q$4:$Q$503,_calc!$E$535)),"Medium"))</f>
        <v/>
      </c>
      <c r="F533" s="46">
        <f>IF(_calc!$E$535="","",IF(_calc!$E$535&lt;=500,TRIM(IF(LEN(IF(LEN(INDEX('Our policies'!$B$4:$B$503,_calc!$E$535))=0,"",INDEX('Our policies'!$B$4:$B$503,_calc!$E$535)))=0,"","Cover: "&amp;IF(LEN(INDEX('Our policies'!$B$4:$B$503,_calc!$E$535))=0,"",INDEX('Our policies'!$B$4:$B$503,_calc!$E$535))&amp;". ")&amp;IF(LEN(IF(LEN(INDEX('Our policies'!$C$4:$C$503,_calc!$E$535))=0,"",INDEX('Our policies'!$C$4:$C$503,_calc!$E$535)))=0,"","Insurer: "&amp;IF(LEN(INDEX('Our policies'!$C$4:$C$503,_calc!$E$535))=0,"",INDEX('Our policies'!$C$4:$C$503,_calc!$E$535))&amp;". ")&amp;IF(LEN(IF(LEN(INDEX('Our policies'!$D$4:$D$503,_calc!$E$535))=0,"",INDEX('Our policies'!$D$4:$D$503,_calc!$E$535)))=0,"","Broker: "&amp;IF(LEN(INDEX('Our policies'!$D$4:$D$503,_calc!$E$535))=0,"",INDEX('Our policies'!$D$4:$D$503,_calc!$E$535))&amp;". ")&amp;IF(LEN(IF(LEN(INDEX('Our policies'!$E$4:$E$503,_calc!$E$535))=0,"",INDEX('Our policies'!$E$4:$E$503,_calc!$E$535)))=0,"","Policy no.: "&amp;IF(LEN(INDEX('Our policies'!$E$4:$E$503,_calc!$E$535))=0,"",INDEX('Our policies'!$E$4:$E$503,_calc!$E$535))&amp;". ")&amp;IF(LEN(IF(LEN(INDEX('Our policies'!$S$4:$S$503,_calc!$E$535))=0,"",INDEX('Our policies'!$S$4:$S$503,_calc!$E$535)))=0,"",IF(LEN(INDEX('Our policies'!$S$4:$S$503,_calc!$E$535))=0,"",INDEX('Our policies'!$S$4:$S$503,_calc!$E$535)))),TRIM(IF(LEN(IF(LEN(INDEX('Vendor COIs'!$C$4:$C$503,(_calc!$E$535-500)))=0,"",INDEX('Vendor COIs'!$C$4:$C$503,(_calc!$E$535-500))))=0,"","Insurer: "&amp;IF(LEN(INDEX('Vendor COIs'!$C$4:$C$503,(_calc!$E$535-500)))=0,"",INDEX('Vendor COIs'!$C$4:$C$503,(_calc!$E$535-500)))&amp;". ")&amp;IF(LEN(IF(LEN(INDEX('Vendor COIs'!$D$4:$D$503,(_calc!$E$535-500)))=0,"",INDEX('Vendor COIs'!$D$4:$D$503,(_calc!$E$535-500))))=0,"","Policy no.: "&amp;IF(LEN(INDEX('Vendor COIs'!$D$4:$D$503,(_calc!$E$535-500)))=0,"",INDEX('Vendor COIs'!$D$4:$D$503,(_calc!$E$535-500)))&amp;". ")&amp;IF(LEN(IF(LEN(INDEX('Vendor COIs'!$F$4:$F$503,(_calc!$E$535-500)))=0,"",INDEX('Vendor COIs'!$F$4:$F$503,(_calc!$E$535-500))))=0,"","Meets minimum: "&amp;IF(LEN(INDEX('Vendor COIs'!$F$4:$F$503,(_calc!$E$535-500)))=0,"",INDEX('Vendor COIs'!$F$4:$F$503,(_calc!$E$535-500)))&amp;". ")&amp;IF(LEN(IF(LEN(INDEX('Vendor COIs'!$G$4:$G$503,(_calc!$E$535-500)))=0,"",INDEX('Vendor COIs'!$G$4:$G$503,(_calc!$E$535-500))))=0,"","Additional insured: "&amp;IF(LEN(INDEX('Vendor COIs'!$G$4:$G$503,(_calc!$E$535-500)))=0,"",INDEX('Vendor COIs'!$G$4:$G$503,(_calc!$E$535-500)))&amp;". ")&amp;IF(LEN(IF(LEN(INDEX('Vendor COIs'!$M$4:$M$503,(_calc!$E$535-500)))=0,"",INDEX('Vendor COIs'!$M$4:$M$503,(_calc!$E$535-500))))=0,"","Vendor contact: "&amp;IF(LEN(INDEX('Vendor COIs'!$M$4:$M$503,(_calc!$E$535-500)))=0,"",INDEX('Vendor COIs'!$M$4:$M$503,(_calc!$E$535-500)))&amp;". ")&amp;IF(LEN(IF(LEN(INDEX('Vendor COIs'!$P$4:$P$503,(_calc!$E$535-500)))=0,"",INDEX('Vendor COIs'!$P$4:$P$503,(_calc!$E$535-500))))=0,"",IF(LEN(INDEX('Vendor COIs'!$P$4:$P$503,(_calc!$E$535-500)))=0,"",INDEX('Vendor COIs'!$P$4:$P$503,(_calc!$E$535-500)))))))</f>
        <v/>
      </c>
      <c r="G533" s="46">
        <f>IF(_calc!$E$535="","",IF(_calc!$E$535&lt;=500,IF(LEN(INDEX('Our policies'!$R$4:$R$503,_calc!$E$535))=0,"",INDEX('Our policies'!$R$4:$R$503,_calc!$E$535)),IF(LEN(INDEX('Vendor COIs'!$O$4:$O$503,(_calc!$E$535-500)))=0,"",INDEX('Vendor COIs'!$O$4:$O$503,(_calc!$E$535-500)))))</f>
        <v/>
      </c>
      <c r="H533" s="46">
        <f>IF(_calc!$E$535="","",IF(_calc!$E$535&lt;=500,IF(LEN(INDEX('Our policies'!$G$4:$G$503,_calc!$E$535))=0,"",INDEX('Our policies'!$G$4:$G$503,_calc!$E$535)),""))</f>
        <v/>
      </c>
      <c r="I533" s="46">
        <f>IF(_calc!$E$535="","",IF(_calc!$E$535&lt;=500,IF(LEN(INDEX('Our policies'!$H$4:$H$503,_calc!$E$535))=0,"",INDEX('Our policies'!$H$4:$H$503,_calc!$E$535)),""))</f>
        <v/>
      </c>
      <c r="K533" s="46">
        <f>IF(_calc!$E$535="","",IF(_calc!$E$535&lt;=500,IF(LEN(INDEX('Our policies'!$P$4:$P$503,_calc!$E$535))=0,"",INDEX('Our policies'!$P$4:$P$503,_calc!$E$535)),IF(LEN(INDEX('Vendor COIs'!$N$4:$N$503,(_calc!$E$535-500)))=0,"",INDEX('Vendor COIs'!$N$4:$N$503,(_calc!$E$535-500)))))</f>
        <v/>
      </c>
    </row>
    <row r="534">
      <c r="A534" s="46">
        <f>IF(_calc!$E$536="","",IF(_calc!$E$536&lt;=500,IF(LEN(INDEX('Our policies'!$A$4:$A$503,_calc!$E$536))=0,"",INDEX('Our policies'!$A$4:$A$503,_calc!$E$536)),"COI – "&amp;IF(LEN(INDEX('Vendor COIs'!$A$4:$A$503,(_calc!$E$536-500)))=0,"",INDEX('Vendor COIs'!$A$4:$A$503,(_calc!$E$536-500)))&amp;" – "&amp;IF(LEN(INDEX('Vendor COIs'!$B$4:$B$503,(_calc!$E$536-500)))=0,"",INDEX('Vendor COIs'!$B$4:$B$503,(_calc!$E$536-500)))))</f>
        <v/>
      </c>
      <c r="B534" s="46">
        <f>IF(_calc!$E$536="","",IF(_calc!$E$536&lt;=500,IF(ISNUMBER(INDEX('Our policies'!$J$4:$J$503,_calc!$E$536)),TEXT(INDEX('Our policies'!$J$4:$J$503,_calc!$E$536),"yyyy-mm-dd"),""),IF(ISNUMBER(INDEX('Vendor COIs'!$H$4:$H$503,(_calc!$E$536-500))),TEXT(INDEX('Vendor COIs'!$H$4:$H$503,(_calc!$E$536-500)),"yyyy-mm-dd"),"")))</f>
        <v/>
      </c>
      <c r="C534" s="46">
        <f>IF(_calc!$E$536="","",IF(_calc!$E$536&lt;=500,"Insurance","Certificate of insurance"))</f>
        <v/>
      </c>
      <c r="D534" s="46">
        <f>IF(_calc!$E$536="","",IF(_calc!$E$536&lt;=500,IF(ISNUMBER(INDEX('Our policies'!$I$4:$I$503,_calc!$E$536)),TEXT(INDEX('Our policies'!$I$4:$I$503,_calc!$E$536),"yyyy-mm-dd"),""),""))</f>
        <v/>
      </c>
      <c r="E534" s="46">
        <f>IF(_calc!$E$536="","",IF(_calc!$E$536&lt;=500,IF(LEN(INDEX('Our policies'!$Q$4:$Q$503,_calc!$E$536))=0,"",INDEX('Our policies'!$Q$4:$Q$503,_calc!$E$536)),"Medium"))</f>
        <v/>
      </c>
      <c r="F534" s="46">
        <f>IF(_calc!$E$536="","",IF(_calc!$E$536&lt;=500,TRIM(IF(LEN(IF(LEN(INDEX('Our policies'!$B$4:$B$503,_calc!$E$536))=0,"",INDEX('Our policies'!$B$4:$B$503,_calc!$E$536)))=0,"","Cover: "&amp;IF(LEN(INDEX('Our policies'!$B$4:$B$503,_calc!$E$536))=0,"",INDEX('Our policies'!$B$4:$B$503,_calc!$E$536))&amp;". ")&amp;IF(LEN(IF(LEN(INDEX('Our policies'!$C$4:$C$503,_calc!$E$536))=0,"",INDEX('Our policies'!$C$4:$C$503,_calc!$E$536)))=0,"","Insurer: "&amp;IF(LEN(INDEX('Our policies'!$C$4:$C$503,_calc!$E$536))=0,"",INDEX('Our policies'!$C$4:$C$503,_calc!$E$536))&amp;". ")&amp;IF(LEN(IF(LEN(INDEX('Our policies'!$D$4:$D$503,_calc!$E$536))=0,"",INDEX('Our policies'!$D$4:$D$503,_calc!$E$536)))=0,"","Broker: "&amp;IF(LEN(INDEX('Our policies'!$D$4:$D$503,_calc!$E$536))=0,"",INDEX('Our policies'!$D$4:$D$503,_calc!$E$536))&amp;". ")&amp;IF(LEN(IF(LEN(INDEX('Our policies'!$E$4:$E$503,_calc!$E$536))=0,"",INDEX('Our policies'!$E$4:$E$503,_calc!$E$536)))=0,"","Policy no.: "&amp;IF(LEN(INDEX('Our policies'!$E$4:$E$503,_calc!$E$536))=0,"",INDEX('Our policies'!$E$4:$E$503,_calc!$E$536))&amp;". ")&amp;IF(LEN(IF(LEN(INDEX('Our policies'!$S$4:$S$503,_calc!$E$536))=0,"",INDEX('Our policies'!$S$4:$S$503,_calc!$E$536)))=0,"",IF(LEN(INDEX('Our policies'!$S$4:$S$503,_calc!$E$536))=0,"",INDEX('Our policies'!$S$4:$S$503,_calc!$E$536)))),TRIM(IF(LEN(IF(LEN(INDEX('Vendor COIs'!$C$4:$C$503,(_calc!$E$536-500)))=0,"",INDEX('Vendor COIs'!$C$4:$C$503,(_calc!$E$536-500))))=0,"","Insurer: "&amp;IF(LEN(INDEX('Vendor COIs'!$C$4:$C$503,(_calc!$E$536-500)))=0,"",INDEX('Vendor COIs'!$C$4:$C$503,(_calc!$E$536-500)))&amp;". ")&amp;IF(LEN(IF(LEN(INDEX('Vendor COIs'!$D$4:$D$503,(_calc!$E$536-500)))=0,"",INDEX('Vendor COIs'!$D$4:$D$503,(_calc!$E$536-500))))=0,"","Policy no.: "&amp;IF(LEN(INDEX('Vendor COIs'!$D$4:$D$503,(_calc!$E$536-500)))=0,"",INDEX('Vendor COIs'!$D$4:$D$503,(_calc!$E$536-500)))&amp;". ")&amp;IF(LEN(IF(LEN(INDEX('Vendor COIs'!$F$4:$F$503,(_calc!$E$536-500)))=0,"",INDEX('Vendor COIs'!$F$4:$F$503,(_calc!$E$536-500))))=0,"","Meets minimum: "&amp;IF(LEN(INDEX('Vendor COIs'!$F$4:$F$503,(_calc!$E$536-500)))=0,"",INDEX('Vendor COIs'!$F$4:$F$503,(_calc!$E$536-500)))&amp;". ")&amp;IF(LEN(IF(LEN(INDEX('Vendor COIs'!$G$4:$G$503,(_calc!$E$536-500)))=0,"",INDEX('Vendor COIs'!$G$4:$G$503,(_calc!$E$536-500))))=0,"","Additional insured: "&amp;IF(LEN(INDEX('Vendor COIs'!$G$4:$G$503,(_calc!$E$536-500)))=0,"",INDEX('Vendor COIs'!$G$4:$G$503,(_calc!$E$536-500)))&amp;". ")&amp;IF(LEN(IF(LEN(INDEX('Vendor COIs'!$M$4:$M$503,(_calc!$E$536-500)))=0,"",INDEX('Vendor COIs'!$M$4:$M$503,(_calc!$E$536-500))))=0,"","Vendor contact: "&amp;IF(LEN(INDEX('Vendor COIs'!$M$4:$M$503,(_calc!$E$536-500)))=0,"",INDEX('Vendor COIs'!$M$4:$M$503,(_calc!$E$536-500)))&amp;". ")&amp;IF(LEN(IF(LEN(INDEX('Vendor COIs'!$P$4:$P$503,(_calc!$E$536-500)))=0,"",INDEX('Vendor COIs'!$P$4:$P$503,(_calc!$E$536-500))))=0,"",IF(LEN(INDEX('Vendor COIs'!$P$4:$P$503,(_calc!$E$536-500)))=0,"",INDEX('Vendor COIs'!$P$4:$P$503,(_calc!$E$536-500)))))))</f>
        <v/>
      </c>
      <c r="G534" s="46">
        <f>IF(_calc!$E$536="","",IF(_calc!$E$536&lt;=500,IF(LEN(INDEX('Our policies'!$R$4:$R$503,_calc!$E$536))=0,"",INDEX('Our policies'!$R$4:$R$503,_calc!$E$536)),IF(LEN(INDEX('Vendor COIs'!$O$4:$O$503,(_calc!$E$536-500)))=0,"",INDEX('Vendor COIs'!$O$4:$O$503,(_calc!$E$536-500)))))</f>
        <v/>
      </c>
      <c r="H534" s="46">
        <f>IF(_calc!$E$536="","",IF(_calc!$E$536&lt;=500,IF(LEN(INDEX('Our policies'!$G$4:$G$503,_calc!$E$536))=0,"",INDEX('Our policies'!$G$4:$G$503,_calc!$E$536)),""))</f>
        <v/>
      </c>
      <c r="I534" s="46">
        <f>IF(_calc!$E$536="","",IF(_calc!$E$536&lt;=500,IF(LEN(INDEX('Our policies'!$H$4:$H$503,_calc!$E$536))=0,"",INDEX('Our policies'!$H$4:$H$503,_calc!$E$536)),""))</f>
        <v/>
      </c>
      <c r="K534" s="46">
        <f>IF(_calc!$E$536="","",IF(_calc!$E$536&lt;=500,IF(LEN(INDEX('Our policies'!$P$4:$P$503,_calc!$E$536))=0,"",INDEX('Our policies'!$P$4:$P$503,_calc!$E$536)),IF(LEN(INDEX('Vendor COIs'!$N$4:$N$503,(_calc!$E$536-500)))=0,"",INDEX('Vendor COIs'!$N$4:$N$503,(_calc!$E$536-500)))))</f>
        <v/>
      </c>
    </row>
    <row r="535">
      <c r="A535" s="46">
        <f>IF(_calc!$E$537="","",IF(_calc!$E$537&lt;=500,IF(LEN(INDEX('Our policies'!$A$4:$A$503,_calc!$E$537))=0,"",INDEX('Our policies'!$A$4:$A$503,_calc!$E$537)),"COI – "&amp;IF(LEN(INDEX('Vendor COIs'!$A$4:$A$503,(_calc!$E$537-500)))=0,"",INDEX('Vendor COIs'!$A$4:$A$503,(_calc!$E$537-500)))&amp;" – "&amp;IF(LEN(INDEX('Vendor COIs'!$B$4:$B$503,(_calc!$E$537-500)))=0,"",INDEX('Vendor COIs'!$B$4:$B$503,(_calc!$E$537-500)))))</f>
        <v/>
      </c>
      <c r="B535" s="46">
        <f>IF(_calc!$E$537="","",IF(_calc!$E$537&lt;=500,IF(ISNUMBER(INDEX('Our policies'!$J$4:$J$503,_calc!$E$537)),TEXT(INDEX('Our policies'!$J$4:$J$503,_calc!$E$537),"yyyy-mm-dd"),""),IF(ISNUMBER(INDEX('Vendor COIs'!$H$4:$H$503,(_calc!$E$537-500))),TEXT(INDEX('Vendor COIs'!$H$4:$H$503,(_calc!$E$537-500)),"yyyy-mm-dd"),"")))</f>
        <v/>
      </c>
      <c r="C535" s="46">
        <f>IF(_calc!$E$537="","",IF(_calc!$E$537&lt;=500,"Insurance","Certificate of insurance"))</f>
        <v/>
      </c>
      <c r="D535" s="46">
        <f>IF(_calc!$E$537="","",IF(_calc!$E$537&lt;=500,IF(ISNUMBER(INDEX('Our policies'!$I$4:$I$503,_calc!$E$537)),TEXT(INDEX('Our policies'!$I$4:$I$503,_calc!$E$537),"yyyy-mm-dd"),""),""))</f>
        <v/>
      </c>
      <c r="E535" s="46">
        <f>IF(_calc!$E$537="","",IF(_calc!$E$537&lt;=500,IF(LEN(INDEX('Our policies'!$Q$4:$Q$503,_calc!$E$537))=0,"",INDEX('Our policies'!$Q$4:$Q$503,_calc!$E$537)),"Medium"))</f>
        <v/>
      </c>
      <c r="F535" s="46">
        <f>IF(_calc!$E$537="","",IF(_calc!$E$537&lt;=500,TRIM(IF(LEN(IF(LEN(INDEX('Our policies'!$B$4:$B$503,_calc!$E$537))=0,"",INDEX('Our policies'!$B$4:$B$503,_calc!$E$537)))=0,"","Cover: "&amp;IF(LEN(INDEX('Our policies'!$B$4:$B$503,_calc!$E$537))=0,"",INDEX('Our policies'!$B$4:$B$503,_calc!$E$537))&amp;". ")&amp;IF(LEN(IF(LEN(INDEX('Our policies'!$C$4:$C$503,_calc!$E$537))=0,"",INDEX('Our policies'!$C$4:$C$503,_calc!$E$537)))=0,"","Insurer: "&amp;IF(LEN(INDEX('Our policies'!$C$4:$C$503,_calc!$E$537))=0,"",INDEX('Our policies'!$C$4:$C$503,_calc!$E$537))&amp;". ")&amp;IF(LEN(IF(LEN(INDEX('Our policies'!$D$4:$D$503,_calc!$E$537))=0,"",INDEX('Our policies'!$D$4:$D$503,_calc!$E$537)))=0,"","Broker: "&amp;IF(LEN(INDEX('Our policies'!$D$4:$D$503,_calc!$E$537))=0,"",INDEX('Our policies'!$D$4:$D$503,_calc!$E$537))&amp;". ")&amp;IF(LEN(IF(LEN(INDEX('Our policies'!$E$4:$E$503,_calc!$E$537))=0,"",INDEX('Our policies'!$E$4:$E$503,_calc!$E$537)))=0,"","Policy no.: "&amp;IF(LEN(INDEX('Our policies'!$E$4:$E$503,_calc!$E$537))=0,"",INDEX('Our policies'!$E$4:$E$503,_calc!$E$537))&amp;". ")&amp;IF(LEN(IF(LEN(INDEX('Our policies'!$S$4:$S$503,_calc!$E$537))=0,"",INDEX('Our policies'!$S$4:$S$503,_calc!$E$537)))=0,"",IF(LEN(INDEX('Our policies'!$S$4:$S$503,_calc!$E$537))=0,"",INDEX('Our policies'!$S$4:$S$503,_calc!$E$537)))),TRIM(IF(LEN(IF(LEN(INDEX('Vendor COIs'!$C$4:$C$503,(_calc!$E$537-500)))=0,"",INDEX('Vendor COIs'!$C$4:$C$503,(_calc!$E$537-500))))=0,"","Insurer: "&amp;IF(LEN(INDEX('Vendor COIs'!$C$4:$C$503,(_calc!$E$537-500)))=0,"",INDEX('Vendor COIs'!$C$4:$C$503,(_calc!$E$537-500)))&amp;". ")&amp;IF(LEN(IF(LEN(INDEX('Vendor COIs'!$D$4:$D$503,(_calc!$E$537-500)))=0,"",INDEX('Vendor COIs'!$D$4:$D$503,(_calc!$E$537-500))))=0,"","Policy no.: "&amp;IF(LEN(INDEX('Vendor COIs'!$D$4:$D$503,(_calc!$E$537-500)))=0,"",INDEX('Vendor COIs'!$D$4:$D$503,(_calc!$E$537-500)))&amp;". ")&amp;IF(LEN(IF(LEN(INDEX('Vendor COIs'!$F$4:$F$503,(_calc!$E$537-500)))=0,"",INDEX('Vendor COIs'!$F$4:$F$503,(_calc!$E$537-500))))=0,"","Meets minimum: "&amp;IF(LEN(INDEX('Vendor COIs'!$F$4:$F$503,(_calc!$E$537-500)))=0,"",INDEX('Vendor COIs'!$F$4:$F$503,(_calc!$E$537-500)))&amp;". ")&amp;IF(LEN(IF(LEN(INDEX('Vendor COIs'!$G$4:$G$503,(_calc!$E$537-500)))=0,"",INDEX('Vendor COIs'!$G$4:$G$503,(_calc!$E$537-500))))=0,"","Additional insured: "&amp;IF(LEN(INDEX('Vendor COIs'!$G$4:$G$503,(_calc!$E$537-500)))=0,"",INDEX('Vendor COIs'!$G$4:$G$503,(_calc!$E$537-500)))&amp;". ")&amp;IF(LEN(IF(LEN(INDEX('Vendor COIs'!$M$4:$M$503,(_calc!$E$537-500)))=0,"",INDEX('Vendor COIs'!$M$4:$M$503,(_calc!$E$537-500))))=0,"","Vendor contact: "&amp;IF(LEN(INDEX('Vendor COIs'!$M$4:$M$503,(_calc!$E$537-500)))=0,"",INDEX('Vendor COIs'!$M$4:$M$503,(_calc!$E$537-500)))&amp;". ")&amp;IF(LEN(IF(LEN(INDEX('Vendor COIs'!$P$4:$P$503,(_calc!$E$537-500)))=0,"",INDEX('Vendor COIs'!$P$4:$P$503,(_calc!$E$537-500))))=0,"",IF(LEN(INDEX('Vendor COIs'!$P$4:$P$503,(_calc!$E$537-500)))=0,"",INDEX('Vendor COIs'!$P$4:$P$503,(_calc!$E$537-500)))))))</f>
        <v/>
      </c>
      <c r="G535" s="46">
        <f>IF(_calc!$E$537="","",IF(_calc!$E$537&lt;=500,IF(LEN(INDEX('Our policies'!$R$4:$R$503,_calc!$E$537))=0,"",INDEX('Our policies'!$R$4:$R$503,_calc!$E$537)),IF(LEN(INDEX('Vendor COIs'!$O$4:$O$503,(_calc!$E$537-500)))=0,"",INDEX('Vendor COIs'!$O$4:$O$503,(_calc!$E$537-500)))))</f>
        <v/>
      </c>
      <c r="H535" s="46">
        <f>IF(_calc!$E$537="","",IF(_calc!$E$537&lt;=500,IF(LEN(INDEX('Our policies'!$G$4:$G$503,_calc!$E$537))=0,"",INDEX('Our policies'!$G$4:$G$503,_calc!$E$537)),""))</f>
        <v/>
      </c>
      <c r="I535" s="46">
        <f>IF(_calc!$E$537="","",IF(_calc!$E$537&lt;=500,IF(LEN(INDEX('Our policies'!$H$4:$H$503,_calc!$E$537))=0,"",INDEX('Our policies'!$H$4:$H$503,_calc!$E$537)),""))</f>
        <v/>
      </c>
      <c r="K535" s="46">
        <f>IF(_calc!$E$537="","",IF(_calc!$E$537&lt;=500,IF(LEN(INDEX('Our policies'!$P$4:$P$503,_calc!$E$537))=0,"",INDEX('Our policies'!$P$4:$P$503,_calc!$E$537)),IF(LEN(INDEX('Vendor COIs'!$N$4:$N$503,(_calc!$E$537-500)))=0,"",INDEX('Vendor COIs'!$N$4:$N$503,(_calc!$E$537-500)))))</f>
        <v/>
      </c>
    </row>
    <row r="536">
      <c r="A536" s="46">
        <f>IF(_calc!$E$538="","",IF(_calc!$E$538&lt;=500,IF(LEN(INDEX('Our policies'!$A$4:$A$503,_calc!$E$538))=0,"",INDEX('Our policies'!$A$4:$A$503,_calc!$E$538)),"COI – "&amp;IF(LEN(INDEX('Vendor COIs'!$A$4:$A$503,(_calc!$E$538-500)))=0,"",INDEX('Vendor COIs'!$A$4:$A$503,(_calc!$E$538-500)))&amp;" – "&amp;IF(LEN(INDEX('Vendor COIs'!$B$4:$B$503,(_calc!$E$538-500)))=0,"",INDEX('Vendor COIs'!$B$4:$B$503,(_calc!$E$538-500)))))</f>
        <v/>
      </c>
      <c r="B536" s="46">
        <f>IF(_calc!$E$538="","",IF(_calc!$E$538&lt;=500,IF(ISNUMBER(INDEX('Our policies'!$J$4:$J$503,_calc!$E$538)),TEXT(INDEX('Our policies'!$J$4:$J$503,_calc!$E$538),"yyyy-mm-dd"),""),IF(ISNUMBER(INDEX('Vendor COIs'!$H$4:$H$503,(_calc!$E$538-500))),TEXT(INDEX('Vendor COIs'!$H$4:$H$503,(_calc!$E$538-500)),"yyyy-mm-dd"),"")))</f>
        <v/>
      </c>
      <c r="C536" s="46">
        <f>IF(_calc!$E$538="","",IF(_calc!$E$538&lt;=500,"Insurance","Certificate of insurance"))</f>
        <v/>
      </c>
      <c r="D536" s="46">
        <f>IF(_calc!$E$538="","",IF(_calc!$E$538&lt;=500,IF(ISNUMBER(INDEX('Our policies'!$I$4:$I$503,_calc!$E$538)),TEXT(INDEX('Our policies'!$I$4:$I$503,_calc!$E$538),"yyyy-mm-dd"),""),""))</f>
        <v/>
      </c>
      <c r="E536" s="46">
        <f>IF(_calc!$E$538="","",IF(_calc!$E$538&lt;=500,IF(LEN(INDEX('Our policies'!$Q$4:$Q$503,_calc!$E$538))=0,"",INDEX('Our policies'!$Q$4:$Q$503,_calc!$E$538)),"Medium"))</f>
        <v/>
      </c>
      <c r="F536" s="46">
        <f>IF(_calc!$E$538="","",IF(_calc!$E$538&lt;=500,TRIM(IF(LEN(IF(LEN(INDEX('Our policies'!$B$4:$B$503,_calc!$E$538))=0,"",INDEX('Our policies'!$B$4:$B$503,_calc!$E$538)))=0,"","Cover: "&amp;IF(LEN(INDEX('Our policies'!$B$4:$B$503,_calc!$E$538))=0,"",INDEX('Our policies'!$B$4:$B$503,_calc!$E$538))&amp;". ")&amp;IF(LEN(IF(LEN(INDEX('Our policies'!$C$4:$C$503,_calc!$E$538))=0,"",INDEX('Our policies'!$C$4:$C$503,_calc!$E$538)))=0,"","Insurer: "&amp;IF(LEN(INDEX('Our policies'!$C$4:$C$503,_calc!$E$538))=0,"",INDEX('Our policies'!$C$4:$C$503,_calc!$E$538))&amp;". ")&amp;IF(LEN(IF(LEN(INDEX('Our policies'!$D$4:$D$503,_calc!$E$538))=0,"",INDEX('Our policies'!$D$4:$D$503,_calc!$E$538)))=0,"","Broker: "&amp;IF(LEN(INDEX('Our policies'!$D$4:$D$503,_calc!$E$538))=0,"",INDEX('Our policies'!$D$4:$D$503,_calc!$E$538))&amp;". ")&amp;IF(LEN(IF(LEN(INDEX('Our policies'!$E$4:$E$503,_calc!$E$538))=0,"",INDEX('Our policies'!$E$4:$E$503,_calc!$E$538)))=0,"","Policy no.: "&amp;IF(LEN(INDEX('Our policies'!$E$4:$E$503,_calc!$E$538))=0,"",INDEX('Our policies'!$E$4:$E$503,_calc!$E$538))&amp;". ")&amp;IF(LEN(IF(LEN(INDEX('Our policies'!$S$4:$S$503,_calc!$E$538))=0,"",INDEX('Our policies'!$S$4:$S$503,_calc!$E$538)))=0,"",IF(LEN(INDEX('Our policies'!$S$4:$S$503,_calc!$E$538))=0,"",INDEX('Our policies'!$S$4:$S$503,_calc!$E$538)))),TRIM(IF(LEN(IF(LEN(INDEX('Vendor COIs'!$C$4:$C$503,(_calc!$E$538-500)))=0,"",INDEX('Vendor COIs'!$C$4:$C$503,(_calc!$E$538-500))))=0,"","Insurer: "&amp;IF(LEN(INDEX('Vendor COIs'!$C$4:$C$503,(_calc!$E$538-500)))=0,"",INDEX('Vendor COIs'!$C$4:$C$503,(_calc!$E$538-500)))&amp;". ")&amp;IF(LEN(IF(LEN(INDEX('Vendor COIs'!$D$4:$D$503,(_calc!$E$538-500)))=0,"",INDEX('Vendor COIs'!$D$4:$D$503,(_calc!$E$538-500))))=0,"","Policy no.: "&amp;IF(LEN(INDEX('Vendor COIs'!$D$4:$D$503,(_calc!$E$538-500)))=0,"",INDEX('Vendor COIs'!$D$4:$D$503,(_calc!$E$538-500)))&amp;". ")&amp;IF(LEN(IF(LEN(INDEX('Vendor COIs'!$F$4:$F$503,(_calc!$E$538-500)))=0,"",INDEX('Vendor COIs'!$F$4:$F$503,(_calc!$E$538-500))))=0,"","Meets minimum: "&amp;IF(LEN(INDEX('Vendor COIs'!$F$4:$F$503,(_calc!$E$538-500)))=0,"",INDEX('Vendor COIs'!$F$4:$F$503,(_calc!$E$538-500)))&amp;". ")&amp;IF(LEN(IF(LEN(INDEX('Vendor COIs'!$G$4:$G$503,(_calc!$E$538-500)))=0,"",INDEX('Vendor COIs'!$G$4:$G$503,(_calc!$E$538-500))))=0,"","Additional insured: "&amp;IF(LEN(INDEX('Vendor COIs'!$G$4:$G$503,(_calc!$E$538-500)))=0,"",INDEX('Vendor COIs'!$G$4:$G$503,(_calc!$E$538-500)))&amp;". ")&amp;IF(LEN(IF(LEN(INDEX('Vendor COIs'!$M$4:$M$503,(_calc!$E$538-500)))=0,"",INDEX('Vendor COIs'!$M$4:$M$503,(_calc!$E$538-500))))=0,"","Vendor contact: "&amp;IF(LEN(INDEX('Vendor COIs'!$M$4:$M$503,(_calc!$E$538-500)))=0,"",INDEX('Vendor COIs'!$M$4:$M$503,(_calc!$E$538-500)))&amp;". ")&amp;IF(LEN(IF(LEN(INDEX('Vendor COIs'!$P$4:$P$503,(_calc!$E$538-500)))=0,"",INDEX('Vendor COIs'!$P$4:$P$503,(_calc!$E$538-500))))=0,"",IF(LEN(INDEX('Vendor COIs'!$P$4:$P$503,(_calc!$E$538-500)))=0,"",INDEX('Vendor COIs'!$P$4:$P$503,(_calc!$E$538-500)))))))</f>
        <v/>
      </c>
      <c r="G536" s="46">
        <f>IF(_calc!$E$538="","",IF(_calc!$E$538&lt;=500,IF(LEN(INDEX('Our policies'!$R$4:$R$503,_calc!$E$538))=0,"",INDEX('Our policies'!$R$4:$R$503,_calc!$E$538)),IF(LEN(INDEX('Vendor COIs'!$O$4:$O$503,(_calc!$E$538-500)))=0,"",INDEX('Vendor COIs'!$O$4:$O$503,(_calc!$E$538-500)))))</f>
        <v/>
      </c>
      <c r="H536" s="46">
        <f>IF(_calc!$E$538="","",IF(_calc!$E$538&lt;=500,IF(LEN(INDEX('Our policies'!$G$4:$G$503,_calc!$E$538))=0,"",INDEX('Our policies'!$G$4:$G$503,_calc!$E$538)),""))</f>
        <v/>
      </c>
      <c r="I536" s="46">
        <f>IF(_calc!$E$538="","",IF(_calc!$E$538&lt;=500,IF(LEN(INDEX('Our policies'!$H$4:$H$503,_calc!$E$538))=0,"",INDEX('Our policies'!$H$4:$H$503,_calc!$E$538)),""))</f>
        <v/>
      </c>
      <c r="K536" s="46">
        <f>IF(_calc!$E$538="","",IF(_calc!$E$538&lt;=500,IF(LEN(INDEX('Our policies'!$P$4:$P$503,_calc!$E$538))=0,"",INDEX('Our policies'!$P$4:$P$503,_calc!$E$538)),IF(LEN(INDEX('Vendor COIs'!$N$4:$N$503,(_calc!$E$538-500)))=0,"",INDEX('Vendor COIs'!$N$4:$N$503,(_calc!$E$538-500)))))</f>
        <v/>
      </c>
    </row>
    <row r="537">
      <c r="A537" s="46">
        <f>IF(_calc!$E$539="","",IF(_calc!$E$539&lt;=500,IF(LEN(INDEX('Our policies'!$A$4:$A$503,_calc!$E$539))=0,"",INDEX('Our policies'!$A$4:$A$503,_calc!$E$539)),"COI – "&amp;IF(LEN(INDEX('Vendor COIs'!$A$4:$A$503,(_calc!$E$539-500)))=0,"",INDEX('Vendor COIs'!$A$4:$A$503,(_calc!$E$539-500)))&amp;" – "&amp;IF(LEN(INDEX('Vendor COIs'!$B$4:$B$503,(_calc!$E$539-500)))=0,"",INDEX('Vendor COIs'!$B$4:$B$503,(_calc!$E$539-500)))))</f>
        <v/>
      </c>
      <c r="B537" s="46">
        <f>IF(_calc!$E$539="","",IF(_calc!$E$539&lt;=500,IF(ISNUMBER(INDEX('Our policies'!$J$4:$J$503,_calc!$E$539)),TEXT(INDEX('Our policies'!$J$4:$J$503,_calc!$E$539),"yyyy-mm-dd"),""),IF(ISNUMBER(INDEX('Vendor COIs'!$H$4:$H$503,(_calc!$E$539-500))),TEXT(INDEX('Vendor COIs'!$H$4:$H$503,(_calc!$E$539-500)),"yyyy-mm-dd"),"")))</f>
        <v/>
      </c>
      <c r="C537" s="46">
        <f>IF(_calc!$E$539="","",IF(_calc!$E$539&lt;=500,"Insurance","Certificate of insurance"))</f>
        <v/>
      </c>
      <c r="D537" s="46">
        <f>IF(_calc!$E$539="","",IF(_calc!$E$539&lt;=500,IF(ISNUMBER(INDEX('Our policies'!$I$4:$I$503,_calc!$E$539)),TEXT(INDEX('Our policies'!$I$4:$I$503,_calc!$E$539),"yyyy-mm-dd"),""),""))</f>
        <v/>
      </c>
      <c r="E537" s="46">
        <f>IF(_calc!$E$539="","",IF(_calc!$E$539&lt;=500,IF(LEN(INDEX('Our policies'!$Q$4:$Q$503,_calc!$E$539))=0,"",INDEX('Our policies'!$Q$4:$Q$503,_calc!$E$539)),"Medium"))</f>
        <v/>
      </c>
      <c r="F537" s="46">
        <f>IF(_calc!$E$539="","",IF(_calc!$E$539&lt;=500,TRIM(IF(LEN(IF(LEN(INDEX('Our policies'!$B$4:$B$503,_calc!$E$539))=0,"",INDEX('Our policies'!$B$4:$B$503,_calc!$E$539)))=0,"","Cover: "&amp;IF(LEN(INDEX('Our policies'!$B$4:$B$503,_calc!$E$539))=0,"",INDEX('Our policies'!$B$4:$B$503,_calc!$E$539))&amp;". ")&amp;IF(LEN(IF(LEN(INDEX('Our policies'!$C$4:$C$503,_calc!$E$539))=0,"",INDEX('Our policies'!$C$4:$C$503,_calc!$E$539)))=0,"","Insurer: "&amp;IF(LEN(INDEX('Our policies'!$C$4:$C$503,_calc!$E$539))=0,"",INDEX('Our policies'!$C$4:$C$503,_calc!$E$539))&amp;". ")&amp;IF(LEN(IF(LEN(INDEX('Our policies'!$D$4:$D$503,_calc!$E$539))=0,"",INDEX('Our policies'!$D$4:$D$503,_calc!$E$539)))=0,"","Broker: "&amp;IF(LEN(INDEX('Our policies'!$D$4:$D$503,_calc!$E$539))=0,"",INDEX('Our policies'!$D$4:$D$503,_calc!$E$539))&amp;". ")&amp;IF(LEN(IF(LEN(INDEX('Our policies'!$E$4:$E$503,_calc!$E$539))=0,"",INDEX('Our policies'!$E$4:$E$503,_calc!$E$539)))=0,"","Policy no.: "&amp;IF(LEN(INDEX('Our policies'!$E$4:$E$503,_calc!$E$539))=0,"",INDEX('Our policies'!$E$4:$E$503,_calc!$E$539))&amp;". ")&amp;IF(LEN(IF(LEN(INDEX('Our policies'!$S$4:$S$503,_calc!$E$539))=0,"",INDEX('Our policies'!$S$4:$S$503,_calc!$E$539)))=0,"",IF(LEN(INDEX('Our policies'!$S$4:$S$503,_calc!$E$539))=0,"",INDEX('Our policies'!$S$4:$S$503,_calc!$E$539)))),TRIM(IF(LEN(IF(LEN(INDEX('Vendor COIs'!$C$4:$C$503,(_calc!$E$539-500)))=0,"",INDEX('Vendor COIs'!$C$4:$C$503,(_calc!$E$539-500))))=0,"","Insurer: "&amp;IF(LEN(INDEX('Vendor COIs'!$C$4:$C$503,(_calc!$E$539-500)))=0,"",INDEX('Vendor COIs'!$C$4:$C$503,(_calc!$E$539-500)))&amp;". ")&amp;IF(LEN(IF(LEN(INDEX('Vendor COIs'!$D$4:$D$503,(_calc!$E$539-500)))=0,"",INDEX('Vendor COIs'!$D$4:$D$503,(_calc!$E$539-500))))=0,"","Policy no.: "&amp;IF(LEN(INDEX('Vendor COIs'!$D$4:$D$503,(_calc!$E$539-500)))=0,"",INDEX('Vendor COIs'!$D$4:$D$503,(_calc!$E$539-500)))&amp;". ")&amp;IF(LEN(IF(LEN(INDEX('Vendor COIs'!$F$4:$F$503,(_calc!$E$539-500)))=0,"",INDEX('Vendor COIs'!$F$4:$F$503,(_calc!$E$539-500))))=0,"","Meets minimum: "&amp;IF(LEN(INDEX('Vendor COIs'!$F$4:$F$503,(_calc!$E$539-500)))=0,"",INDEX('Vendor COIs'!$F$4:$F$503,(_calc!$E$539-500)))&amp;". ")&amp;IF(LEN(IF(LEN(INDEX('Vendor COIs'!$G$4:$G$503,(_calc!$E$539-500)))=0,"",INDEX('Vendor COIs'!$G$4:$G$503,(_calc!$E$539-500))))=0,"","Additional insured: "&amp;IF(LEN(INDEX('Vendor COIs'!$G$4:$G$503,(_calc!$E$539-500)))=0,"",INDEX('Vendor COIs'!$G$4:$G$503,(_calc!$E$539-500)))&amp;". ")&amp;IF(LEN(IF(LEN(INDEX('Vendor COIs'!$M$4:$M$503,(_calc!$E$539-500)))=0,"",INDEX('Vendor COIs'!$M$4:$M$503,(_calc!$E$539-500))))=0,"","Vendor contact: "&amp;IF(LEN(INDEX('Vendor COIs'!$M$4:$M$503,(_calc!$E$539-500)))=0,"",INDEX('Vendor COIs'!$M$4:$M$503,(_calc!$E$539-500)))&amp;". ")&amp;IF(LEN(IF(LEN(INDEX('Vendor COIs'!$P$4:$P$503,(_calc!$E$539-500)))=0,"",INDEX('Vendor COIs'!$P$4:$P$503,(_calc!$E$539-500))))=0,"",IF(LEN(INDEX('Vendor COIs'!$P$4:$P$503,(_calc!$E$539-500)))=0,"",INDEX('Vendor COIs'!$P$4:$P$503,(_calc!$E$539-500)))))))</f>
        <v/>
      </c>
      <c r="G537" s="46">
        <f>IF(_calc!$E$539="","",IF(_calc!$E$539&lt;=500,IF(LEN(INDEX('Our policies'!$R$4:$R$503,_calc!$E$539))=0,"",INDEX('Our policies'!$R$4:$R$503,_calc!$E$539)),IF(LEN(INDEX('Vendor COIs'!$O$4:$O$503,(_calc!$E$539-500)))=0,"",INDEX('Vendor COIs'!$O$4:$O$503,(_calc!$E$539-500)))))</f>
        <v/>
      </c>
      <c r="H537" s="46">
        <f>IF(_calc!$E$539="","",IF(_calc!$E$539&lt;=500,IF(LEN(INDEX('Our policies'!$G$4:$G$503,_calc!$E$539))=0,"",INDEX('Our policies'!$G$4:$G$503,_calc!$E$539)),""))</f>
        <v/>
      </c>
      <c r="I537" s="46">
        <f>IF(_calc!$E$539="","",IF(_calc!$E$539&lt;=500,IF(LEN(INDEX('Our policies'!$H$4:$H$503,_calc!$E$539))=0,"",INDEX('Our policies'!$H$4:$H$503,_calc!$E$539)),""))</f>
        <v/>
      </c>
      <c r="K537" s="46">
        <f>IF(_calc!$E$539="","",IF(_calc!$E$539&lt;=500,IF(LEN(INDEX('Our policies'!$P$4:$P$503,_calc!$E$539))=0,"",INDEX('Our policies'!$P$4:$P$503,_calc!$E$539)),IF(LEN(INDEX('Vendor COIs'!$N$4:$N$503,(_calc!$E$539-500)))=0,"",INDEX('Vendor COIs'!$N$4:$N$503,(_calc!$E$539-500)))))</f>
        <v/>
      </c>
    </row>
    <row r="538">
      <c r="A538" s="46">
        <f>IF(_calc!$E$540="","",IF(_calc!$E$540&lt;=500,IF(LEN(INDEX('Our policies'!$A$4:$A$503,_calc!$E$540))=0,"",INDEX('Our policies'!$A$4:$A$503,_calc!$E$540)),"COI – "&amp;IF(LEN(INDEX('Vendor COIs'!$A$4:$A$503,(_calc!$E$540-500)))=0,"",INDEX('Vendor COIs'!$A$4:$A$503,(_calc!$E$540-500)))&amp;" – "&amp;IF(LEN(INDEX('Vendor COIs'!$B$4:$B$503,(_calc!$E$540-500)))=0,"",INDEX('Vendor COIs'!$B$4:$B$503,(_calc!$E$540-500)))))</f>
        <v/>
      </c>
      <c r="B538" s="46">
        <f>IF(_calc!$E$540="","",IF(_calc!$E$540&lt;=500,IF(ISNUMBER(INDEX('Our policies'!$J$4:$J$503,_calc!$E$540)),TEXT(INDEX('Our policies'!$J$4:$J$503,_calc!$E$540),"yyyy-mm-dd"),""),IF(ISNUMBER(INDEX('Vendor COIs'!$H$4:$H$503,(_calc!$E$540-500))),TEXT(INDEX('Vendor COIs'!$H$4:$H$503,(_calc!$E$540-500)),"yyyy-mm-dd"),"")))</f>
        <v/>
      </c>
      <c r="C538" s="46">
        <f>IF(_calc!$E$540="","",IF(_calc!$E$540&lt;=500,"Insurance","Certificate of insurance"))</f>
        <v/>
      </c>
      <c r="D538" s="46">
        <f>IF(_calc!$E$540="","",IF(_calc!$E$540&lt;=500,IF(ISNUMBER(INDEX('Our policies'!$I$4:$I$503,_calc!$E$540)),TEXT(INDEX('Our policies'!$I$4:$I$503,_calc!$E$540),"yyyy-mm-dd"),""),""))</f>
        <v/>
      </c>
      <c r="E538" s="46">
        <f>IF(_calc!$E$540="","",IF(_calc!$E$540&lt;=500,IF(LEN(INDEX('Our policies'!$Q$4:$Q$503,_calc!$E$540))=0,"",INDEX('Our policies'!$Q$4:$Q$503,_calc!$E$540)),"Medium"))</f>
        <v/>
      </c>
      <c r="F538" s="46">
        <f>IF(_calc!$E$540="","",IF(_calc!$E$540&lt;=500,TRIM(IF(LEN(IF(LEN(INDEX('Our policies'!$B$4:$B$503,_calc!$E$540))=0,"",INDEX('Our policies'!$B$4:$B$503,_calc!$E$540)))=0,"","Cover: "&amp;IF(LEN(INDEX('Our policies'!$B$4:$B$503,_calc!$E$540))=0,"",INDEX('Our policies'!$B$4:$B$503,_calc!$E$540))&amp;". ")&amp;IF(LEN(IF(LEN(INDEX('Our policies'!$C$4:$C$503,_calc!$E$540))=0,"",INDEX('Our policies'!$C$4:$C$503,_calc!$E$540)))=0,"","Insurer: "&amp;IF(LEN(INDEX('Our policies'!$C$4:$C$503,_calc!$E$540))=0,"",INDEX('Our policies'!$C$4:$C$503,_calc!$E$540))&amp;". ")&amp;IF(LEN(IF(LEN(INDEX('Our policies'!$D$4:$D$503,_calc!$E$540))=0,"",INDEX('Our policies'!$D$4:$D$503,_calc!$E$540)))=0,"","Broker: "&amp;IF(LEN(INDEX('Our policies'!$D$4:$D$503,_calc!$E$540))=0,"",INDEX('Our policies'!$D$4:$D$503,_calc!$E$540))&amp;". ")&amp;IF(LEN(IF(LEN(INDEX('Our policies'!$E$4:$E$503,_calc!$E$540))=0,"",INDEX('Our policies'!$E$4:$E$503,_calc!$E$540)))=0,"","Policy no.: "&amp;IF(LEN(INDEX('Our policies'!$E$4:$E$503,_calc!$E$540))=0,"",INDEX('Our policies'!$E$4:$E$503,_calc!$E$540))&amp;". ")&amp;IF(LEN(IF(LEN(INDEX('Our policies'!$S$4:$S$503,_calc!$E$540))=0,"",INDEX('Our policies'!$S$4:$S$503,_calc!$E$540)))=0,"",IF(LEN(INDEX('Our policies'!$S$4:$S$503,_calc!$E$540))=0,"",INDEX('Our policies'!$S$4:$S$503,_calc!$E$540)))),TRIM(IF(LEN(IF(LEN(INDEX('Vendor COIs'!$C$4:$C$503,(_calc!$E$540-500)))=0,"",INDEX('Vendor COIs'!$C$4:$C$503,(_calc!$E$540-500))))=0,"","Insurer: "&amp;IF(LEN(INDEX('Vendor COIs'!$C$4:$C$503,(_calc!$E$540-500)))=0,"",INDEX('Vendor COIs'!$C$4:$C$503,(_calc!$E$540-500)))&amp;". ")&amp;IF(LEN(IF(LEN(INDEX('Vendor COIs'!$D$4:$D$503,(_calc!$E$540-500)))=0,"",INDEX('Vendor COIs'!$D$4:$D$503,(_calc!$E$540-500))))=0,"","Policy no.: "&amp;IF(LEN(INDEX('Vendor COIs'!$D$4:$D$503,(_calc!$E$540-500)))=0,"",INDEX('Vendor COIs'!$D$4:$D$503,(_calc!$E$540-500)))&amp;". ")&amp;IF(LEN(IF(LEN(INDEX('Vendor COIs'!$F$4:$F$503,(_calc!$E$540-500)))=0,"",INDEX('Vendor COIs'!$F$4:$F$503,(_calc!$E$540-500))))=0,"","Meets minimum: "&amp;IF(LEN(INDEX('Vendor COIs'!$F$4:$F$503,(_calc!$E$540-500)))=0,"",INDEX('Vendor COIs'!$F$4:$F$503,(_calc!$E$540-500)))&amp;". ")&amp;IF(LEN(IF(LEN(INDEX('Vendor COIs'!$G$4:$G$503,(_calc!$E$540-500)))=0,"",INDEX('Vendor COIs'!$G$4:$G$503,(_calc!$E$540-500))))=0,"","Additional insured: "&amp;IF(LEN(INDEX('Vendor COIs'!$G$4:$G$503,(_calc!$E$540-500)))=0,"",INDEX('Vendor COIs'!$G$4:$G$503,(_calc!$E$540-500)))&amp;". ")&amp;IF(LEN(IF(LEN(INDEX('Vendor COIs'!$M$4:$M$503,(_calc!$E$540-500)))=0,"",INDEX('Vendor COIs'!$M$4:$M$503,(_calc!$E$540-500))))=0,"","Vendor contact: "&amp;IF(LEN(INDEX('Vendor COIs'!$M$4:$M$503,(_calc!$E$540-500)))=0,"",INDEX('Vendor COIs'!$M$4:$M$503,(_calc!$E$540-500)))&amp;". ")&amp;IF(LEN(IF(LEN(INDEX('Vendor COIs'!$P$4:$P$503,(_calc!$E$540-500)))=0,"",INDEX('Vendor COIs'!$P$4:$P$503,(_calc!$E$540-500))))=0,"",IF(LEN(INDEX('Vendor COIs'!$P$4:$P$503,(_calc!$E$540-500)))=0,"",INDEX('Vendor COIs'!$P$4:$P$503,(_calc!$E$540-500)))))))</f>
        <v/>
      </c>
      <c r="G538" s="46">
        <f>IF(_calc!$E$540="","",IF(_calc!$E$540&lt;=500,IF(LEN(INDEX('Our policies'!$R$4:$R$503,_calc!$E$540))=0,"",INDEX('Our policies'!$R$4:$R$503,_calc!$E$540)),IF(LEN(INDEX('Vendor COIs'!$O$4:$O$503,(_calc!$E$540-500)))=0,"",INDEX('Vendor COIs'!$O$4:$O$503,(_calc!$E$540-500)))))</f>
        <v/>
      </c>
      <c r="H538" s="46">
        <f>IF(_calc!$E$540="","",IF(_calc!$E$540&lt;=500,IF(LEN(INDEX('Our policies'!$G$4:$G$503,_calc!$E$540))=0,"",INDEX('Our policies'!$G$4:$G$503,_calc!$E$540)),""))</f>
        <v/>
      </c>
      <c r="I538" s="46">
        <f>IF(_calc!$E$540="","",IF(_calc!$E$540&lt;=500,IF(LEN(INDEX('Our policies'!$H$4:$H$503,_calc!$E$540))=0,"",INDEX('Our policies'!$H$4:$H$503,_calc!$E$540)),""))</f>
        <v/>
      </c>
      <c r="K538" s="46">
        <f>IF(_calc!$E$540="","",IF(_calc!$E$540&lt;=500,IF(LEN(INDEX('Our policies'!$P$4:$P$503,_calc!$E$540))=0,"",INDEX('Our policies'!$P$4:$P$503,_calc!$E$540)),IF(LEN(INDEX('Vendor COIs'!$N$4:$N$503,(_calc!$E$540-500)))=0,"",INDEX('Vendor COIs'!$N$4:$N$503,(_calc!$E$540-500)))))</f>
        <v/>
      </c>
    </row>
    <row r="539">
      <c r="A539" s="46">
        <f>IF(_calc!$E$541="","",IF(_calc!$E$541&lt;=500,IF(LEN(INDEX('Our policies'!$A$4:$A$503,_calc!$E$541))=0,"",INDEX('Our policies'!$A$4:$A$503,_calc!$E$541)),"COI – "&amp;IF(LEN(INDEX('Vendor COIs'!$A$4:$A$503,(_calc!$E$541-500)))=0,"",INDEX('Vendor COIs'!$A$4:$A$503,(_calc!$E$541-500)))&amp;" – "&amp;IF(LEN(INDEX('Vendor COIs'!$B$4:$B$503,(_calc!$E$541-500)))=0,"",INDEX('Vendor COIs'!$B$4:$B$503,(_calc!$E$541-500)))))</f>
        <v/>
      </c>
      <c r="B539" s="46">
        <f>IF(_calc!$E$541="","",IF(_calc!$E$541&lt;=500,IF(ISNUMBER(INDEX('Our policies'!$J$4:$J$503,_calc!$E$541)),TEXT(INDEX('Our policies'!$J$4:$J$503,_calc!$E$541),"yyyy-mm-dd"),""),IF(ISNUMBER(INDEX('Vendor COIs'!$H$4:$H$503,(_calc!$E$541-500))),TEXT(INDEX('Vendor COIs'!$H$4:$H$503,(_calc!$E$541-500)),"yyyy-mm-dd"),"")))</f>
        <v/>
      </c>
      <c r="C539" s="46">
        <f>IF(_calc!$E$541="","",IF(_calc!$E$541&lt;=500,"Insurance","Certificate of insurance"))</f>
        <v/>
      </c>
      <c r="D539" s="46">
        <f>IF(_calc!$E$541="","",IF(_calc!$E$541&lt;=500,IF(ISNUMBER(INDEX('Our policies'!$I$4:$I$503,_calc!$E$541)),TEXT(INDEX('Our policies'!$I$4:$I$503,_calc!$E$541),"yyyy-mm-dd"),""),""))</f>
        <v/>
      </c>
      <c r="E539" s="46">
        <f>IF(_calc!$E$541="","",IF(_calc!$E$541&lt;=500,IF(LEN(INDEX('Our policies'!$Q$4:$Q$503,_calc!$E$541))=0,"",INDEX('Our policies'!$Q$4:$Q$503,_calc!$E$541)),"Medium"))</f>
        <v/>
      </c>
      <c r="F539" s="46">
        <f>IF(_calc!$E$541="","",IF(_calc!$E$541&lt;=500,TRIM(IF(LEN(IF(LEN(INDEX('Our policies'!$B$4:$B$503,_calc!$E$541))=0,"",INDEX('Our policies'!$B$4:$B$503,_calc!$E$541)))=0,"","Cover: "&amp;IF(LEN(INDEX('Our policies'!$B$4:$B$503,_calc!$E$541))=0,"",INDEX('Our policies'!$B$4:$B$503,_calc!$E$541))&amp;". ")&amp;IF(LEN(IF(LEN(INDEX('Our policies'!$C$4:$C$503,_calc!$E$541))=0,"",INDEX('Our policies'!$C$4:$C$503,_calc!$E$541)))=0,"","Insurer: "&amp;IF(LEN(INDEX('Our policies'!$C$4:$C$503,_calc!$E$541))=0,"",INDEX('Our policies'!$C$4:$C$503,_calc!$E$541))&amp;". ")&amp;IF(LEN(IF(LEN(INDEX('Our policies'!$D$4:$D$503,_calc!$E$541))=0,"",INDEX('Our policies'!$D$4:$D$503,_calc!$E$541)))=0,"","Broker: "&amp;IF(LEN(INDEX('Our policies'!$D$4:$D$503,_calc!$E$541))=0,"",INDEX('Our policies'!$D$4:$D$503,_calc!$E$541))&amp;". ")&amp;IF(LEN(IF(LEN(INDEX('Our policies'!$E$4:$E$503,_calc!$E$541))=0,"",INDEX('Our policies'!$E$4:$E$503,_calc!$E$541)))=0,"","Policy no.: "&amp;IF(LEN(INDEX('Our policies'!$E$4:$E$503,_calc!$E$541))=0,"",INDEX('Our policies'!$E$4:$E$503,_calc!$E$541))&amp;". ")&amp;IF(LEN(IF(LEN(INDEX('Our policies'!$S$4:$S$503,_calc!$E$541))=0,"",INDEX('Our policies'!$S$4:$S$503,_calc!$E$541)))=0,"",IF(LEN(INDEX('Our policies'!$S$4:$S$503,_calc!$E$541))=0,"",INDEX('Our policies'!$S$4:$S$503,_calc!$E$541)))),TRIM(IF(LEN(IF(LEN(INDEX('Vendor COIs'!$C$4:$C$503,(_calc!$E$541-500)))=0,"",INDEX('Vendor COIs'!$C$4:$C$503,(_calc!$E$541-500))))=0,"","Insurer: "&amp;IF(LEN(INDEX('Vendor COIs'!$C$4:$C$503,(_calc!$E$541-500)))=0,"",INDEX('Vendor COIs'!$C$4:$C$503,(_calc!$E$541-500)))&amp;". ")&amp;IF(LEN(IF(LEN(INDEX('Vendor COIs'!$D$4:$D$503,(_calc!$E$541-500)))=0,"",INDEX('Vendor COIs'!$D$4:$D$503,(_calc!$E$541-500))))=0,"","Policy no.: "&amp;IF(LEN(INDEX('Vendor COIs'!$D$4:$D$503,(_calc!$E$541-500)))=0,"",INDEX('Vendor COIs'!$D$4:$D$503,(_calc!$E$541-500)))&amp;". ")&amp;IF(LEN(IF(LEN(INDEX('Vendor COIs'!$F$4:$F$503,(_calc!$E$541-500)))=0,"",INDEX('Vendor COIs'!$F$4:$F$503,(_calc!$E$541-500))))=0,"","Meets minimum: "&amp;IF(LEN(INDEX('Vendor COIs'!$F$4:$F$503,(_calc!$E$541-500)))=0,"",INDEX('Vendor COIs'!$F$4:$F$503,(_calc!$E$541-500)))&amp;". ")&amp;IF(LEN(IF(LEN(INDEX('Vendor COIs'!$G$4:$G$503,(_calc!$E$541-500)))=0,"",INDEX('Vendor COIs'!$G$4:$G$503,(_calc!$E$541-500))))=0,"","Additional insured: "&amp;IF(LEN(INDEX('Vendor COIs'!$G$4:$G$503,(_calc!$E$541-500)))=0,"",INDEX('Vendor COIs'!$G$4:$G$503,(_calc!$E$541-500)))&amp;". ")&amp;IF(LEN(IF(LEN(INDEX('Vendor COIs'!$M$4:$M$503,(_calc!$E$541-500)))=0,"",INDEX('Vendor COIs'!$M$4:$M$503,(_calc!$E$541-500))))=0,"","Vendor contact: "&amp;IF(LEN(INDEX('Vendor COIs'!$M$4:$M$503,(_calc!$E$541-500)))=0,"",INDEX('Vendor COIs'!$M$4:$M$503,(_calc!$E$541-500)))&amp;". ")&amp;IF(LEN(IF(LEN(INDEX('Vendor COIs'!$P$4:$P$503,(_calc!$E$541-500)))=0,"",INDEX('Vendor COIs'!$P$4:$P$503,(_calc!$E$541-500))))=0,"",IF(LEN(INDEX('Vendor COIs'!$P$4:$P$503,(_calc!$E$541-500)))=0,"",INDEX('Vendor COIs'!$P$4:$P$503,(_calc!$E$541-500)))))))</f>
        <v/>
      </c>
      <c r="G539" s="46">
        <f>IF(_calc!$E$541="","",IF(_calc!$E$541&lt;=500,IF(LEN(INDEX('Our policies'!$R$4:$R$503,_calc!$E$541))=0,"",INDEX('Our policies'!$R$4:$R$503,_calc!$E$541)),IF(LEN(INDEX('Vendor COIs'!$O$4:$O$503,(_calc!$E$541-500)))=0,"",INDEX('Vendor COIs'!$O$4:$O$503,(_calc!$E$541-500)))))</f>
        <v/>
      </c>
      <c r="H539" s="46">
        <f>IF(_calc!$E$541="","",IF(_calc!$E$541&lt;=500,IF(LEN(INDEX('Our policies'!$G$4:$G$503,_calc!$E$541))=0,"",INDEX('Our policies'!$G$4:$G$503,_calc!$E$541)),""))</f>
        <v/>
      </c>
      <c r="I539" s="46">
        <f>IF(_calc!$E$541="","",IF(_calc!$E$541&lt;=500,IF(LEN(INDEX('Our policies'!$H$4:$H$503,_calc!$E$541))=0,"",INDEX('Our policies'!$H$4:$H$503,_calc!$E$541)),""))</f>
        <v/>
      </c>
      <c r="K539" s="46">
        <f>IF(_calc!$E$541="","",IF(_calc!$E$541&lt;=500,IF(LEN(INDEX('Our policies'!$P$4:$P$503,_calc!$E$541))=0,"",INDEX('Our policies'!$P$4:$P$503,_calc!$E$541)),IF(LEN(INDEX('Vendor COIs'!$N$4:$N$503,(_calc!$E$541-500)))=0,"",INDEX('Vendor COIs'!$N$4:$N$503,(_calc!$E$541-500)))))</f>
        <v/>
      </c>
    </row>
    <row r="540">
      <c r="A540" s="46">
        <f>IF(_calc!$E$542="","",IF(_calc!$E$542&lt;=500,IF(LEN(INDEX('Our policies'!$A$4:$A$503,_calc!$E$542))=0,"",INDEX('Our policies'!$A$4:$A$503,_calc!$E$542)),"COI – "&amp;IF(LEN(INDEX('Vendor COIs'!$A$4:$A$503,(_calc!$E$542-500)))=0,"",INDEX('Vendor COIs'!$A$4:$A$503,(_calc!$E$542-500)))&amp;" – "&amp;IF(LEN(INDEX('Vendor COIs'!$B$4:$B$503,(_calc!$E$542-500)))=0,"",INDEX('Vendor COIs'!$B$4:$B$503,(_calc!$E$542-500)))))</f>
        <v/>
      </c>
      <c r="B540" s="46">
        <f>IF(_calc!$E$542="","",IF(_calc!$E$542&lt;=500,IF(ISNUMBER(INDEX('Our policies'!$J$4:$J$503,_calc!$E$542)),TEXT(INDEX('Our policies'!$J$4:$J$503,_calc!$E$542),"yyyy-mm-dd"),""),IF(ISNUMBER(INDEX('Vendor COIs'!$H$4:$H$503,(_calc!$E$542-500))),TEXT(INDEX('Vendor COIs'!$H$4:$H$503,(_calc!$E$542-500)),"yyyy-mm-dd"),"")))</f>
        <v/>
      </c>
      <c r="C540" s="46">
        <f>IF(_calc!$E$542="","",IF(_calc!$E$542&lt;=500,"Insurance","Certificate of insurance"))</f>
        <v/>
      </c>
      <c r="D540" s="46">
        <f>IF(_calc!$E$542="","",IF(_calc!$E$542&lt;=500,IF(ISNUMBER(INDEX('Our policies'!$I$4:$I$503,_calc!$E$542)),TEXT(INDEX('Our policies'!$I$4:$I$503,_calc!$E$542),"yyyy-mm-dd"),""),""))</f>
        <v/>
      </c>
      <c r="E540" s="46">
        <f>IF(_calc!$E$542="","",IF(_calc!$E$542&lt;=500,IF(LEN(INDEX('Our policies'!$Q$4:$Q$503,_calc!$E$542))=0,"",INDEX('Our policies'!$Q$4:$Q$503,_calc!$E$542)),"Medium"))</f>
        <v/>
      </c>
      <c r="F540" s="46">
        <f>IF(_calc!$E$542="","",IF(_calc!$E$542&lt;=500,TRIM(IF(LEN(IF(LEN(INDEX('Our policies'!$B$4:$B$503,_calc!$E$542))=0,"",INDEX('Our policies'!$B$4:$B$503,_calc!$E$542)))=0,"","Cover: "&amp;IF(LEN(INDEX('Our policies'!$B$4:$B$503,_calc!$E$542))=0,"",INDEX('Our policies'!$B$4:$B$503,_calc!$E$542))&amp;". ")&amp;IF(LEN(IF(LEN(INDEX('Our policies'!$C$4:$C$503,_calc!$E$542))=0,"",INDEX('Our policies'!$C$4:$C$503,_calc!$E$542)))=0,"","Insurer: "&amp;IF(LEN(INDEX('Our policies'!$C$4:$C$503,_calc!$E$542))=0,"",INDEX('Our policies'!$C$4:$C$503,_calc!$E$542))&amp;". ")&amp;IF(LEN(IF(LEN(INDEX('Our policies'!$D$4:$D$503,_calc!$E$542))=0,"",INDEX('Our policies'!$D$4:$D$503,_calc!$E$542)))=0,"","Broker: "&amp;IF(LEN(INDEX('Our policies'!$D$4:$D$503,_calc!$E$542))=0,"",INDEX('Our policies'!$D$4:$D$503,_calc!$E$542))&amp;". ")&amp;IF(LEN(IF(LEN(INDEX('Our policies'!$E$4:$E$503,_calc!$E$542))=0,"",INDEX('Our policies'!$E$4:$E$503,_calc!$E$542)))=0,"","Policy no.: "&amp;IF(LEN(INDEX('Our policies'!$E$4:$E$503,_calc!$E$542))=0,"",INDEX('Our policies'!$E$4:$E$503,_calc!$E$542))&amp;". ")&amp;IF(LEN(IF(LEN(INDEX('Our policies'!$S$4:$S$503,_calc!$E$542))=0,"",INDEX('Our policies'!$S$4:$S$503,_calc!$E$542)))=0,"",IF(LEN(INDEX('Our policies'!$S$4:$S$503,_calc!$E$542))=0,"",INDEX('Our policies'!$S$4:$S$503,_calc!$E$542)))),TRIM(IF(LEN(IF(LEN(INDEX('Vendor COIs'!$C$4:$C$503,(_calc!$E$542-500)))=0,"",INDEX('Vendor COIs'!$C$4:$C$503,(_calc!$E$542-500))))=0,"","Insurer: "&amp;IF(LEN(INDEX('Vendor COIs'!$C$4:$C$503,(_calc!$E$542-500)))=0,"",INDEX('Vendor COIs'!$C$4:$C$503,(_calc!$E$542-500)))&amp;". ")&amp;IF(LEN(IF(LEN(INDEX('Vendor COIs'!$D$4:$D$503,(_calc!$E$542-500)))=0,"",INDEX('Vendor COIs'!$D$4:$D$503,(_calc!$E$542-500))))=0,"","Policy no.: "&amp;IF(LEN(INDEX('Vendor COIs'!$D$4:$D$503,(_calc!$E$542-500)))=0,"",INDEX('Vendor COIs'!$D$4:$D$503,(_calc!$E$542-500)))&amp;". ")&amp;IF(LEN(IF(LEN(INDEX('Vendor COIs'!$F$4:$F$503,(_calc!$E$542-500)))=0,"",INDEX('Vendor COIs'!$F$4:$F$503,(_calc!$E$542-500))))=0,"","Meets minimum: "&amp;IF(LEN(INDEX('Vendor COIs'!$F$4:$F$503,(_calc!$E$542-500)))=0,"",INDEX('Vendor COIs'!$F$4:$F$503,(_calc!$E$542-500)))&amp;". ")&amp;IF(LEN(IF(LEN(INDEX('Vendor COIs'!$G$4:$G$503,(_calc!$E$542-500)))=0,"",INDEX('Vendor COIs'!$G$4:$G$503,(_calc!$E$542-500))))=0,"","Additional insured: "&amp;IF(LEN(INDEX('Vendor COIs'!$G$4:$G$503,(_calc!$E$542-500)))=0,"",INDEX('Vendor COIs'!$G$4:$G$503,(_calc!$E$542-500)))&amp;". ")&amp;IF(LEN(IF(LEN(INDEX('Vendor COIs'!$M$4:$M$503,(_calc!$E$542-500)))=0,"",INDEX('Vendor COIs'!$M$4:$M$503,(_calc!$E$542-500))))=0,"","Vendor contact: "&amp;IF(LEN(INDEX('Vendor COIs'!$M$4:$M$503,(_calc!$E$542-500)))=0,"",INDEX('Vendor COIs'!$M$4:$M$503,(_calc!$E$542-500)))&amp;". ")&amp;IF(LEN(IF(LEN(INDEX('Vendor COIs'!$P$4:$P$503,(_calc!$E$542-500)))=0,"",INDEX('Vendor COIs'!$P$4:$P$503,(_calc!$E$542-500))))=0,"",IF(LEN(INDEX('Vendor COIs'!$P$4:$P$503,(_calc!$E$542-500)))=0,"",INDEX('Vendor COIs'!$P$4:$P$503,(_calc!$E$542-500)))))))</f>
        <v/>
      </c>
      <c r="G540" s="46">
        <f>IF(_calc!$E$542="","",IF(_calc!$E$542&lt;=500,IF(LEN(INDEX('Our policies'!$R$4:$R$503,_calc!$E$542))=0,"",INDEX('Our policies'!$R$4:$R$503,_calc!$E$542)),IF(LEN(INDEX('Vendor COIs'!$O$4:$O$503,(_calc!$E$542-500)))=0,"",INDEX('Vendor COIs'!$O$4:$O$503,(_calc!$E$542-500)))))</f>
        <v/>
      </c>
      <c r="H540" s="46">
        <f>IF(_calc!$E$542="","",IF(_calc!$E$542&lt;=500,IF(LEN(INDEX('Our policies'!$G$4:$G$503,_calc!$E$542))=0,"",INDEX('Our policies'!$G$4:$G$503,_calc!$E$542)),""))</f>
        <v/>
      </c>
      <c r="I540" s="46">
        <f>IF(_calc!$E$542="","",IF(_calc!$E$542&lt;=500,IF(LEN(INDEX('Our policies'!$H$4:$H$503,_calc!$E$542))=0,"",INDEX('Our policies'!$H$4:$H$503,_calc!$E$542)),""))</f>
        <v/>
      </c>
      <c r="K540" s="46">
        <f>IF(_calc!$E$542="","",IF(_calc!$E$542&lt;=500,IF(LEN(INDEX('Our policies'!$P$4:$P$503,_calc!$E$542))=0,"",INDEX('Our policies'!$P$4:$P$503,_calc!$E$542)),IF(LEN(INDEX('Vendor COIs'!$N$4:$N$503,(_calc!$E$542-500)))=0,"",INDEX('Vendor COIs'!$N$4:$N$503,(_calc!$E$542-500)))))</f>
        <v/>
      </c>
    </row>
    <row r="541">
      <c r="A541" s="46">
        <f>IF(_calc!$E$543="","",IF(_calc!$E$543&lt;=500,IF(LEN(INDEX('Our policies'!$A$4:$A$503,_calc!$E$543))=0,"",INDEX('Our policies'!$A$4:$A$503,_calc!$E$543)),"COI – "&amp;IF(LEN(INDEX('Vendor COIs'!$A$4:$A$503,(_calc!$E$543-500)))=0,"",INDEX('Vendor COIs'!$A$4:$A$503,(_calc!$E$543-500)))&amp;" – "&amp;IF(LEN(INDEX('Vendor COIs'!$B$4:$B$503,(_calc!$E$543-500)))=0,"",INDEX('Vendor COIs'!$B$4:$B$503,(_calc!$E$543-500)))))</f>
        <v/>
      </c>
      <c r="B541" s="46">
        <f>IF(_calc!$E$543="","",IF(_calc!$E$543&lt;=500,IF(ISNUMBER(INDEX('Our policies'!$J$4:$J$503,_calc!$E$543)),TEXT(INDEX('Our policies'!$J$4:$J$503,_calc!$E$543),"yyyy-mm-dd"),""),IF(ISNUMBER(INDEX('Vendor COIs'!$H$4:$H$503,(_calc!$E$543-500))),TEXT(INDEX('Vendor COIs'!$H$4:$H$503,(_calc!$E$543-500)),"yyyy-mm-dd"),"")))</f>
        <v/>
      </c>
      <c r="C541" s="46">
        <f>IF(_calc!$E$543="","",IF(_calc!$E$543&lt;=500,"Insurance","Certificate of insurance"))</f>
        <v/>
      </c>
      <c r="D541" s="46">
        <f>IF(_calc!$E$543="","",IF(_calc!$E$543&lt;=500,IF(ISNUMBER(INDEX('Our policies'!$I$4:$I$503,_calc!$E$543)),TEXT(INDEX('Our policies'!$I$4:$I$503,_calc!$E$543),"yyyy-mm-dd"),""),""))</f>
        <v/>
      </c>
      <c r="E541" s="46">
        <f>IF(_calc!$E$543="","",IF(_calc!$E$543&lt;=500,IF(LEN(INDEX('Our policies'!$Q$4:$Q$503,_calc!$E$543))=0,"",INDEX('Our policies'!$Q$4:$Q$503,_calc!$E$543)),"Medium"))</f>
        <v/>
      </c>
      <c r="F541" s="46">
        <f>IF(_calc!$E$543="","",IF(_calc!$E$543&lt;=500,TRIM(IF(LEN(IF(LEN(INDEX('Our policies'!$B$4:$B$503,_calc!$E$543))=0,"",INDEX('Our policies'!$B$4:$B$503,_calc!$E$543)))=0,"","Cover: "&amp;IF(LEN(INDEX('Our policies'!$B$4:$B$503,_calc!$E$543))=0,"",INDEX('Our policies'!$B$4:$B$503,_calc!$E$543))&amp;". ")&amp;IF(LEN(IF(LEN(INDEX('Our policies'!$C$4:$C$503,_calc!$E$543))=0,"",INDEX('Our policies'!$C$4:$C$503,_calc!$E$543)))=0,"","Insurer: "&amp;IF(LEN(INDEX('Our policies'!$C$4:$C$503,_calc!$E$543))=0,"",INDEX('Our policies'!$C$4:$C$503,_calc!$E$543))&amp;". ")&amp;IF(LEN(IF(LEN(INDEX('Our policies'!$D$4:$D$503,_calc!$E$543))=0,"",INDEX('Our policies'!$D$4:$D$503,_calc!$E$543)))=0,"","Broker: "&amp;IF(LEN(INDEX('Our policies'!$D$4:$D$503,_calc!$E$543))=0,"",INDEX('Our policies'!$D$4:$D$503,_calc!$E$543))&amp;". ")&amp;IF(LEN(IF(LEN(INDEX('Our policies'!$E$4:$E$503,_calc!$E$543))=0,"",INDEX('Our policies'!$E$4:$E$503,_calc!$E$543)))=0,"","Policy no.: "&amp;IF(LEN(INDEX('Our policies'!$E$4:$E$503,_calc!$E$543))=0,"",INDEX('Our policies'!$E$4:$E$503,_calc!$E$543))&amp;". ")&amp;IF(LEN(IF(LEN(INDEX('Our policies'!$S$4:$S$503,_calc!$E$543))=0,"",INDEX('Our policies'!$S$4:$S$503,_calc!$E$543)))=0,"",IF(LEN(INDEX('Our policies'!$S$4:$S$503,_calc!$E$543))=0,"",INDEX('Our policies'!$S$4:$S$503,_calc!$E$543)))),TRIM(IF(LEN(IF(LEN(INDEX('Vendor COIs'!$C$4:$C$503,(_calc!$E$543-500)))=0,"",INDEX('Vendor COIs'!$C$4:$C$503,(_calc!$E$543-500))))=0,"","Insurer: "&amp;IF(LEN(INDEX('Vendor COIs'!$C$4:$C$503,(_calc!$E$543-500)))=0,"",INDEX('Vendor COIs'!$C$4:$C$503,(_calc!$E$543-500)))&amp;". ")&amp;IF(LEN(IF(LEN(INDEX('Vendor COIs'!$D$4:$D$503,(_calc!$E$543-500)))=0,"",INDEX('Vendor COIs'!$D$4:$D$503,(_calc!$E$543-500))))=0,"","Policy no.: "&amp;IF(LEN(INDEX('Vendor COIs'!$D$4:$D$503,(_calc!$E$543-500)))=0,"",INDEX('Vendor COIs'!$D$4:$D$503,(_calc!$E$543-500)))&amp;". ")&amp;IF(LEN(IF(LEN(INDEX('Vendor COIs'!$F$4:$F$503,(_calc!$E$543-500)))=0,"",INDEX('Vendor COIs'!$F$4:$F$503,(_calc!$E$543-500))))=0,"","Meets minimum: "&amp;IF(LEN(INDEX('Vendor COIs'!$F$4:$F$503,(_calc!$E$543-500)))=0,"",INDEX('Vendor COIs'!$F$4:$F$503,(_calc!$E$543-500)))&amp;". ")&amp;IF(LEN(IF(LEN(INDEX('Vendor COIs'!$G$4:$G$503,(_calc!$E$543-500)))=0,"",INDEX('Vendor COIs'!$G$4:$G$503,(_calc!$E$543-500))))=0,"","Additional insured: "&amp;IF(LEN(INDEX('Vendor COIs'!$G$4:$G$503,(_calc!$E$543-500)))=0,"",INDEX('Vendor COIs'!$G$4:$G$503,(_calc!$E$543-500)))&amp;". ")&amp;IF(LEN(IF(LEN(INDEX('Vendor COIs'!$M$4:$M$503,(_calc!$E$543-500)))=0,"",INDEX('Vendor COIs'!$M$4:$M$503,(_calc!$E$543-500))))=0,"","Vendor contact: "&amp;IF(LEN(INDEX('Vendor COIs'!$M$4:$M$503,(_calc!$E$543-500)))=0,"",INDEX('Vendor COIs'!$M$4:$M$503,(_calc!$E$543-500)))&amp;". ")&amp;IF(LEN(IF(LEN(INDEX('Vendor COIs'!$P$4:$P$503,(_calc!$E$543-500)))=0,"",INDEX('Vendor COIs'!$P$4:$P$503,(_calc!$E$543-500))))=0,"",IF(LEN(INDEX('Vendor COIs'!$P$4:$P$503,(_calc!$E$543-500)))=0,"",INDEX('Vendor COIs'!$P$4:$P$503,(_calc!$E$543-500)))))))</f>
        <v/>
      </c>
      <c r="G541" s="46">
        <f>IF(_calc!$E$543="","",IF(_calc!$E$543&lt;=500,IF(LEN(INDEX('Our policies'!$R$4:$R$503,_calc!$E$543))=0,"",INDEX('Our policies'!$R$4:$R$503,_calc!$E$543)),IF(LEN(INDEX('Vendor COIs'!$O$4:$O$503,(_calc!$E$543-500)))=0,"",INDEX('Vendor COIs'!$O$4:$O$503,(_calc!$E$543-500)))))</f>
        <v/>
      </c>
      <c r="H541" s="46">
        <f>IF(_calc!$E$543="","",IF(_calc!$E$543&lt;=500,IF(LEN(INDEX('Our policies'!$G$4:$G$503,_calc!$E$543))=0,"",INDEX('Our policies'!$G$4:$G$503,_calc!$E$543)),""))</f>
        <v/>
      </c>
      <c r="I541" s="46">
        <f>IF(_calc!$E$543="","",IF(_calc!$E$543&lt;=500,IF(LEN(INDEX('Our policies'!$H$4:$H$503,_calc!$E$543))=0,"",INDEX('Our policies'!$H$4:$H$503,_calc!$E$543)),""))</f>
        <v/>
      </c>
      <c r="K541" s="46">
        <f>IF(_calc!$E$543="","",IF(_calc!$E$543&lt;=500,IF(LEN(INDEX('Our policies'!$P$4:$P$503,_calc!$E$543))=0,"",INDEX('Our policies'!$P$4:$P$503,_calc!$E$543)),IF(LEN(INDEX('Vendor COIs'!$N$4:$N$503,(_calc!$E$543-500)))=0,"",INDEX('Vendor COIs'!$N$4:$N$503,(_calc!$E$543-500)))))</f>
        <v/>
      </c>
    </row>
    <row r="542">
      <c r="A542" s="46">
        <f>IF(_calc!$E$544="","",IF(_calc!$E$544&lt;=500,IF(LEN(INDEX('Our policies'!$A$4:$A$503,_calc!$E$544))=0,"",INDEX('Our policies'!$A$4:$A$503,_calc!$E$544)),"COI – "&amp;IF(LEN(INDEX('Vendor COIs'!$A$4:$A$503,(_calc!$E$544-500)))=0,"",INDEX('Vendor COIs'!$A$4:$A$503,(_calc!$E$544-500)))&amp;" – "&amp;IF(LEN(INDEX('Vendor COIs'!$B$4:$B$503,(_calc!$E$544-500)))=0,"",INDEX('Vendor COIs'!$B$4:$B$503,(_calc!$E$544-500)))))</f>
        <v/>
      </c>
      <c r="B542" s="46">
        <f>IF(_calc!$E$544="","",IF(_calc!$E$544&lt;=500,IF(ISNUMBER(INDEX('Our policies'!$J$4:$J$503,_calc!$E$544)),TEXT(INDEX('Our policies'!$J$4:$J$503,_calc!$E$544),"yyyy-mm-dd"),""),IF(ISNUMBER(INDEX('Vendor COIs'!$H$4:$H$503,(_calc!$E$544-500))),TEXT(INDEX('Vendor COIs'!$H$4:$H$503,(_calc!$E$544-500)),"yyyy-mm-dd"),"")))</f>
        <v/>
      </c>
      <c r="C542" s="46">
        <f>IF(_calc!$E$544="","",IF(_calc!$E$544&lt;=500,"Insurance","Certificate of insurance"))</f>
        <v/>
      </c>
      <c r="D542" s="46">
        <f>IF(_calc!$E$544="","",IF(_calc!$E$544&lt;=500,IF(ISNUMBER(INDEX('Our policies'!$I$4:$I$503,_calc!$E$544)),TEXT(INDEX('Our policies'!$I$4:$I$503,_calc!$E$544),"yyyy-mm-dd"),""),""))</f>
        <v/>
      </c>
      <c r="E542" s="46">
        <f>IF(_calc!$E$544="","",IF(_calc!$E$544&lt;=500,IF(LEN(INDEX('Our policies'!$Q$4:$Q$503,_calc!$E$544))=0,"",INDEX('Our policies'!$Q$4:$Q$503,_calc!$E$544)),"Medium"))</f>
        <v/>
      </c>
      <c r="F542" s="46">
        <f>IF(_calc!$E$544="","",IF(_calc!$E$544&lt;=500,TRIM(IF(LEN(IF(LEN(INDEX('Our policies'!$B$4:$B$503,_calc!$E$544))=0,"",INDEX('Our policies'!$B$4:$B$503,_calc!$E$544)))=0,"","Cover: "&amp;IF(LEN(INDEX('Our policies'!$B$4:$B$503,_calc!$E$544))=0,"",INDEX('Our policies'!$B$4:$B$503,_calc!$E$544))&amp;". ")&amp;IF(LEN(IF(LEN(INDEX('Our policies'!$C$4:$C$503,_calc!$E$544))=0,"",INDEX('Our policies'!$C$4:$C$503,_calc!$E$544)))=0,"","Insurer: "&amp;IF(LEN(INDEX('Our policies'!$C$4:$C$503,_calc!$E$544))=0,"",INDEX('Our policies'!$C$4:$C$503,_calc!$E$544))&amp;". ")&amp;IF(LEN(IF(LEN(INDEX('Our policies'!$D$4:$D$503,_calc!$E$544))=0,"",INDEX('Our policies'!$D$4:$D$503,_calc!$E$544)))=0,"","Broker: "&amp;IF(LEN(INDEX('Our policies'!$D$4:$D$503,_calc!$E$544))=0,"",INDEX('Our policies'!$D$4:$D$503,_calc!$E$544))&amp;". ")&amp;IF(LEN(IF(LEN(INDEX('Our policies'!$E$4:$E$503,_calc!$E$544))=0,"",INDEX('Our policies'!$E$4:$E$503,_calc!$E$544)))=0,"","Policy no.: "&amp;IF(LEN(INDEX('Our policies'!$E$4:$E$503,_calc!$E$544))=0,"",INDEX('Our policies'!$E$4:$E$503,_calc!$E$544))&amp;". ")&amp;IF(LEN(IF(LEN(INDEX('Our policies'!$S$4:$S$503,_calc!$E$544))=0,"",INDEX('Our policies'!$S$4:$S$503,_calc!$E$544)))=0,"",IF(LEN(INDEX('Our policies'!$S$4:$S$503,_calc!$E$544))=0,"",INDEX('Our policies'!$S$4:$S$503,_calc!$E$544)))),TRIM(IF(LEN(IF(LEN(INDEX('Vendor COIs'!$C$4:$C$503,(_calc!$E$544-500)))=0,"",INDEX('Vendor COIs'!$C$4:$C$503,(_calc!$E$544-500))))=0,"","Insurer: "&amp;IF(LEN(INDEX('Vendor COIs'!$C$4:$C$503,(_calc!$E$544-500)))=0,"",INDEX('Vendor COIs'!$C$4:$C$503,(_calc!$E$544-500)))&amp;". ")&amp;IF(LEN(IF(LEN(INDEX('Vendor COIs'!$D$4:$D$503,(_calc!$E$544-500)))=0,"",INDEX('Vendor COIs'!$D$4:$D$503,(_calc!$E$544-500))))=0,"","Policy no.: "&amp;IF(LEN(INDEX('Vendor COIs'!$D$4:$D$503,(_calc!$E$544-500)))=0,"",INDEX('Vendor COIs'!$D$4:$D$503,(_calc!$E$544-500)))&amp;". ")&amp;IF(LEN(IF(LEN(INDEX('Vendor COIs'!$F$4:$F$503,(_calc!$E$544-500)))=0,"",INDEX('Vendor COIs'!$F$4:$F$503,(_calc!$E$544-500))))=0,"","Meets minimum: "&amp;IF(LEN(INDEX('Vendor COIs'!$F$4:$F$503,(_calc!$E$544-500)))=0,"",INDEX('Vendor COIs'!$F$4:$F$503,(_calc!$E$544-500)))&amp;". ")&amp;IF(LEN(IF(LEN(INDEX('Vendor COIs'!$G$4:$G$503,(_calc!$E$544-500)))=0,"",INDEX('Vendor COIs'!$G$4:$G$503,(_calc!$E$544-500))))=0,"","Additional insured: "&amp;IF(LEN(INDEX('Vendor COIs'!$G$4:$G$503,(_calc!$E$544-500)))=0,"",INDEX('Vendor COIs'!$G$4:$G$503,(_calc!$E$544-500)))&amp;". ")&amp;IF(LEN(IF(LEN(INDEX('Vendor COIs'!$M$4:$M$503,(_calc!$E$544-500)))=0,"",INDEX('Vendor COIs'!$M$4:$M$503,(_calc!$E$544-500))))=0,"","Vendor contact: "&amp;IF(LEN(INDEX('Vendor COIs'!$M$4:$M$503,(_calc!$E$544-500)))=0,"",INDEX('Vendor COIs'!$M$4:$M$503,(_calc!$E$544-500)))&amp;". ")&amp;IF(LEN(IF(LEN(INDEX('Vendor COIs'!$P$4:$P$503,(_calc!$E$544-500)))=0,"",INDEX('Vendor COIs'!$P$4:$P$503,(_calc!$E$544-500))))=0,"",IF(LEN(INDEX('Vendor COIs'!$P$4:$P$503,(_calc!$E$544-500)))=0,"",INDEX('Vendor COIs'!$P$4:$P$503,(_calc!$E$544-500)))))))</f>
        <v/>
      </c>
      <c r="G542" s="46">
        <f>IF(_calc!$E$544="","",IF(_calc!$E$544&lt;=500,IF(LEN(INDEX('Our policies'!$R$4:$R$503,_calc!$E$544))=0,"",INDEX('Our policies'!$R$4:$R$503,_calc!$E$544)),IF(LEN(INDEX('Vendor COIs'!$O$4:$O$503,(_calc!$E$544-500)))=0,"",INDEX('Vendor COIs'!$O$4:$O$503,(_calc!$E$544-500)))))</f>
        <v/>
      </c>
      <c r="H542" s="46">
        <f>IF(_calc!$E$544="","",IF(_calc!$E$544&lt;=500,IF(LEN(INDEX('Our policies'!$G$4:$G$503,_calc!$E$544))=0,"",INDEX('Our policies'!$G$4:$G$503,_calc!$E$544)),""))</f>
        <v/>
      </c>
      <c r="I542" s="46">
        <f>IF(_calc!$E$544="","",IF(_calc!$E$544&lt;=500,IF(LEN(INDEX('Our policies'!$H$4:$H$503,_calc!$E$544))=0,"",INDEX('Our policies'!$H$4:$H$503,_calc!$E$544)),""))</f>
        <v/>
      </c>
      <c r="K542" s="46">
        <f>IF(_calc!$E$544="","",IF(_calc!$E$544&lt;=500,IF(LEN(INDEX('Our policies'!$P$4:$P$503,_calc!$E$544))=0,"",INDEX('Our policies'!$P$4:$P$503,_calc!$E$544)),IF(LEN(INDEX('Vendor COIs'!$N$4:$N$503,(_calc!$E$544-500)))=0,"",INDEX('Vendor COIs'!$N$4:$N$503,(_calc!$E$544-500)))))</f>
        <v/>
      </c>
    </row>
    <row r="543">
      <c r="A543" s="46">
        <f>IF(_calc!$E$545="","",IF(_calc!$E$545&lt;=500,IF(LEN(INDEX('Our policies'!$A$4:$A$503,_calc!$E$545))=0,"",INDEX('Our policies'!$A$4:$A$503,_calc!$E$545)),"COI – "&amp;IF(LEN(INDEX('Vendor COIs'!$A$4:$A$503,(_calc!$E$545-500)))=0,"",INDEX('Vendor COIs'!$A$4:$A$503,(_calc!$E$545-500)))&amp;" – "&amp;IF(LEN(INDEX('Vendor COIs'!$B$4:$B$503,(_calc!$E$545-500)))=0,"",INDEX('Vendor COIs'!$B$4:$B$503,(_calc!$E$545-500)))))</f>
        <v/>
      </c>
      <c r="B543" s="46">
        <f>IF(_calc!$E$545="","",IF(_calc!$E$545&lt;=500,IF(ISNUMBER(INDEX('Our policies'!$J$4:$J$503,_calc!$E$545)),TEXT(INDEX('Our policies'!$J$4:$J$503,_calc!$E$545),"yyyy-mm-dd"),""),IF(ISNUMBER(INDEX('Vendor COIs'!$H$4:$H$503,(_calc!$E$545-500))),TEXT(INDEX('Vendor COIs'!$H$4:$H$503,(_calc!$E$545-500)),"yyyy-mm-dd"),"")))</f>
        <v/>
      </c>
      <c r="C543" s="46">
        <f>IF(_calc!$E$545="","",IF(_calc!$E$545&lt;=500,"Insurance","Certificate of insurance"))</f>
        <v/>
      </c>
      <c r="D543" s="46">
        <f>IF(_calc!$E$545="","",IF(_calc!$E$545&lt;=500,IF(ISNUMBER(INDEX('Our policies'!$I$4:$I$503,_calc!$E$545)),TEXT(INDEX('Our policies'!$I$4:$I$503,_calc!$E$545),"yyyy-mm-dd"),""),""))</f>
        <v/>
      </c>
      <c r="E543" s="46">
        <f>IF(_calc!$E$545="","",IF(_calc!$E$545&lt;=500,IF(LEN(INDEX('Our policies'!$Q$4:$Q$503,_calc!$E$545))=0,"",INDEX('Our policies'!$Q$4:$Q$503,_calc!$E$545)),"Medium"))</f>
        <v/>
      </c>
      <c r="F543" s="46">
        <f>IF(_calc!$E$545="","",IF(_calc!$E$545&lt;=500,TRIM(IF(LEN(IF(LEN(INDEX('Our policies'!$B$4:$B$503,_calc!$E$545))=0,"",INDEX('Our policies'!$B$4:$B$503,_calc!$E$545)))=0,"","Cover: "&amp;IF(LEN(INDEX('Our policies'!$B$4:$B$503,_calc!$E$545))=0,"",INDEX('Our policies'!$B$4:$B$503,_calc!$E$545))&amp;". ")&amp;IF(LEN(IF(LEN(INDEX('Our policies'!$C$4:$C$503,_calc!$E$545))=0,"",INDEX('Our policies'!$C$4:$C$503,_calc!$E$545)))=0,"","Insurer: "&amp;IF(LEN(INDEX('Our policies'!$C$4:$C$503,_calc!$E$545))=0,"",INDEX('Our policies'!$C$4:$C$503,_calc!$E$545))&amp;". ")&amp;IF(LEN(IF(LEN(INDEX('Our policies'!$D$4:$D$503,_calc!$E$545))=0,"",INDEX('Our policies'!$D$4:$D$503,_calc!$E$545)))=0,"","Broker: "&amp;IF(LEN(INDEX('Our policies'!$D$4:$D$503,_calc!$E$545))=0,"",INDEX('Our policies'!$D$4:$D$503,_calc!$E$545))&amp;". ")&amp;IF(LEN(IF(LEN(INDEX('Our policies'!$E$4:$E$503,_calc!$E$545))=0,"",INDEX('Our policies'!$E$4:$E$503,_calc!$E$545)))=0,"","Policy no.: "&amp;IF(LEN(INDEX('Our policies'!$E$4:$E$503,_calc!$E$545))=0,"",INDEX('Our policies'!$E$4:$E$503,_calc!$E$545))&amp;". ")&amp;IF(LEN(IF(LEN(INDEX('Our policies'!$S$4:$S$503,_calc!$E$545))=0,"",INDEX('Our policies'!$S$4:$S$503,_calc!$E$545)))=0,"",IF(LEN(INDEX('Our policies'!$S$4:$S$503,_calc!$E$545))=0,"",INDEX('Our policies'!$S$4:$S$503,_calc!$E$545)))),TRIM(IF(LEN(IF(LEN(INDEX('Vendor COIs'!$C$4:$C$503,(_calc!$E$545-500)))=0,"",INDEX('Vendor COIs'!$C$4:$C$503,(_calc!$E$545-500))))=0,"","Insurer: "&amp;IF(LEN(INDEX('Vendor COIs'!$C$4:$C$503,(_calc!$E$545-500)))=0,"",INDEX('Vendor COIs'!$C$4:$C$503,(_calc!$E$545-500)))&amp;". ")&amp;IF(LEN(IF(LEN(INDEX('Vendor COIs'!$D$4:$D$503,(_calc!$E$545-500)))=0,"",INDEX('Vendor COIs'!$D$4:$D$503,(_calc!$E$545-500))))=0,"","Policy no.: "&amp;IF(LEN(INDEX('Vendor COIs'!$D$4:$D$503,(_calc!$E$545-500)))=0,"",INDEX('Vendor COIs'!$D$4:$D$503,(_calc!$E$545-500)))&amp;". ")&amp;IF(LEN(IF(LEN(INDEX('Vendor COIs'!$F$4:$F$503,(_calc!$E$545-500)))=0,"",INDEX('Vendor COIs'!$F$4:$F$503,(_calc!$E$545-500))))=0,"","Meets minimum: "&amp;IF(LEN(INDEX('Vendor COIs'!$F$4:$F$503,(_calc!$E$545-500)))=0,"",INDEX('Vendor COIs'!$F$4:$F$503,(_calc!$E$545-500)))&amp;". ")&amp;IF(LEN(IF(LEN(INDEX('Vendor COIs'!$G$4:$G$503,(_calc!$E$545-500)))=0,"",INDEX('Vendor COIs'!$G$4:$G$503,(_calc!$E$545-500))))=0,"","Additional insured: "&amp;IF(LEN(INDEX('Vendor COIs'!$G$4:$G$503,(_calc!$E$545-500)))=0,"",INDEX('Vendor COIs'!$G$4:$G$503,(_calc!$E$545-500)))&amp;". ")&amp;IF(LEN(IF(LEN(INDEX('Vendor COIs'!$M$4:$M$503,(_calc!$E$545-500)))=0,"",INDEX('Vendor COIs'!$M$4:$M$503,(_calc!$E$545-500))))=0,"","Vendor contact: "&amp;IF(LEN(INDEX('Vendor COIs'!$M$4:$M$503,(_calc!$E$545-500)))=0,"",INDEX('Vendor COIs'!$M$4:$M$503,(_calc!$E$545-500)))&amp;". ")&amp;IF(LEN(IF(LEN(INDEX('Vendor COIs'!$P$4:$P$503,(_calc!$E$545-500)))=0,"",INDEX('Vendor COIs'!$P$4:$P$503,(_calc!$E$545-500))))=0,"",IF(LEN(INDEX('Vendor COIs'!$P$4:$P$503,(_calc!$E$545-500)))=0,"",INDEX('Vendor COIs'!$P$4:$P$503,(_calc!$E$545-500)))))))</f>
        <v/>
      </c>
      <c r="G543" s="46">
        <f>IF(_calc!$E$545="","",IF(_calc!$E$545&lt;=500,IF(LEN(INDEX('Our policies'!$R$4:$R$503,_calc!$E$545))=0,"",INDEX('Our policies'!$R$4:$R$503,_calc!$E$545)),IF(LEN(INDEX('Vendor COIs'!$O$4:$O$503,(_calc!$E$545-500)))=0,"",INDEX('Vendor COIs'!$O$4:$O$503,(_calc!$E$545-500)))))</f>
        <v/>
      </c>
      <c r="H543" s="46">
        <f>IF(_calc!$E$545="","",IF(_calc!$E$545&lt;=500,IF(LEN(INDEX('Our policies'!$G$4:$G$503,_calc!$E$545))=0,"",INDEX('Our policies'!$G$4:$G$503,_calc!$E$545)),""))</f>
        <v/>
      </c>
      <c r="I543" s="46">
        <f>IF(_calc!$E$545="","",IF(_calc!$E$545&lt;=500,IF(LEN(INDEX('Our policies'!$H$4:$H$503,_calc!$E$545))=0,"",INDEX('Our policies'!$H$4:$H$503,_calc!$E$545)),""))</f>
        <v/>
      </c>
      <c r="K543" s="46">
        <f>IF(_calc!$E$545="","",IF(_calc!$E$545&lt;=500,IF(LEN(INDEX('Our policies'!$P$4:$P$503,_calc!$E$545))=0,"",INDEX('Our policies'!$P$4:$P$503,_calc!$E$545)),IF(LEN(INDEX('Vendor COIs'!$N$4:$N$503,(_calc!$E$545-500)))=0,"",INDEX('Vendor COIs'!$N$4:$N$503,(_calc!$E$545-500)))))</f>
        <v/>
      </c>
    </row>
    <row r="544">
      <c r="A544" s="46">
        <f>IF(_calc!$E$546="","",IF(_calc!$E$546&lt;=500,IF(LEN(INDEX('Our policies'!$A$4:$A$503,_calc!$E$546))=0,"",INDEX('Our policies'!$A$4:$A$503,_calc!$E$546)),"COI – "&amp;IF(LEN(INDEX('Vendor COIs'!$A$4:$A$503,(_calc!$E$546-500)))=0,"",INDEX('Vendor COIs'!$A$4:$A$503,(_calc!$E$546-500)))&amp;" – "&amp;IF(LEN(INDEX('Vendor COIs'!$B$4:$B$503,(_calc!$E$546-500)))=0,"",INDEX('Vendor COIs'!$B$4:$B$503,(_calc!$E$546-500)))))</f>
        <v/>
      </c>
      <c r="B544" s="46">
        <f>IF(_calc!$E$546="","",IF(_calc!$E$546&lt;=500,IF(ISNUMBER(INDEX('Our policies'!$J$4:$J$503,_calc!$E$546)),TEXT(INDEX('Our policies'!$J$4:$J$503,_calc!$E$546),"yyyy-mm-dd"),""),IF(ISNUMBER(INDEX('Vendor COIs'!$H$4:$H$503,(_calc!$E$546-500))),TEXT(INDEX('Vendor COIs'!$H$4:$H$503,(_calc!$E$546-500)),"yyyy-mm-dd"),"")))</f>
        <v/>
      </c>
      <c r="C544" s="46">
        <f>IF(_calc!$E$546="","",IF(_calc!$E$546&lt;=500,"Insurance","Certificate of insurance"))</f>
        <v/>
      </c>
      <c r="D544" s="46">
        <f>IF(_calc!$E$546="","",IF(_calc!$E$546&lt;=500,IF(ISNUMBER(INDEX('Our policies'!$I$4:$I$503,_calc!$E$546)),TEXT(INDEX('Our policies'!$I$4:$I$503,_calc!$E$546),"yyyy-mm-dd"),""),""))</f>
        <v/>
      </c>
      <c r="E544" s="46">
        <f>IF(_calc!$E$546="","",IF(_calc!$E$546&lt;=500,IF(LEN(INDEX('Our policies'!$Q$4:$Q$503,_calc!$E$546))=0,"",INDEX('Our policies'!$Q$4:$Q$503,_calc!$E$546)),"Medium"))</f>
        <v/>
      </c>
      <c r="F544" s="46">
        <f>IF(_calc!$E$546="","",IF(_calc!$E$546&lt;=500,TRIM(IF(LEN(IF(LEN(INDEX('Our policies'!$B$4:$B$503,_calc!$E$546))=0,"",INDEX('Our policies'!$B$4:$B$503,_calc!$E$546)))=0,"","Cover: "&amp;IF(LEN(INDEX('Our policies'!$B$4:$B$503,_calc!$E$546))=0,"",INDEX('Our policies'!$B$4:$B$503,_calc!$E$546))&amp;". ")&amp;IF(LEN(IF(LEN(INDEX('Our policies'!$C$4:$C$503,_calc!$E$546))=0,"",INDEX('Our policies'!$C$4:$C$503,_calc!$E$546)))=0,"","Insurer: "&amp;IF(LEN(INDEX('Our policies'!$C$4:$C$503,_calc!$E$546))=0,"",INDEX('Our policies'!$C$4:$C$503,_calc!$E$546))&amp;". ")&amp;IF(LEN(IF(LEN(INDEX('Our policies'!$D$4:$D$503,_calc!$E$546))=0,"",INDEX('Our policies'!$D$4:$D$503,_calc!$E$546)))=0,"","Broker: "&amp;IF(LEN(INDEX('Our policies'!$D$4:$D$503,_calc!$E$546))=0,"",INDEX('Our policies'!$D$4:$D$503,_calc!$E$546))&amp;". ")&amp;IF(LEN(IF(LEN(INDEX('Our policies'!$E$4:$E$503,_calc!$E$546))=0,"",INDEX('Our policies'!$E$4:$E$503,_calc!$E$546)))=0,"","Policy no.: "&amp;IF(LEN(INDEX('Our policies'!$E$4:$E$503,_calc!$E$546))=0,"",INDEX('Our policies'!$E$4:$E$503,_calc!$E$546))&amp;". ")&amp;IF(LEN(IF(LEN(INDEX('Our policies'!$S$4:$S$503,_calc!$E$546))=0,"",INDEX('Our policies'!$S$4:$S$503,_calc!$E$546)))=0,"",IF(LEN(INDEX('Our policies'!$S$4:$S$503,_calc!$E$546))=0,"",INDEX('Our policies'!$S$4:$S$503,_calc!$E$546)))),TRIM(IF(LEN(IF(LEN(INDEX('Vendor COIs'!$C$4:$C$503,(_calc!$E$546-500)))=0,"",INDEX('Vendor COIs'!$C$4:$C$503,(_calc!$E$546-500))))=0,"","Insurer: "&amp;IF(LEN(INDEX('Vendor COIs'!$C$4:$C$503,(_calc!$E$546-500)))=0,"",INDEX('Vendor COIs'!$C$4:$C$503,(_calc!$E$546-500)))&amp;". ")&amp;IF(LEN(IF(LEN(INDEX('Vendor COIs'!$D$4:$D$503,(_calc!$E$546-500)))=0,"",INDEX('Vendor COIs'!$D$4:$D$503,(_calc!$E$546-500))))=0,"","Policy no.: "&amp;IF(LEN(INDEX('Vendor COIs'!$D$4:$D$503,(_calc!$E$546-500)))=0,"",INDEX('Vendor COIs'!$D$4:$D$503,(_calc!$E$546-500)))&amp;". ")&amp;IF(LEN(IF(LEN(INDEX('Vendor COIs'!$F$4:$F$503,(_calc!$E$546-500)))=0,"",INDEX('Vendor COIs'!$F$4:$F$503,(_calc!$E$546-500))))=0,"","Meets minimum: "&amp;IF(LEN(INDEX('Vendor COIs'!$F$4:$F$503,(_calc!$E$546-500)))=0,"",INDEX('Vendor COIs'!$F$4:$F$503,(_calc!$E$546-500)))&amp;". ")&amp;IF(LEN(IF(LEN(INDEX('Vendor COIs'!$G$4:$G$503,(_calc!$E$546-500)))=0,"",INDEX('Vendor COIs'!$G$4:$G$503,(_calc!$E$546-500))))=0,"","Additional insured: "&amp;IF(LEN(INDEX('Vendor COIs'!$G$4:$G$503,(_calc!$E$546-500)))=0,"",INDEX('Vendor COIs'!$G$4:$G$503,(_calc!$E$546-500)))&amp;". ")&amp;IF(LEN(IF(LEN(INDEX('Vendor COIs'!$M$4:$M$503,(_calc!$E$546-500)))=0,"",INDEX('Vendor COIs'!$M$4:$M$503,(_calc!$E$546-500))))=0,"","Vendor contact: "&amp;IF(LEN(INDEX('Vendor COIs'!$M$4:$M$503,(_calc!$E$546-500)))=0,"",INDEX('Vendor COIs'!$M$4:$M$503,(_calc!$E$546-500)))&amp;". ")&amp;IF(LEN(IF(LEN(INDEX('Vendor COIs'!$P$4:$P$503,(_calc!$E$546-500)))=0,"",INDEX('Vendor COIs'!$P$4:$P$503,(_calc!$E$546-500))))=0,"",IF(LEN(INDEX('Vendor COIs'!$P$4:$P$503,(_calc!$E$546-500)))=0,"",INDEX('Vendor COIs'!$P$4:$P$503,(_calc!$E$546-500)))))))</f>
        <v/>
      </c>
      <c r="G544" s="46">
        <f>IF(_calc!$E$546="","",IF(_calc!$E$546&lt;=500,IF(LEN(INDEX('Our policies'!$R$4:$R$503,_calc!$E$546))=0,"",INDEX('Our policies'!$R$4:$R$503,_calc!$E$546)),IF(LEN(INDEX('Vendor COIs'!$O$4:$O$503,(_calc!$E$546-500)))=0,"",INDEX('Vendor COIs'!$O$4:$O$503,(_calc!$E$546-500)))))</f>
        <v/>
      </c>
      <c r="H544" s="46">
        <f>IF(_calc!$E$546="","",IF(_calc!$E$546&lt;=500,IF(LEN(INDEX('Our policies'!$G$4:$G$503,_calc!$E$546))=0,"",INDEX('Our policies'!$G$4:$G$503,_calc!$E$546)),""))</f>
        <v/>
      </c>
      <c r="I544" s="46">
        <f>IF(_calc!$E$546="","",IF(_calc!$E$546&lt;=500,IF(LEN(INDEX('Our policies'!$H$4:$H$503,_calc!$E$546))=0,"",INDEX('Our policies'!$H$4:$H$503,_calc!$E$546)),""))</f>
        <v/>
      </c>
      <c r="K544" s="46">
        <f>IF(_calc!$E$546="","",IF(_calc!$E$546&lt;=500,IF(LEN(INDEX('Our policies'!$P$4:$P$503,_calc!$E$546))=0,"",INDEX('Our policies'!$P$4:$P$503,_calc!$E$546)),IF(LEN(INDEX('Vendor COIs'!$N$4:$N$503,(_calc!$E$546-500)))=0,"",INDEX('Vendor COIs'!$N$4:$N$503,(_calc!$E$546-500)))))</f>
        <v/>
      </c>
    </row>
    <row r="545">
      <c r="A545" s="46">
        <f>IF(_calc!$E$547="","",IF(_calc!$E$547&lt;=500,IF(LEN(INDEX('Our policies'!$A$4:$A$503,_calc!$E$547))=0,"",INDEX('Our policies'!$A$4:$A$503,_calc!$E$547)),"COI – "&amp;IF(LEN(INDEX('Vendor COIs'!$A$4:$A$503,(_calc!$E$547-500)))=0,"",INDEX('Vendor COIs'!$A$4:$A$503,(_calc!$E$547-500)))&amp;" – "&amp;IF(LEN(INDEX('Vendor COIs'!$B$4:$B$503,(_calc!$E$547-500)))=0,"",INDEX('Vendor COIs'!$B$4:$B$503,(_calc!$E$547-500)))))</f>
        <v/>
      </c>
      <c r="B545" s="46">
        <f>IF(_calc!$E$547="","",IF(_calc!$E$547&lt;=500,IF(ISNUMBER(INDEX('Our policies'!$J$4:$J$503,_calc!$E$547)),TEXT(INDEX('Our policies'!$J$4:$J$503,_calc!$E$547),"yyyy-mm-dd"),""),IF(ISNUMBER(INDEX('Vendor COIs'!$H$4:$H$503,(_calc!$E$547-500))),TEXT(INDEX('Vendor COIs'!$H$4:$H$503,(_calc!$E$547-500)),"yyyy-mm-dd"),"")))</f>
        <v/>
      </c>
      <c r="C545" s="46">
        <f>IF(_calc!$E$547="","",IF(_calc!$E$547&lt;=500,"Insurance","Certificate of insurance"))</f>
        <v/>
      </c>
      <c r="D545" s="46">
        <f>IF(_calc!$E$547="","",IF(_calc!$E$547&lt;=500,IF(ISNUMBER(INDEX('Our policies'!$I$4:$I$503,_calc!$E$547)),TEXT(INDEX('Our policies'!$I$4:$I$503,_calc!$E$547),"yyyy-mm-dd"),""),""))</f>
        <v/>
      </c>
      <c r="E545" s="46">
        <f>IF(_calc!$E$547="","",IF(_calc!$E$547&lt;=500,IF(LEN(INDEX('Our policies'!$Q$4:$Q$503,_calc!$E$547))=0,"",INDEX('Our policies'!$Q$4:$Q$503,_calc!$E$547)),"Medium"))</f>
        <v/>
      </c>
      <c r="F545" s="46">
        <f>IF(_calc!$E$547="","",IF(_calc!$E$547&lt;=500,TRIM(IF(LEN(IF(LEN(INDEX('Our policies'!$B$4:$B$503,_calc!$E$547))=0,"",INDEX('Our policies'!$B$4:$B$503,_calc!$E$547)))=0,"","Cover: "&amp;IF(LEN(INDEX('Our policies'!$B$4:$B$503,_calc!$E$547))=0,"",INDEX('Our policies'!$B$4:$B$503,_calc!$E$547))&amp;". ")&amp;IF(LEN(IF(LEN(INDEX('Our policies'!$C$4:$C$503,_calc!$E$547))=0,"",INDEX('Our policies'!$C$4:$C$503,_calc!$E$547)))=0,"","Insurer: "&amp;IF(LEN(INDEX('Our policies'!$C$4:$C$503,_calc!$E$547))=0,"",INDEX('Our policies'!$C$4:$C$503,_calc!$E$547))&amp;". ")&amp;IF(LEN(IF(LEN(INDEX('Our policies'!$D$4:$D$503,_calc!$E$547))=0,"",INDEX('Our policies'!$D$4:$D$503,_calc!$E$547)))=0,"","Broker: "&amp;IF(LEN(INDEX('Our policies'!$D$4:$D$503,_calc!$E$547))=0,"",INDEX('Our policies'!$D$4:$D$503,_calc!$E$547))&amp;". ")&amp;IF(LEN(IF(LEN(INDEX('Our policies'!$E$4:$E$503,_calc!$E$547))=0,"",INDEX('Our policies'!$E$4:$E$503,_calc!$E$547)))=0,"","Policy no.: "&amp;IF(LEN(INDEX('Our policies'!$E$4:$E$503,_calc!$E$547))=0,"",INDEX('Our policies'!$E$4:$E$503,_calc!$E$547))&amp;". ")&amp;IF(LEN(IF(LEN(INDEX('Our policies'!$S$4:$S$503,_calc!$E$547))=0,"",INDEX('Our policies'!$S$4:$S$503,_calc!$E$547)))=0,"",IF(LEN(INDEX('Our policies'!$S$4:$S$503,_calc!$E$547))=0,"",INDEX('Our policies'!$S$4:$S$503,_calc!$E$547)))),TRIM(IF(LEN(IF(LEN(INDEX('Vendor COIs'!$C$4:$C$503,(_calc!$E$547-500)))=0,"",INDEX('Vendor COIs'!$C$4:$C$503,(_calc!$E$547-500))))=0,"","Insurer: "&amp;IF(LEN(INDEX('Vendor COIs'!$C$4:$C$503,(_calc!$E$547-500)))=0,"",INDEX('Vendor COIs'!$C$4:$C$503,(_calc!$E$547-500)))&amp;". ")&amp;IF(LEN(IF(LEN(INDEX('Vendor COIs'!$D$4:$D$503,(_calc!$E$547-500)))=0,"",INDEX('Vendor COIs'!$D$4:$D$503,(_calc!$E$547-500))))=0,"","Policy no.: "&amp;IF(LEN(INDEX('Vendor COIs'!$D$4:$D$503,(_calc!$E$547-500)))=0,"",INDEX('Vendor COIs'!$D$4:$D$503,(_calc!$E$547-500)))&amp;". ")&amp;IF(LEN(IF(LEN(INDEX('Vendor COIs'!$F$4:$F$503,(_calc!$E$547-500)))=0,"",INDEX('Vendor COIs'!$F$4:$F$503,(_calc!$E$547-500))))=0,"","Meets minimum: "&amp;IF(LEN(INDEX('Vendor COIs'!$F$4:$F$503,(_calc!$E$547-500)))=0,"",INDEX('Vendor COIs'!$F$4:$F$503,(_calc!$E$547-500)))&amp;". ")&amp;IF(LEN(IF(LEN(INDEX('Vendor COIs'!$G$4:$G$503,(_calc!$E$547-500)))=0,"",INDEX('Vendor COIs'!$G$4:$G$503,(_calc!$E$547-500))))=0,"","Additional insured: "&amp;IF(LEN(INDEX('Vendor COIs'!$G$4:$G$503,(_calc!$E$547-500)))=0,"",INDEX('Vendor COIs'!$G$4:$G$503,(_calc!$E$547-500)))&amp;". ")&amp;IF(LEN(IF(LEN(INDEX('Vendor COIs'!$M$4:$M$503,(_calc!$E$547-500)))=0,"",INDEX('Vendor COIs'!$M$4:$M$503,(_calc!$E$547-500))))=0,"","Vendor contact: "&amp;IF(LEN(INDEX('Vendor COIs'!$M$4:$M$503,(_calc!$E$547-500)))=0,"",INDEX('Vendor COIs'!$M$4:$M$503,(_calc!$E$547-500)))&amp;". ")&amp;IF(LEN(IF(LEN(INDEX('Vendor COIs'!$P$4:$P$503,(_calc!$E$547-500)))=0,"",INDEX('Vendor COIs'!$P$4:$P$503,(_calc!$E$547-500))))=0,"",IF(LEN(INDEX('Vendor COIs'!$P$4:$P$503,(_calc!$E$547-500)))=0,"",INDEX('Vendor COIs'!$P$4:$P$503,(_calc!$E$547-500)))))))</f>
        <v/>
      </c>
      <c r="G545" s="46">
        <f>IF(_calc!$E$547="","",IF(_calc!$E$547&lt;=500,IF(LEN(INDEX('Our policies'!$R$4:$R$503,_calc!$E$547))=0,"",INDEX('Our policies'!$R$4:$R$503,_calc!$E$547)),IF(LEN(INDEX('Vendor COIs'!$O$4:$O$503,(_calc!$E$547-500)))=0,"",INDEX('Vendor COIs'!$O$4:$O$503,(_calc!$E$547-500)))))</f>
        <v/>
      </c>
      <c r="H545" s="46">
        <f>IF(_calc!$E$547="","",IF(_calc!$E$547&lt;=500,IF(LEN(INDEX('Our policies'!$G$4:$G$503,_calc!$E$547))=0,"",INDEX('Our policies'!$G$4:$G$503,_calc!$E$547)),""))</f>
        <v/>
      </c>
      <c r="I545" s="46">
        <f>IF(_calc!$E$547="","",IF(_calc!$E$547&lt;=500,IF(LEN(INDEX('Our policies'!$H$4:$H$503,_calc!$E$547))=0,"",INDEX('Our policies'!$H$4:$H$503,_calc!$E$547)),""))</f>
        <v/>
      </c>
      <c r="K545" s="46">
        <f>IF(_calc!$E$547="","",IF(_calc!$E$547&lt;=500,IF(LEN(INDEX('Our policies'!$P$4:$P$503,_calc!$E$547))=0,"",INDEX('Our policies'!$P$4:$P$503,_calc!$E$547)),IF(LEN(INDEX('Vendor COIs'!$N$4:$N$503,(_calc!$E$547-500)))=0,"",INDEX('Vendor COIs'!$N$4:$N$503,(_calc!$E$547-500)))))</f>
        <v/>
      </c>
    </row>
    <row r="546">
      <c r="A546" s="46">
        <f>IF(_calc!$E$548="","",IF(_calc!$E$548&lt;=500,IF(LEN(INDEX('Our policies'!$A$4:$A$503,_calc!$E$548))=0,"",INDEX('Our policies'!$A$4:$A$503,_calc!$E$548)),"COI – "&amp;IF(LEN(INDEX('Vendor COIs'!$A$4:$A$503,(_calc!$E$548-500)))=0,"",INDEX('Vendor COIs'!$A$4:$A$503,(_calc!$E$548-500)))&amp;" – "&amp;IF(LEN(INDEX('Vendor COIs'!$B$4:$B$503,(_calc!$E$548-500)))=0,"",INDEX('Vendor COIs'!$B$4:$B$503,(_calc!$E$548-500)))))</f>
        <v/>
      </c>
      <c r="B546" s="46">
        <f>IF(_calc!$E$548="","",IF(_calc!$E$548&lt;=500,IF(ISNUMBER(INDEX('Our policies'!$J$4:$J$503,_calc!$E$548)),TEXT(INDEX('Our policies'!$J$4:$J$503,_calc!$E$548),"yyyy-mm-dd"),""),IF(ISNUMBER(INDEX('Vendor COIs'!$H$4:$H$503,(_calc!$E$548-500))),TEXT(INDEX('Vendor COIs'!$H$4:$H$503,(_calc!$E$548-500)),"yyyy-mm-dd"),"")))</f>
        <v/>
      </c>
      <c r="C546" s="46">
        <f>IF(_calc!$E$548="","",IF(_calc!$E$548&lt;=500,"Insurance","Certificate of insurance"))</f>
        <v/>
      </c>
      <c r="D546" s="46">
        <f>IF(_calc!$E$548="","",IF(_calc!$E$548&lt;=500,IF(ISNUMBER(INDEX('Our policies'!$I$4:$I$503,_calc!$E$548)),TEXT(INDEX('Our policies'!$I$4:$I$503,_calc!$E$548),"yyyy-mm-dd"),""),""))</f>
        <v/>
      </c>
      <c r="E546" s="46">
        <f>IF(_calc!$E$548="","",IF(_calc!$E$548&lt;=500,IF(LEN(INDEX('Our policies'!$Q$4:$Q$503,_calc!$E$548))=0,"",INDEX('Our policies'!$Q$4:$Q$503,_calc!$E$548)),"Medium"))</f>
        <v/>
      </c>
      <c r="F546" s="46">
        <f>IF(_calc!$E$548="","",IF(_calc!$E$548&lt;=500,TRIM(IF(LEN(IF(LEN(INDEX('Our policies'!$B$4:$B$503,_calc!$E$548))=0,"",INDEX('Our policies'!$B$4:$B$503,_calc!$E$548)))=0,"","Cover: "&amp;IF(LEN(INDEX('Our policies'!$B$4:$B$503,_calc!$E$548))=0,"",INDEX('Our policies'!$B$4:$B$503,_calc!$E$548))&amp;". ")&amp;IF(LEN(IF(LEN(INDEX('Our policies'!$C$4:$C$503,_calc!$E$548))=0,"",INDEX('Our policies'!$C$4:$C$503,_calc!$E$548)))=0,"","Insurer: "&amp;IF(LEN(INDEX('Our policies'!$C$4:$C$503,_calc!$E$548))=0,"",INDEX('Our policies'!$C$4:$C$503,_calc!$E$548))&amp;". ")&amp;IF(LEN(IF(LEN(INDEX('Our policies'!$D$4:$D$503,_calc!$E$548))=0,"",INDEX('Our policies'!$D$4:$D$503,_calc!$E$548)))=0,"","Broker: "&amp;IF(LEN(INDEX('Our policies'!$D$4:$D$503,_calc!$E$548))=0,"",INDEX('Our policies'!$D$4:$D$503,_calc!$E$548))&amp;". ")&amp;IF(LEN(IF(LEN(INDEX('Our policies'!$E$4:$E$503,_calc!$E$548))=0,"",INDEX('Our policies'!$E$4:$E$503,_calc!$E$548)))=0,"","Policy no.: "&amp;IF(LEN(INDEX('Our policies'!$E$4:$E$503,_calc!$E$548))=0,"",INDEX('Our policies'!$E$4:$E$503,_calc!$E$548))&amp;". ")&amp;IF(LEN(IF(LEN(INDEX('Our policies'!$S$4:$S$503,_calc!$E$548))=0,"",INDEX('Our policies'!$S$4:$S$503,_calc!$E$548)))=0,"",IF(LEN(INDEX('Our policies'!$S$4:$S$503,_calc!$E$548))=0,"",INDEX('Our policies'!$S$4:$S$503,_calc!$E$548)))),TRIM(IF(LEN(IF(LEN(INDEX('Vendor COIs'!$C$4:$C$503,(_calc!$E$548-500)))=0,"",INDEX('Vendor COIs'!$C$4:$C$503,(_calc!$E$548-500))))=0,"","Insurer: "&amp;IF(LEN(INDEX('Vendor COIs'!$C$4:$C$503,(_calc!$E$548-500)))=0,"",INDEX('Vendor COIs'!$C$4:$C$503,(_calc!$E$548-500)))&amp;". ")&amp;IF(LEN(IF(LEN(INDEX('Vendor COIs'!$D$4:$D$503,(_calc!$E$548-500)))=0,"",INDEX('Vendor COIs'!$D$4:$D$503,(_calc!$E$548-500))))=0,"","Policy no.: "&amp;IF(LEN(INDEX('Vendor COIs'!$D$4:$D$503,(_calc!$E$548-500)))=0,"",INDEX('Vendor COIs'!$D$4:$D$503,(_calc!$E$548-500)))&amp;". ")&amp;IF(LEN(IF(LEN(INDEX('Vendor COIs'!$F$4:$F$503,(_calc!$E$548-500)))=0,"",INDEX('Vendor COIs'!$F$4:$F$503,(_calc!$E$548-500))))=0,"","Meets minimum: "&amp;IF(LEN(INDEX('Vendor COIs'!$F$4:$F$503,(_calc!$E$548-500)))=0,"",INDEX('Vendor COIs'!$F$4:$F$503,(_calc!$E$548-500)))&amp;". ")&amp;IF(LEN(IF(LEN(INDEX('Vendor COIs'!$G$4:$G$503,(_calc!$E$548-500)))=0,"",INDEX('Vendor COIs'!$G$4:$G$503,(_calc!$E$548-500))))=0,"","Additional insured: "&amp;IF(LEN(INDEX('Vendor COIs'!$G$4:$G$503,(_calc!$E$548-500)))=0,"",INDEX('Vendor COIs'!$G$4:$G$503,(_calc!$E$548-500)))&amp;". ")&amp;IF(LEN(IF(LEN(INDEX('Vendor COIs'!$M$4:$M$503,(_calc!$E$548-500)))=0,"",INDEX('Vendor COIs'!$M$4:$M$503,(_calc!$E$548-500))))=0,"","Vendor contact: "&amp;IF(LEN(INDEX('Vendor COIs'!$M$4:$M$503,(_calc!$E$548-500)))=0,"",INDEX('Vendor COIs'!$M$4:$M$503,(_calc!$E$548-500)))&amp;". ")&amp;IF(LEN(IF(LEN(INDEX('Vendor COIs'!$P$4:$P$503,(_calc!$E$548-500)))=0,"",INDEX('Vendor COIs'!$P$4:$P$503,(_calc!$E$548-500))))=0,"",IF(LEN(INDEX('Vendor COIs'!$P$4:$P$503,(_calc!$E$548-500)))=0,"",INDEX('Vendor COIs'!$P$4:$P$503,(_calc!$E$548-500)))))))</f>
        <v/>
      </c>
      <c r="G546" s="46">
        <f>IF(_calc!$E$548="","",IF(_calc!$E$548&lt;=500,IF(LEN(INDEX('Our policies'!$R$4:$R$503,_calc!$E$548))=0,"",INDEX('Our policies'!$R$4:$R$503,_calc!$E$548)),IF(LEN(INDEX('Vendor COIs'!$O$4:$O$503,(_calc!$E$548-500)))=0,"",INDEX('Vendor COIs'!$O$4:$O$503,(_calc!$E$548-500)))))</f>
        <v/>
      </c>
      <c r="H546" s="46">
        <f>IF(_calc!$E$548="","",IF(_calc!$E$548&lt;=500,IF(LEN(INDEX('Our policies'!$G$4:$G$503,_calc!$E$548))=0,"",INDEX('Our policies'!$G$4:$G$503,_calc!$E$548)),""))</f>
        <v/>
      </c>
      <c r="I546" s="46">
        <f>IF(_calc!$E$548="","",IF(_calc!$E$548&lt;=500,IF(LEN(INDEX('Our policies'!$H$4:$H$503,_calc!$E$548))=0,"",INDEX('Our policies'!$H$4:$H$503,_calc!$E$548)),""))</f>
        <v/>
      </c>
      <c r="K546" s="46">
        <f>IF(_calc!$E$548="","",IF(_calc!$E$548&lt;=500,IF(LEN(INDEX('Our policies'!$P$4:$P$503,_calc!$E$548))=0,"",INDEX('Our policies'!$P$4:$P$503,_calc!$E$548)),IF(LEN(INDEX('Vendor COIs'!$N$4:$N$503,(_calc!$E$548-500)))=0,"",INDEX('Vendor COIs'!$N$4:$N$503,(_calc!$E$548-500)))))</f>
        <v/>
      </c>
    </row>
    <row r="547">
      <c r="A547" s="46">
        <f>IF(_calc!$E$549="","",IF(_calc!$E$549&lt;=500,IF(LEN(INDEX('Our policies'!$A$4:$A$503,_calc!$E$549))=0,"",INDEX('Our policies'!$A$4:$A$503,_calc!$E$549)),"COI – "&amp;IF(LEN(INDEX('Vendor COIs'!$A$4:$A$503,(_calc!$E$549-500)))=0,"",INDEX('Vendor COIs'!$A$4:$A$503,(_calc!$E$549-500)))&amp;" – "&amp;IF(LEN(INDEX('Vendor COIs'!$B$4:$B$503,(_calc!$E$549-500)))=0,"",INDEX('Vendor COIs'!$B$4:$B$503,(_calc!$E$549-500)))))</f>
        <v/>
      </c>
      <c r="B547" s="46">
        <f>IF(_calc!$E$549="","",IF(_calc!$E$549&lt;=500,IF(ISNUMBER(INDEX('Our policies'!$J$4:$J$503,_calc!$E$549)),TEXT(INDEX('Our policies'!$J$4:$J$503,_calc!$E$549),"yyyy-mm-dd"),""),IF(ISNUMBER(INDEX('Vendor COIs'!$H$4:$H$503,(_calc!$E$549-500))),TEXT(INDEX('Vendor COIs'!$H$4:$H$503,(_calc!$E$549-500)),"yyyy-mm-dd"),"")))</f>
        <v/>
      </c>
      <c r="C547" s="46">
        <f>IF(_calc!$E$549="","",IF(_calc!$E$549&lt;=500,"Insurance","Certificate of insurance"))</f>
        <v/>
      </c>
      <c r="D547" s="46">
        <f>IF(_calc!$E$549="","",IF(_calc!$E$549&lt;=500,IF(ISNUMBER(INDEX('Our policies'!$I$4:$I$503,_calc!$E$549)),TEXT(INDEX('Our policies'!$I$4:$I$503,_calc!$E$549),"yyyy-mm-dd"),""),""))</f>
        <v/>
      </c>
      <c r="E547" s="46">
        <f>IF(_calc!$E$549="","",IF(_calc!$E$549&lt;=500,IF(LEN(INDEX('Our policies'!$Q$4:$Q$503,_calc!$E$549))=0,"",INDEX('Our policies'!$Q$4:$Q$503,_calc!$E$549)),"Medium"))</f>
        <v/>
      </c>
      <c r="F547" s="46">
        <f>IF(_calc!$E$549="","",IF(_calc!$E$549&lt;=500,TRIM(IF(LEN(IF(LEN(INDEX('Our policies'!$B$4:$B$503,_calc!$E$549))=0,"",INDEX('Our policies'!$B$4:$B$503,_calc!$E$549)))=0,"","Cover: "&amp;IF(LEN(INDEX('Our policies'!$B$4:$B$503,_calc!$E$549))=0,"",INDEX('Our policies'!$B$4:$B$503,_calc!$E$549))&amp;". ")&amp;IF(LEN(IF(LEN(INDEX('Our policies'!$C$4:$C$503,_calc!$E$549))=0,"",INDEX('Our policies'!$C$4:$C$503,_calc!$E$549)))=0,"","Insurer: "&amp;IF(LEN(INDEX('Our policies'!$C$4:$C$503,_calc!$E$549))=0,"",INDEX('Our policies'!$C$4:$C$503,_calc!$E$549))&amp;". ")&amp;IF(LEN(IF(LEN(INDEX('Our policies'!$D$4:$D$503,_calc!$E$549))=0,"",INDEX('Our policies'!$D$4:$D$503,_calc!$E$549)))=0,"","Broker: "&amp;IF(LEN(INDEX('Our policies'!$D$4:$D$503,_calc!$E$549))=0,"",INDEX('Our policies'!$D$4:$D$503,_calc!$E$549))&amp;". ")&amp;IF(LEN(IF(LEN(INDEX('Our policies'!$E$4:$E$503,_calc!$E$549))=0,"",INDEX('Our policies'!$E$4:$E$503,_calc!$E$549)))=0,"","Policy no.: "&amp;IF(LEN(INDEX('Our policies'!$E$4:$E$503,_calc!$E$549))=0,"",INDEX('Our policies'!$E$4:$E$503,_calc!$E$549))&amp;". ")&amp;IF(LEN(IF(LEN(INDEX('Our policies'!$S$4:$S$503,_calc!$E$549))=0,"",INDEX('Our policies'!$S$4:$S$503,_calc!$E$549)))=0,"",IF(LEN(INDEX('Our policies'!$S$4:$S$503,_calc!$E$549))=0,"",INDEX('Our policies'!$S$4:$S$503,_calc!$E$549)))),TRIM(IF(LEN(IF(LEN(INDEX('Vendor COIs'!$C$4:$C$503,(_calc!$E$549-500)))=0,"",INDEX('Vendor COIs'!$C$4:$C$503,(_calc!$E$549-500))))=0,"","Insurer: "&amp;IF(LEN(INDEX('Vendor COIs'!$C$4:$C$503,(_calc!$E$549-500)))=0,"",INDEX('Vendor COIs'!$C$4:$C$503,(_calc!$E$549-500)))&amp;". ")&amp;IF(LEN(IF(LEN(INDEX('Vendor COIs'!$D$4:$D$503,(_calc!$E$549-500)))=0,"",INDEX('Vendor COIs'!$D$4:$D$503,(_calc!$E$549-500))))=0,"","Policy no.: "&amp;IF(LEN(INDEX('Vendor COIs'!$D$4:$D$503,(_calc!$E$549-500)))=0,"",INDEX('Vendor COIs'!$D$4:$D$503,(_calc!$E$549-500)))&amp;". ")&amp;IF(LEN(IF(LEN(INDEX('Vendor COIs'!$F$4:$F$503,(_calc!$E$549-500)))=0,"",INDEX('Vendor COIs'!$F$4:$F$503,(_calc!$E$549-500))))=0,"","Meets minimum: "&amp;IF(LEN(INDEX('Vendor COIs'!$F$4:$F$503,(_calc!$E$549-500)))=0,"",INDEX('Vendor COIs'!$F$4:$F$503,(_calc!$E$549-500)))&amp;". ")&amp;IF(LEN(IF(LEN(INDEX('Vendor COIs'!$G$4:$G$503,(_calc!$E$549-500)))=0,"",INDEX('Vendor COIs'!$G$4:$G$503,(_calc!$E$549-500))))=0,"","Additional insured: "&amp;IF(LEN(INDEX('Vendor COIs'!$G$4:$G$503,(_calc!$E$549-500)))=0,"",INDEX('Vendor COIs'!$G$4:$G$503,(_calc!$E$549-500)))&amp;". ")&amp;IF(LEN(IF(LEN(INDEX('Vendor COIs'!$M$4:$M$503,(_calc!$E$549-500)))=0,"",INDEX('Vendor COIs'!$M$4:$M$503,(_calc!$E$549-500))))=0,"","Vendor contact: "&amp;IF(LEN(INDEX('Vendor COIs'!$M$4:$M$503,(_calc!$E$549-500)))=0,"",INDEX('Vendor COIs'!$M$4:$M$503,(_calc!$E$549-500)))&amp;". ")&amp;IF(LEN(IF(LEN(INDEX('Vendor COIs'!$P$4:$P$503,(_calc!$E$549-500)))=0,"",INDEX('Vendor COIs'!$P$4:$P$503,(_calc!$E$549-500))))=0,"",IF(LEN(INDEX('Vendor COIs'!$P$4:$P$503,(_calc!$E$549-500)))=0,"",INDEX('Vendor COIs'!$P$4:$P$503,(_calc!$E$549-500)))))))</f>
        <v/>
      </c>
      <c r="G547" s="46">
        <f>IF(_calc!$E$549="","",IF(_calc!$E$549&lt;=500,IF(LEN(INDEX('Our policies'!$R$4:$R$503,_calc!$E$549))=0,"",INDEX('Our policies'!$R$4:$R$503,_calc!$E$549)),IF(LEN(INDEX('Vendor COIs'!$O$4:$O$503,(_calc!$E$549-500)))=0,"",INDEX('Vendor COIs'!$O$4:$O$503,(_calc!$E$549-500)))))</f>
        <v/>
      </c>
      <c r="H547" s="46">
        <f>IF(_calc!$E$549="","",IF(_calc!$E$549&lt;=500,IF(LEN(INDEX('Our policies'!$G$4:$G$503,_calc!$E$549))=0,"",INDEX('Our policies'!$G$4:$G$503,_calc!$E$549)),""))</f>
        <v/>
      </c>
      <c r="I547" s="46">
        <f>IF(_calc!$E$549="","",IF(_calc!$E$549&lt;=500,IF(LEN(INDEX('Our policies'!$H$4:$H$503,_calc!$E$549))=0,"",INDEX('Our policies'!$H$4:$H$503,_calc!$E$549)),""))</f>
        <v/>
      </c>
      <c r="K547" s="46">
        <f>IF(_calc!$E$549="","",IF(_calc!$E$549&lt;=500,IF(LEN(INDEX('Our policies'!$P$4:$P$503,_calc!$E$549))=0,"",INDEX('Our policies'!$P$4:$P$503,_calc!$E$549)),IF(LEN(INDEX('Vendor COIs'!$N$4:$N$503,(_calc!$E$549-500)))=0,"",INDEX('Vendor COIs'!$N$4:$N$503,(_calc!$E$549-500)))))</f>
        <v/>
      </c>
    </row>
    <row r="548">
      <c r="A548" s="46">
        <f>IF(_calc!$E$550="","",IF(_calc!$E$550&lt;=500,IF(LEN(INDEX('Our policies'!$A$4:$A$503,_calc!$E$550))=0,"",INDEX('Our policies'!$A$4:$A$503,_calc!$E$550)),"COI – "&amp;IF(LEN(INDEX('Vendor COIs'!$A$4:$A$503,(_calc!$E$550-500)))=0,"",INDEX('Vendor COIs'!$A$4:$A$503,(_calc!$E$550-500)))&amp;" – "&amp;IF(LEN(INDEX('Vendor COIs'!$B$4:$B$503,(_calc!$E$550-500)))=0,"",INDEX('Vendor COIs'!$B$4:$B$503,(_calc!$E$550-500)))))</f>
        <v/>
      </c>
      <c r="B548" s="46">
        <f>IF(_calc!$E$550="","",IF(_calc!$E$550&lt;=500,IF(ISNUMBER(INDEX('Our policies'!$J$4:$J$503,_calc!$E$550)),TEXT(INDEX('Our policies'!$J$4:$J$503,_calc!$E$550),"yyyy-mm-dd"),""),IF(ISNUMBER(INDEX('Vendor COIs'!$H$4:$H$503,(_calc!$E$550-500))),TEXT(INDEX('Vendor COIs'!$H$4:$H$503,(_calc!$E$550-500)),"yyyy-mm-dd"),"")))</f>
        <v/>
      </c>
      <c r="C548" s="46">
        <f>IF(_calc!$E$550="","",IF(_calc!$E$550&lt;=500,"Insurance","Certificate of insurance"))</f>
        <v/>
      </c>
      <c r="D548" s="46">
        <f>IF(_calc!$E$550="","",IF(_calc!$E$550&lt;=500,IF(ISNUMBER(INDEX('Our policies'!$I$4:$I$503,_calc!$E$550)),TEXT(INDEX('Our policies'!$I$4:$I$503,_calc!$E$550),"yyyy-mm-dd"),""),""))</f>
        <v/>
      </c>
      <c r="E548" s="46">
        <f>IF(_calc!$E$550="","",IF(_calc!$E$550&lt;=500,IF(LEN(INDEX('Our policies'!$Q$4:$Q$503,_calc!$E$550))=0,"",INDEX('Our policies'!$Q$4:$Q$503,_calc!$E$550)),"Medium"))</f>
        <v/>
      </c>
      <c r="F548" s="46">
        <f>IF(_calc!$E$550="","",IF(_calc!$E$550&lt;=500,TRIM(IF(LEN(IF(LEN(INDEX('Our policies'!$B$4:$B$503,_calc!$E$550))=0,"",INDEX('Our policies'!$B$4:$B$503,_calc!$E$550)))=0,"","Cover: "&amp;IF(LEN(INDEX('Our policies'!$B$4:$B$503,_calc!$E$550))=0,"",INDEX('Our policies'!$B$4:$B$503,_calc!$E$550))&amp;". ")&amp;IF(LEN(IF(LEN(INDEX('Our policies'!$C$4:$C$503,_calc!$E$550))=0,"",INDEX('Our policies'!$C$4:$C$503,_calc!$E$550)))=0,"","Insurer: "&amp;IF(LEN(INDEX('Our policies'!$C$4:$C$503,_calc!$E$550))=0,"",INDEX('Our policies'!$C$4:$C$503,_calc!$E$550))&amp;". ")&amp;IF(LEN(IF(LEN(INDEX('Our policies'!$D$4:$D$503,_calc!$E$550))=0,"",INDEX('Our policies'!$D$4:$D$503,_calc!$E$550)))=0,"","Broker: "&amp;IF(LEN(INDEX('Our policies'!$D$4:$D$503,_calc!$E$550))=0,"",INDEX('Our policies'!$D$4:$D$503,_calc!$E$550))&amp;". ")&amp;IF(LEN(IF(LEN(INDEX('Our policies'!$E$4:$E$503,_calc!$E$550))=0,"",INDEX('Our policies'!$E$4:$E$503,_calc!$E$550)))=0,"","Policy no.: "&amp;IF(LEN(INDEX('Our policies'!$E$4:$E$503,_calc!$E$550))=0,"",INDEX('Our policies'!$E$4:$E$503,_calc!$E$550))&amp;". ")&amp;IF(LEN(IF(LEN(INDEX('Our policies'!$S$4:$S$503,_calc!$E$550))=0,"",INDEX('Our policies'!$S$4:$S$503,_calc!$E$550)))=0,"",IF(LEN(INDEX('Our policies'!$S$4:$S$503,_calc!$E$550))=0,"",INDEX('Our policies'!$S$4:$S$503,_calc!$E$550)))),TRIM(IF(LEN(IF(LEN(INDEX('Vendor COIs'!$C$4:$C$503,(_calc!$E$550-500)))=0,"",INDEX('Vendor COIs'!$C$4:$C$503,(_calc!$E$550-500))))=0,"","Insurer: "&amp;IF(LEN(INDEX('Vendor COIs'!$C$4:$C$503,(_calc!$E$550-500)))=0,"",INDEX('Vendor COIs'!$C$4:$C$503,(_calc!$E$550-500)))&amp;". ")&amp;IF(LEN(IF(LEN(INDEX('Vendor COIs'!$D$4:$D$503,(_calc!$E$550-500)))=0,"",INDEX('Vendor COIs'!$D$4:$D$503,(_calc!$E$550-500))))=0,"","Policy no.: "&amp;IF(LEN(INDEX('Vendor COIs'!$D$4:$D$503,(_calc!$E$550-500)))=0,"",INDEX('Vendor COIs'!$D$4:$D$503,(_calc!$E$550-500)))&amp;". ")&amp;IF(LEN(IF(LEN(INDEX('Vendor COIs'!$F$4:$F$503,(_calc!$E$550-500)))=0,"",INDEX('Vendor COIs'!$F$4:$F$503,(_calc!$E$550-500))))=0,"","Meets minimum: "&amp;IF(LEN(INDEX('Vendor COIs'!$F$4:$F$503,(_calc!$E$550-500)))=0,"",INDEX('Vendor COIs'!$F$4:$F$503,(_calc!$E$550-500)))&amp;". ")&amp;IF(LEN(IF(LEN(INDEX('Vendor COIs'!$G$4:$G$503,(_calc!$E$550-500)))=0,"",INDEX('Vendor COIs'!$G$4:$G$503,(_calc!$E$550-500))))=0,"","Additional insured: "&amp;IF(LEN(INDEX('Vendor COIs'!$G$4:$G$503,(_calc!$E$550-500)))=0,"",INDEX('Vendor COIs'!$G$4:$G$503,(_calc!$E$550-500)))&amp;". ")&amp;IF(LEN(IF(LEN(INDEX('Vendor COIs'!$M$4:$M$503,(_calc!$E$550-500)))=0,"",INDEX('Vendor COIs'!$M$4:$M$503,(_calc!$E$550-500))))=0,"","Vendor contact: "&amp;IF(LEN(INDEX('Vendor COIs'!$M$4:$M$503,(_calc!$E$550-500)))=0,"",INDEX('Vendor COIs'!$M$4:$M$503,(_calc!$E$550-500)))&amp;". ")&amp;IF(LEN(IF(LEN(INDEX('Vendor COIs'!$P$4:$P$503,(_calc!$E$550-500)))=0,"",INDEX('Vendor COIs'!$P$4:$P$503,(_calc!$E$550-500))))=0,"",IF(LEN(INDEX('Vendor COIs'!$P$4:$P$503,(_calc!$E$550-500)))=0,"",INDEX('Vendor COIs'!$P$4:$P$503,(_calc!$E$550-500)))))))</f>
        <v/>
      </c>
      <c r="G548" s="46">
        <f>IF(_calc!$E$550="","",IF(_calc!$E$550&lt;=500,IF(LEN(INDEX('Our policies'!$R$4:$R$503,_calc!$E$550))=0,"",INDEX('Our policies'!$R$4:$R$503,_calc!$E$550)),IF(LEN(INDEX('Vendor COIs'!$O$4:$O$503,(_calc!$E$550-500)))=0,"",INDEX('Vendor COIs'!$O$4:$O$503,(_calc!$E$550-500)))))</f>
        <v/>
      </c>
      <c r="H548" s="46">
        <f>IF(_calc!$E$550="","",IF(_calc!$E$550&lt;=500,IF(LEN(INDEX('Our policies'!$G$4:$G$503,_calc!$E$550))=0,"",INDEX('Our policies'!$G$4:$G$503,_calc!$E$550)),""))</f>
        <v/>
      </c>
      <c r="I548" s="46">
        <f>IF(_calc!$E$550="","",IF(_calc!$E$550&lt;=500,IF(LEN(INDEX('Our policies'!$H$4:$H$503,_calc!$E$550))=0,"",INDEX('Our policies'!$H$4:$H$503,_calc!$E$550)),""))</f>
        <v/>
      </c>
      <c r="K548" s="46">
        <f>IF(_calc!$E$550="","",IF(_calc!$E$550&lt;=500,IF(LEN(INDEX('Our policies'!$P$4:$P$503,_calc!$E$550))=0,"",INDEX('Our policies'!$P$4:$P$503,_calc!$E$550)),IF(LEN(INDEX('Vendor COIs'!$N$4:$N$503,(_calc!$E$550-500)))=0,"",INDEX('Vendor COIs'!$N$4:$N$503,(_calc!$E$550-500)))))</f>
        <v/>
      </c>
    </row>
    <row r="549">
      <c r="A549" s="46">
        <f>IF(_calc!$E$551="","",IF(_calc!$E$551&lt;=500,IF(LEN(INDEX('Our policies'!$A$4:$A$503,_calc!$E$551))=0,"",INDEX('Our policies'!$A$4:$A$503,_calc!$E$551)),"COI – "&amp;IF(LEN(INDEX('Vendor COIs'!$A$4:$A$503,(_calc!$E$551-500)))=0,"",INDEX('Vendor COIs'!$A$4:$A$503,(_calc!$E$551-500)))&amp;" – "&amp;IF(LEN(INDEX('Vendor COIs'!$B$4:$B$503,(_calc!$E$551-500)))=0,"",INDEX('Vendor COIs'!$B$4:$B$503,(_calc!$E$551-500)))))</f>
        <v/>
      </c>
      <c r="B549" s="46">
        <f>IF(_calc!$E$551="","",IF(_calc!$E$551&lt;=500,IF(ISNUMBER(INDEX('Our policies'!$J$4:$J$503,_calc!$E$551)),TEXT(INDEX('Our policies'!$J$4:$J$503,_calc!$E$551),"yyyy-mm-dd"),""),IF(ISNUMBER(INDEX('Vendor COIs'!$H$4:$H$503,(_calc!$E$551-500))),TEXT(INDEX('Vendor COIs'!$H$4:$H$503,(_calc!$E$551-500)),"yyyy-mm-dd"),"")))</f>
        <v/>
      </c>
      <c r="C549" s="46">
        <f>IF(_calc!$E$551="","",IF(_calc!$E$551&lt;=500,"Insurance","Certificate of insurance"))</f>
        <v/>
      </c>
      <c r="D549" s="46">
        <f>IF(_calc!$E$551="","",IF(_calc!$E$551&lt;=500,IF(ISNUMBER(INDEX('Our policies'!$I$4:$I$503,_calc!$E$551)),TEXT(INDEX('Our policies'!$I$4:$I$503,_calc!$E$551),"yyyy-mm-dd"),""),""))</f>
        <v/>
      </c>
      <c r="E549" s="46">
        <f>IF(_calc!$E$551="","",IF(_calc!$E$551&lt;=500,IF(LEN(INDEX('Our policies'!$Q$4:$Q$503,_calc!$E$551))=0,"",INDEX('Our policies'!$Q$4:$Q$503,_calc!$E$551)),"Medium"))</f>
        <v/>
      </c>
      <c r="F549" s="46">
        <f>IF(_calc!$E$551="","",IF(_calc!$E$551&lt;=500,TRIM(IF(LEN(IF(LEN(INDEX('Our policies'!$B$4:$B$503,_calc!$E$551))=0,"",INDEX('Our policies'!$B$4:$B$503,_calc!$E$551)))=0,"","Cover: "&amp;IF(LEN(INDEX('Our policies'!$B$4:$B$503,_calc!$E$551))=0,"",INDEX('Our policies'!$B$4:$B$503,_calc!$E$551))&amp;". ")&amp;IF(LEN(IF(LEN(INDEX('Our policies'!$C$4:$C$503,_calc!$E$551))=0,"",INDEX('Our policies'!$C$4:$C$503,_calc!$E$551)))=0,"","Insurer: "&amp;IF(LEN(INDEX('Our policies'!$C$4:$C$503,_calc!$E$551))=0,"",INDEX('Our policies'!$C$4:$C$503,_calc!$E$551))&amp;". ")&amp;IF(LEN(IF(LEN(INDEX('Our policies'!$D$4:$D$503,_calc!$E$551))=0,"",INDEX('Our policies'!$D$4:$D$503,_calc!$E$551)))=0,"","Broker: "&amp;IF(LEN(INDEX('Our policies'!$D$4:$D$503,_calc!$E$551))=0,"",INDEX('Our policies'!$D$4:$D$503,_calc!$E$551))&amp;". ")&amp;IF(LEN(IF(LEN(INDEX('Our policies'!$E$4:$E$503,_calc!$E$551))=0,"",INDEX('Our policies'!$E$4:$E$503,_calc!$E$551)))=0,"","Policy no.: "&amp;IF(LEN(INDEX('Our policies'!$E$4:$E$503,_calc!$E$551))=0,"",INDEX('Our policies'!$E$4:$E$503,_calc!$E$551))&amp;". ")&amp;IF(LEN(IF(LEN(INDEX('Our policies'!$S$4:$S$503,_calc!$E$551))=0,"",INDEX('Our policies'!$S$4:$S$503,_calc!$E$551)))=0,"",IF(LEN(INDEX('Our policies'!$S$4:$S$503,_calc!$E$551))=0,"",INDEX('Our policies'!$S$4:$S$503,_calc!$E$551)))),TRIM(IF(LEN(IF(LEN(INDEX('Vendor COIs'!$C$4:$C$503,(_calc!$E$551-500)))=0,"",INDEX('Vendor COIs'!$C$4:$C$503,(_calc!$E$551-500))))=0,"","Insurer: "&amp;IF(LEN(INDEX('Vendor COIs'!$C$4:$C$503,(_calc!$E$551-500)))=0,"",INDEX('Vendor COIs'!$C$4:$C$503,(_calc!$E$551-500)))&amp;". ")&amp;IF(LEN(IF(LEN(INDEX('Vendor COIs'!$D$4:$D$503,(_calc!$E$551-500)))=0,"",INDEX('Vendor COIs'!$D$4:$D$503,(_calc!$E$551-500))))=0,"","Policy no.: "&amp;IF(LEN(INDEX('Vendor COIs'!$D$4:$D$503,(_calc!$E$551-500)))=0,"",INDEX('Vendor COIs'!$D$4:$D$503,(_calc!$E$551-500)))&amp;". ")&amp;IF(LEN(IF(LEN(INDEX('Vendor COIs'!$F$4:$F$503,(_calc!$E$551-500)))=0,"",INDEX('Vendor COIs'!$F$4:$F$503,(_calc!$E$551-500))))=0,"","Meets minimum: "&amp;IF(LEN(INDEX('Vendor COIs'!$F$4:$F$503,(_calc!$E$551-500)))=0,"",INDEX('Vendor COIs'!$F$4:$F$503,(_calc!$E$551-500)))&amp;". ")&amp;IF(LEN(IF(LEN(INDEX('Vendor COIs'!$G$4:$G$503,(_calc!$E$551-500)))=0,"",INDEX('Vendor COIs'!$G$4:$G$503,(_calc!$E$551-500))))=0,"","Additional insured: "&amp;IF(LEN(INDEX('Vendor COIs'!$G$4:$G$503,(_calc!$E$551-500)))=0,"",INDEX('Vendor COIs'!$G$4:$G$503,(_calc!$E$551-500)))&amp;". ")&amp;IF(LEN(IF(LEN(INDEX('Vendor COIs'!$M$4:$M$503,(_calc!$E$551-500)))=0,"",INDEX('Vendor COIs'!$M$4:$M$503,(_calc!$E$551-500))))=0,"","Vendor contact: "&amp;IF(LEN(INDEX('Vendor COIs'!$M$4:$M$503,(_calc!$E$551-500)))=0,"",INDEX('Vendor COIs'!$M$4:$M$503,(_calc!$E$551-500)))&amp;". ")&amp;IF(LEN(IF(LEN(INDEX('Vendor COIs'!$P$4:$P$503,(_calc!$E$551-500)))=0,"",INDEX('Vendor COIs'!$P$4:$P$503,(_calc!$E$551-500))))=0,"",IF(LEN(INDEX('Vendor COIs'!$P$4:$P$503,(_calc!$E$551-500)))=0,"",INDEX('Vendor COIs'!$P$4:$P$503,(_calc!$E$551-500)))))))</f>
        <v/>
      </c>
      <c r="G549" s="46">
        <f>IF(_calc!$E$551="","",IF(_calc!$E$551&lt;=500,IF(LEN(INDEX('Our policies'!$R$4:$R$503,_calc!$E$551))=0,"",INDEX('Our policies'!$R$4:$R$503,_calc!$E$551)),IF(LEN(INDEX('Vendor COIs'!$O$4:$O$503,(_calc!$E$551-500)))=0,"",INDEX('Vendor COIs'!$O$4:$O$503,(_calc!$E$551-500)))))</f>
        <v/>
      </c>
      <c r="H549" s="46">
        <f>IF(_calc!$E$551="","",IF(_calc!$E$551&lt;=500,IF(LEN(INDEX('Our policies'!$G$4:$G$503,_calc!$E$551))=0,"",INDEX('Our policies'!$G$4:$G$503,_calc!$E$551)),""))</f>
        <v/>
      </c>
      <c r="I549" s="46">
        <f>IF(_calc!$E$551="","",IF(_calc!$E$551&lt;=500,IF(LEN(INDEX('Our policies'!$H$4:$H$503,_calc!$E$551))=0,"",INDEX('Our policies'!$H$4:$H$503,_calc!$E$551)),""))</f>
        <v/>
      </c>
      <c r="K549" s="46">
        <f>IF(_calc!$E$551="","",IF(_calc!$E$551&lt;=500,IF(LEN(INDEX('Our policies'!$P$4:$P$503,_calc!$E$551))=0,"",INDEX('Our policies'!$P$4:$P$503,_calc!$E$551)),IF(LEN(INDEX('Vendor COIs'!$N$4:$N$503,(_calc!$E$551-500)))=0,"",INDEX('Vendor COIs'!$N$4:$N$503,(_calc!$E$551-500)))))</f>
        <v/>
      </c>
    </row>
    <row r="550">
      <c r="A550" s="46">
        <f>IF(_calc!$E$552="","",IF(_calc!$E$552&lt;=500,IF(LEN(INDEX('Our policies'!$A$4:$A$503,_calc!$E$552))=0,"",INDEX('Our policies'!$A$4:$A$503,_calc!$E$552)),"COI – "&amp;IF(LEN(INDEX('Vendor COIs'!$A$4:$A$503,(_calc!$E$552-500)))=0,"",INDEX('Vendor COIs'!$A$4:$A$503,(_calc!$E$552-500)))&amp;" – "&amp;IF(LEN(INDEX('Vendor COIs'!$B$4:$B$503,(_calc!$E$552-500)))=0,"",INDEX('Vendor COIs'!$B$4:$B$503,(_calc!$E$552-500)))))</f>
        <v/>
      </c>
      <c r="B550" s="46">
        <f>IF(_calc!$E$552="","",IF(_calc!$E$552&lt;=500,IF(ISNUMBER(INDEX('Our policies'!$J$4:$J$503,_calc!$E$552)),TEXT(INDEX('Our policies'!$J$4:$J$503,_calc!$E$552),"yyyy-mm-dd"),""),IF(ISNUMBER(INDEX('Vendor COIs'!$H$4:$H$503,(_calc!$E$552-500))),TEXT(INDEX('Vendor COIs'!$H$4:$H$503,(_calc!$E$552-500)),"yyyy-mm-dd"),"")))</f>
        <v/>
      </c>
      <c r="C550" s="46">
        <f>IF(_calc!$E$552="","",IF(_calc!$E$552&lt;=500,"Insurance","Certificate of insurance"))</f>
        <v/>
      </c>
      <c r="D550" s="46">
        <f>IF(_calc!$E$552="","",IF(_calc!$E$552&lt;=500,IF(ISNUMBER(INDEX('Our policies'!$I$4:$I$503,_calc!$E$552)),TEXT(INDEX('Our policies'!$I$4:$I$503,_calc!$E$552),"yyyy-mm-dd"),""),""))</f>
        <v/>
      </c>
      <c r="E550" s="46">
        <f>IF(_calc!$E$552="","",IF(_calc!$E$552&lt;=500,IF(LEN(INDEX('Our policies'!$Q$4:$Q$503,_calc!$E$552))=0,"",INDEX('Our policies'!$Q$4:$Q$503,_calc!$E$552)),"Medium"))</f>
        <v/>
      </c>
      <c r="F550" s="46">
        <f>IF(_calc!$E$552="","",IF(_calc!$E$552&lt;=500,TRIM(IF(LEN(IF(LEN(INDEX('Our policies'!$B$4:$B$503,_calc!$E$552))=0,"",INDEX('Our policies'!$B$4:$B$503,_calc!$E$552)))=0,"","Cover: "&amp;IF(LEN(INDEX('Our policies'!$B$4:$B$503,_calc!$E$552))=0,"",INDEX('Our policies'!$B$4:$B$503,_calc!$E$552))&amp;". ")&amp;IF(LEN(IF(LEN(INDEX('Our policies'!$C$4:$C$503,_calc!$E$552))=0,"",INDEX('Our policies'!$C$4:$C$503,_calc!$E$552)))=0,"","Insurer: "&amp;IF(LEN(INDEX('Our policies'!$C$4:$C$503,_calc!$E$552))=0,"",INDEX('Our policies'!$C$4:$C$503,_calc!$E$552))&amp;". ")&amp;IF(LEN(IF(LEN(INDEX('Our policies'!$D$4:$D$503,_calc!$E$552))=0,"",INDEX('Our policies'!$D$4:$D$503,_calc!$E$552)))=0,"","Broker: "&amp;IF(LEN(INDEX('Our policies'!$D$4:$D$503,_calc!$E$552))=0,"",INDEX('Our policies'!$D$4:$D$503,_calc!$E$552))&amp;". ")&amp;IF(LEN(IF(LEN(INDEX('Our policies'!$E$4:$E$503,_calc!$E$552))=0,"",INDEX('Our policies'!$E$4:$E$503,_calc!$E$552)))=0,"","Policy no.: "&amp;IF(LEN(INDEX('Our policies'!$E$4:$E$503,_calc!$E$552))=0,"",INDEX('Our policies'!$E$4:$E$503,_calc!$E$552))&amp;". ")&amp;IF(LEN(IF(LEN(INDEX('Our policies'!$S$4:$S$503,_calc!$E$552))=0,"",INDEX('Our policies'!$S$4:$S$503,_calc!$E$552)))=0,"",IF(LEN(INDEX('Our policies'!$S$4:$S$503,_calc!$E$552))=0,"",INDEX('Our policies'!$S$4:$S$503,_calc!$E$552)))),TRIM(IF(LEN(IF(LEN(INDEX('Vendor COIs'!$C$4:$C$503,(_calc!$E$552-500)))=0,"",INDEX('Vendor COIs'!$C$4:$C$503,(_calc!$E$552-500))))=0,"","Insurer: "&amp;IF(LEN(INDEX('Vendor COIs'!$C$4:$C$503,(_calc!$E$552-500)))=0,"",INDEX('Vendor COIs'!$C$4:$C$503,(_calc!$E$552-500)))&amp;". ")&amp;IF(LEN(IF(LEN(INDEX('Vendor COIs'!$D$4:$D$503,(_calc!$E$552-500)))=0,"",INDEX('Vendor COIs'!$D$4:$D$503,(_calc!$E$552-500))))=0,"","Policy no.: "&amp;IF(LEN(INDEX('Vendor COIs'!$D$4:$D$503,(_calc!$E$552-500)))=0,"",INDEX('Vendor COIs'!$D$4:$D$503,(_calc!$E$552-500)))&amp;". ")&amp;IF(LEN(IF(LEN(INDEX('Vendor COIs'!$F$4:$F$503,(_calc!$E$552-500)))=0,"",INDEX('Vendor COIs'!$F$4:$F$503,(_calc!$E$552-500))))=0,"","Meets minimum: "&amp;IF(LEN(INDEX('Vendor COIs'!$F$4:$F$503,(_calc!$E$552-500)))=0,"",INDEX('Vendor COIs'!$F$4:$F$503,(_calc!$E$552-500)))&amp;". ")&amp;IF(LEN(IF(LEN(INDEX('Vendor COIs'!$G$4:$G$503,(_calc!$E$552-500)))=0,"",INDEX('Vendor COIs'!$G$4:$G$503,(_calc!$E$552-500))))=0,"","Additional insured: "&amp;IF(LEN(INDEX('Vendor COIs'!$G$4:$G$503,(_calc!$E$552-500)))=0,"",INDEX('Vendor COIs'!$G$4:$G$503,(_calc!$E$552-500)))&amp;". ")&amp;IF(LEN(IF(LEN(INDEX('Vendor COIs'!$M$4:$M$503,(_calc!$E$552-500)))=0,"",INDEX('Vendor COIs'!$M$4:$M$503,(_calc!$E$552-500))))=0,"","Vendor contact: "&amp;IF(LEN(INDEX('Vendor COIs'!$M$4:$M$503,(_calc!$E$552-500)))=0,"",INDEX('Vendor COIs'!$M$4:$M$503,(_calc!$E$552-500)))&amp;". ")&amp;IF(LEN(IF(LEN(INDEX('Vendor COIs'!$P$4:$P$503,(_calc!$E$552-500)))=0,"",INDEX('Vendor COIs'!$P$4:$P$503,(_calc!$E$552-500))))=0,"",IF(LEN(INDEX('Vendor COIs'!$P$4:$P$503,(_calc!$E$552-500)))=0,"",INDEX('Vendor COIs'!$P$4:$P$503,(_calc!$E$552-500)))))))</f>
        <v/>
      </c>
      <c r="G550" s="46">
        <f>IF(_calc!$E$552="","",IF(_calc!$E$552&lt;=500,IF(LEN(INDEX('Our policies'!$R$4:$R$503,_calc!$E$552))=0,"",INDEX('Our policies'!$R$4:$R$503,_calc!$E$552)),IF(LEN(INDEX('Vendor COIs'!$O$4:$O$503,(_calc!$E$552-500)))=0,"",INDEX('Vendor COIs'!$O$4:$O$503,(_calc!$E$552-500)))))</f>
        <v/>
      </c>
      <c r="H550" s="46">
        <f>IF(_calc!$E$552="","",IF(_calc!$E$552&lt;=500,IF(LEN(INDEX('Our policies'!$G$4:$G$503,_calc!$E$552))=0,"",INDEX('Our policies'!$G$4:$G$503,_calc!$E$552)),""))</f>
        <v/>
      </c>
      <c r="I550" s="46">
        <f>IF(_calc!$E$552="","",IF(_calc!$E$552&lt;=500,IF(LEN(INDEX('Our policies'!$H$4:$H$503,_calc!$E$552))=0,"",INDEX('Our policies'!$H$4:$H$503,_calc!$E$552)),""))</f>
        <v/>
      </c>
      <c r="K550" s="46">
        <f>IF(_calc!$E$552="","",IF(_calc!$E$552&lt;=500,IF(LEN(INDEX('Our policies'!$P$4:$P$503,_calc!$E$552))=0,"",INDEX('Our policies'!$P$4:$P$503,_calc!$E$552)),IF(LEN(INDEX('Vendor COIs'!$N$4:$N$503,(_calc!$E$552-500)))=0,"",INDEX('Vendor COIs'!$N$4:$N$503,(_calc!$E$552-500)))))</f>
        <v/>
      </c>
    </row>
    <row r="551">
      <c r="A551" s="46">
        <f>IF(_calc!$E$553="","",IF(_calc!$E$553&lt;=500,IF(LEN(INDEX('Our policies'!$A$4:$A$503,_calc!$E$553))=0,"",INDEX('Our policies'!$A$4:$A$503,_calc!$E$553)),"COI – "&amp;IF(LEN(INDEX('Vendor COIs'!$A$4:$A$503,(_calc!$E$553-500)))=0,"",INDEX('Vendor COIs'!$A$4:$A$503,(_calc!$E$553-500)))&amp;" – "&amp;IF(LEN(INDEX('Vendor COIs'!$B$4:$B$503,(_calc!$E$553-500)))=0,"",INDEX('Vendor COIs'!$B$4:$B$503,(_calc!$E$553-500)))))</f>
        <v/>
      </c>
      <c r="B551" s="46">
        <f>IF(_calc!$E$553="","",IF(_calc!$E$553&lt;=500,IF(ISNUMBER(INDEX('Our policies'!$J$4:$J$503,_calc!$E$553)),TEXT(INDEX('Our policies'!$J$4:$J$503,_calc!$E$553),"yyyy-mm-dd"),""),IF(ISNUMBER(INDEX('Vendor COIs'!$H$4:$H$503,(_calc!$E$553-500))),TEXT(INDEX('Vendor COIs'!$H$4:$H$503,(_calc!$E$553-500)),"yyyy-mm-dd"),"")))</f>
        <v/>
      </c>
      <c r="C551" s="46">
        <f>IF(_calc!$E$553="","",IF(_calc!$E$553&lt;=500,"Insurance","Certificate of insurance"))</f>
        <v/>
      </c>
      <c r="D551" s="46">
        <f>IF(_calc!$E$553="","",IF(_calc!$E$553&lt;=500,IF(ISNUMBER(INDEX('Our policies'!$I$4:$I$503,_calc!$E$553)),TEXT(INDEX('Our policies'!$I$4:$I$503,_calc!$E$553),"yyyy-mm-dd"),""),""))</f>
        <v/>
      </c>
      <c r="E551" s="46">
        <f>IF(_calc!$E$553="","",IF(_calc!$E$553&lt;=500,IF(LEN(INDEX('Our policies'!$Q$4:$Q$503,_calc!$E$553))=0,"",INDEX('Our policies'!$Q$4:$Q$503,_calc!$E$553)),"Medium"))</f>
        <v/>
      </c>
      <c r="F551" s="46">
        <f>IF(_calc!$E$553="","",IF(_calc!$E$553&lt;=500,TRIM(IF(LEN(IF(LEN(INDEX('Our policies'!$B$4:$B$503,_calc!$E$553))=0,"",INDEX('Our policies'!$B$4:$B$503,_calc!$E$553)))=0,"","Cover: "&amp;IF(LEN(INDEX('Our policies'!$B$4:$B$503,_calc!$E$553))=0,"",INDEX('Our policies'!$B$4:$B$503,_calc!$E$553))&amp;". ")&amp;IF(LEN(IF(LEN(INDEX('Our policies'!$C$4:$C$503,_calc!$E$553))=0,"",INDEX('Our policies'!$C$4:$C$503,_calc!$E$553)))=0,"","Insurer: "&amp;IF(LEN(INDEX('Our policies'!$C$4:$C$503,_calc!$E$553))=0,"",INDEX('Our policies'!$C$4:$C$503,_calc!$E$553))&amp;". ")&amp;IF(LEN(IF(LEN(INDEX('Our policies'!$D$4:$D$503,_calc!$E$553))=0,"",INDEX('Our policies'!$D$4:$D$503,_calc!$E$553)))=0,"","Broker: "&amp;IF(LEN(INDEX('Our policies'!$D$4:$D$503,_calc!$E$553))=0,"",INDEX('Our policies'!$D$4:$D$503,_calc!$E$553))&amp;". ")&amp;IF(LEN(IF(LEN(INDEX('Our policies'!$E$4:$E$503,_calc!$E$553))=0,"",INDEX('Our policies'!$E$4:$E$503,_calc!$E$553)))=0,"","Policy no.: "&amp;IF(LEN(INDEX('Our policies'!$E$4:$E$503,_calc!$E$553))=0,"",INDEX('Our policies'!$E$4:$E$503,_calc!$E$553))&amp;". ")&amp;IF(LEN(IF(LEN(INDEX('Our policies'!$S$4:$S$503,_calc!$E$553))=0,"",INDEX('Our policies'!$S$4:$S$503,_calc!$E$553)))=0,"",IF(LEN(INDEX('Our policies'!$S$4:$S$503,_calc!$E$553))=0,"",INDEX('Our policies'!$S$4:$S$503,_calc!$E$553)))),TRIM(IF(LEN(IF(LEN(INDEX('Vendor COIs'!$C$4:$C$503,(_calc!$E$553-500)))=0,"",INDEX('Vendor COIs'!$C$4:$C$503,(_calc!$E$553-500))))=0,"","Insurer: "&amp;IF(LEN(INDEX('Vendor COIs'!$C$4:$C$503,(_calc!$E$553-500)))=0,"",INDEX('Vendor COIs'!$C$4:$C$503,(_calc!$E$553-500)))&amp;". ")&amp;IF(LEN(IF(LEN(INDEX('Vendor COIs'!$D$4:$D$503,(_calc!$E$553-500)))=0,"",INDEX('Vendor COIs'!$D$4:$D$503,(_calc!$E$553-500))))=0,"","Policy no.: "&amp;IF(LEN(INDEX('Vendor COIs'!$D$4:$D$503,(_calc!$E$553-500)))=0,"",INDEX('Vendor COIs'!$D$4:$D$503,(_calc!$E$553-500)))&amp;". ")&amp;IF(LEN(IF(LEN(INDEX('Vendor COIs'!$F$4:$F$503,(_calc!$E$553-500)))=0,"",INDEX('Vendor COIs'!$F$4:$F$503,(_calc!$E$553-500))))=0,"","Meets minimum: "&amp;IF(LEN(INDEX('Vendor COIs'!$F$4:$F$503,(_calc!$E$553-500)))=0,"",INDEX('Vendor COIs'!$F$4:$F$503,(_calc!$E$553-500)))&amp;". ")&amp;IF(LEN(IF(LEN(INDEX('Vendor COIs'!$G$4:$G$503,(_calc!$E$553-500)))=0,"",INDEX('Vendor COIs'!$G$4:$G$503,(_calc!$E$553-500))))=0,"","Additional insured: "&amp;IF(LEN(INDEX('Vendor COIs'!$G$4:$G$503,(_calc!$E$553-500)))=0,"",INDEX('Vendor COIs'!$G$4:$G$503,(_calc!$E$553-500)))&amp;". ")&amp;IF(LEN(IF(LEN(INDEX('Vendor COIs'!$M$4:$M$503,(_calc!$E$553-500)))=0,"",INDEX('Vendor COIs'!$M$4:$M$503,(_calc!$E$553-500))))=0,"","Vendor contact: "&amp;IF(LEN(INDEX('Vendor COIs'!$M$4:$M$503,(_calc!$E$553-500)))=0,"",INDEX('Vendor COIs'!$M$4:$M$503,(_calc!$E$553-500)))&amp;". ")&amp;IF(LEN(IF(LEN(INDEX('Vendor COIs'!$P$4:$P$503,(_calc!$E$553-500)))=0,"",INDEX('Vendor COIs'!$P$4:$P$503,(_calc!$E$553-500))))=0,"",IF(LEN(INDEX('Vendor COIs'!$P$4:$P$503,(_calc!$E$553-500)))=0,"",INDEX('Vendor COIs'!$P$4:$P$503,(_calc!$E$553-500)))))))</f>
        <v/>
      </c>
      <c r="G551" s="46">
        <f>IF(_calc!$E$553="","",IF(_calc!$E$553&lt;=500,IF(LEN(INDEX('Our policies'!$R$4:$R$503,_calc!$E$553))=0,"",INDEX('Our policies'!$R$4:$R$503,_calc!$E$553)),IF(LEN(INDEX('Vendor COIs'!$O$4:$O$503,(_calc!$E$553-500)))=0,"",INDEX('Vendor COIs'!$O$4:$O$503,(_calc!$E$553-500)))))</f>
        <v/>
      </c>
      <c r="H551" s="46">
        <f>IF(_calc!$E$553="","",IF(_calc!$E$553&lt;=500,IF(LEN(INDEX('Our policies'!$G$4:$G$503,_calc!$E$553))=0,"",INDEX('Our policies'!$G$4:$G$503,_calc!$E$553)),""))</f>
        <v/>
      </c>
      <c r="I551" s="46">
        <f>IF(_calc!$E$553="","",IF(_calc!$E$553&lt;=500,IF(LEN(INDEX('Our policies'!$H$4:$H$503,_calc!$E$553))=0,"",INDEX('Our policies'!$H$4:$H$503,_calc!$E$553)),""))</f>
        <v/>
      </c>
      <c r="K551" s="46">
        <f>IF(_calc!$E$553="","",IF(_calc!$E$553&lt;=500,IF(LEN(INDEX('Our policies'!$P$4:$P$503,_calc!$E$553))=0,"",INDEX('Our policies'!$P$4:$P$503,_calc!$E$553)),IF(LEN(INDEX('Vendor COIs'!$N$4:$N$503,(_calc!$E$553-500)))=0,"",INDEX('Vendor COIs'!$N$4:$N$503,(_calc!$E$553-500)))))</f>
        <v/>
      </c>
    </row>
    <row r="552">
      <c r="A552" s="46">
        <f>IF(_calc!$E$554="","",IF(_calc!$E$554&lt;=500,IF(LEN(INDEX('Our policies'!$A$4:$A$503,_calc!$E$554))=0,"",INDEX('Our policies'!$A$4:$A$503,_calc!$E$554)),"COI – "&amp;IF(LEN(INDEX('Vendor COIs'!$A$4:$A$503,(_calc!$E$554-500)))=0,"",INDEX('Vendor COIs'!$A$4:$A$503,(_calc!$E$554-500)))&amp;" – "&amp;IF(LEN(INDEX('Vendor COIs'!$B$4:$B$503,(_calc!$E$554-500)))=0,"",INDEX('Vendor COIs'!$B$4:$B$503,(_calc!$E$554-500)))))</f>
        <v/>
      </c>
      <c r="B552" s="46">
        <f>IF(_calc!$E$554="","",IF(_calc!$E$554&lt;=500,IF(ISNUMBER(INDEX('Our policies'!$J$4:$J$503,_calc!$E$554)),TEXT(INDEX('Our policies'!$J$4:$J$503,_calc!$E$554),"yyyy-mm-dd"),""),IF(ISNUMBER(INDEX('Vendor COIs'!$H$4:$H$503,(_calc!$E$554-500))),TEXT(INDEX('Vendor COIs'!$H$4:$H$503,(_calc!$E$554-500)),"yyyy-mm-dd"),"")))</f>
        <v/>
      </c>
      <c r="C552" s="46">
        <f>IF(_calc!$E$554="","",IF(_calc!$E$554&lt;=500,"Insurance","Certificate of insurance"))</f>
        <v/>
      </c>
      <c r="D552" s="46">
        <f>IF(_calc!$E$554="","",IF(_calc!$E$554&lt;=500,IF(ISNUMBER(INDEX('Our policies'!$I$4:$I$503,_calc!$E$554)),TEXT(INDEX('Our policies'!$I$4:$I$503,_calc!$E$554),"yyyy-mm-dd"),""),""))</f>
        <v/>
      </c>
      <c r="E552" s="46">
        <f>IF(_calc!$E$554="","",IF(_calc!$E$554&lt;=500,IF(LEN(INDEX('Our policies'!$Q$4:$Q$503,_calc!$E$554))=0,"",INDEX('Our policies'!$Q$4:$Q$503,_calc!$E$554)),"Medium"))</f>
        <v/>
      </c>
      <c r="F552" s="46">
        <f>IF(_calc!$E$554="","",IF(_calc!$E$554&lt;=500,TRIM(IF(LEN(IF(LEN(INDEX('Our policies'!$B$4:$B$503,_calc!$E$554))=0,"",INDEX('Our policies'!$B$4:$B$503,_calc!$E$554)))=0,"","Cover: "&amp;IF(LEN(INDEX('Our policies'!$B$4:$B$503,_calc!$E$554))=0,"",INDEX('Our policies'!$B$4:$B$503,_calc!$E$554))&amp;". ")&amp;IF(LEN(IF(LEN(INDEX('Our policies'!$C$4:$C$503,_calc!$E$554))=0,"",INDEX('Our policies'!$C$4:$C$503,_calc!$E$554)))=0,"","Insurer: "&amp;IF(LEN(INDEX('Our policies'!$C$4:$C$503,_calc!$E$554))=0,"",INDEX('Our policies'!$C$4:$C$503,_calc!$E$554))&amp;". ")&amp;IF(LEN(IF(LEN(INDEX('Our policies'!$D$4:$D$503,_calc!$E$554))=0,"",INDEX('Our policies'!$D$4:$D$503,_calc!$E$554)))=0,"","Broker: "&amp;IF(LEN(INDEX('Our policies'!$D$4:$D$503,_calc!$E$554))=0,"",INDEX('Our policies'!$D$4:$D$503,_calc!$E$554))&amp;". ")&amp;IF(LEN(IF(LEN(INDEX('Our policies'!$E$4:$E$503,_calc!$E$554))=0,"",INDEX('Our policies'!$E$4:$E$503,_calc!$E$554)))=0,"","Policy no.: "&amp;IF(LEN(INDEX('Our policies'!$E$4:$E$503,_calc!$E$554))=0,"",INDEX('Our policies'!$E$4:$E$503,_calc!$E$554))&amp;". ")&amp;IF(LEN(IF(LEN(INDEX('Our policies'!$S$4:$S$503,_calc!$E$554))=0,"",INDEX('Our policies'!$S$4:$S$503,_calc!$E$554)))=0,"",IF(LEN(INDEX('Our policies'!$S$4:$S$503,_calc!$E$554))=0,"",INDEX('Our policies'!$S$4:$S$503,_calc!$E$554)))),TRIM(IF(LEN(IF(LEN(INDEX('Vendor COIs'!$C$4:$C$503,(_calc!$E$554-500)))=0,"",INDEX('Vendor COIs'!$C$4:$C$503,(_calc!$E$554-500))))=0,"","Insurer: "&amp;IF(LEN(INDEX('Vendor COIs'!$C$4:$C$503,(_calc!$E$554-500)))=0,"",INDEX('Vendor COIs'!$C$4:$C$503,(_calc!$E$554-500)))&amp;". ")&amp;IF(LEN(IF(LEN(INDEX('Vendor COIs'!$D$4:$D$503,(_calc!$E$554-500)))=0,"",INDEX('Vendor COIs'!$D$4:$D$503,(_calc!$E$554-500))))=0,"","Policy no.: "&amp;IF(LEN(INDEX('Vendor COIs'!$D$4:$D$503,(_calc!$E$554-500)))=0,"",INDEX('Vendor COIs'!$D$4:$D$503,(_calc!$E$554-500)))&amp;". ")&amp;IF(LEN(IF(LEN(INDEX('Vendor COIs'!$F$4:$F$503,(_calc!$E$554-500)))=0,"",INDEX('Vendor COIs'!$F$4:$F$503,(_calc!$E$554-500))))=0,"","Meets minimum: "&amp;IF(LEN(INDEX('Vendor COIs'!$F$4:$F$503,(_calc!$E$554-500)))=0,"",INDEX('Vendor COIs'!$F$4:$F$503,(_calc!$E$554-500)))&amp;". ")&amp;IF(LEN(IF(LEN(INDEX('Vendor COIs'!$G$4:$G$503,(_calc!$E$554-500)))=0,"",INDEX('Vendor COIs'!$G$4:$G$503,(_calc!$E$554-500))))=0,"","Additional insured: "&amp;IF(LEN(INDEX('Vendor COIs'!$G$4:$G$503,(_calc!$E$554-500)))=0,"",INDEX('Vendor COIs'!$G$4:$G$503,(_calc!$E$554-500)))&amp;". ")&amp;IF(LEN(IF(LEN(INDEX('Vendor COIs'!$M$4:$M$503,(_calc!$E$554-500)))=0,"",INDEX('Vendor COIs'!$M$4:$M$503,(_calc!$E$554-500))))=0,"","Vendor contact: "&amp;IF(LEN(INDEX('Vendor COIs'!$M$4:$M$503,(_calc!$E$554-500)))=0,"",INDEX('Vendor COIs'!$M$4:$M$503,(_calc!$E$554-500)))&amp;". ")&amp;IF(LEN(IF(LEN(INDEX('Vendor COIs'!$P$4:$P$503,(_calc!$E$554-500)))=0,"",INDEX('Vendor COIs'!$P$4:$P$503,(_calc!$E$554-500))))=0,"",IF(LEN(INDEX('Vendor COIs'!$P$4:$P$503,(_calc!$E$554-500)))=0,"",INDEX('Vendor COIs'!$P$4:$P$503,(_calc!$E$554-500)))))))</f>
        <v/>
      </c>
      <c r="G552" s="46">
        <f>IF(_calc!$E$554="","",IF(_calc!$E$554&lt;=500,IF(LEN(INDEX('Our policies'!$R$4:$R$503,_calc!$E$554))=0,"",INDEX('Our policies'!$R$4:$R$503,_calc!$E$554)),IF(LEN(INDEX('Vendor COIs'!$O$4:$O$503,(_calc!$E$554-500)))=0,"",INDEX('Vendor COIs'!$O$4:$O$503,(_calc!$E$554-500)))))</f>
        <v/>
      </c>
      <c r="H552" s="46">
        <f>IF(_calc!$E$554="","",IF(_calc!$E$554&lt;=500,IF(LEN(INDEX('Our policies'!$G$4:$G$503,_calc!$E$554))=0,"",INDEX('Our policies'!$G$4:$G$503,_calc!$E$554)),""))</f>
        <v/>
      </c>
      <c r="I552" s="46">
        <f>IF(_calc!$E$554="","",IF(_calc!$E$554&lt;=500,IF(LEN(INDEX('Our policies'!$H$4:$H$503,_calc!$E$554))=0,"",INDEX('Our policies'!$H$4:$H$503,_calc!$E$554)),""))</f>
        <v/>
      </c>
      <c r="K552" s="46">
        <f>IF(_calc!$E$554="","",IF(_calc!$E$554&lt;=500,IF(LEN(INDEX('Our policies'!$P$4:$P$503,_calc!$E$554))=0,"",INDEX('Our policies'!$P$4:$P$503,_calc!$E$554)),IF(LEN(INDEX('Vendor COIs'!$N$4:$N$503,(_calc!$E$554-500)))=0,"",INDEX('Vendor COIs'!$N$4:$N$503,(_calc!$E$554-500)))))</f>
        <v/>
      </c>
    </row>
    <row r="553">
      <c r="A553" s="46">
        <f>IF(_calc!$E$555="","",IF(_calc!$E$555&lt;=500,IF(LEN(INDEX('Our policies'!$A$4:$A$503,_calc!$E$555))=0,"",INDEX('Our policies'!$A$4:$A$503,_calc!$E$555)),"COI – "&amp;IF(LEN(INDEX('Vendor COIs'!$A$4:$A$503,(_calc!$E$555-500)))=0,"",INDEX('Vendor COIs'!$A$4:$A$503,(_calc!$E$555-500)))&amp;" – "&amp;IF(LEN(INDEX('Vendor COIs'!$B$4:$B$503,(_calc!$E$555-500)))=0,"",INDEX('Vendor COIs'!$B$4:$B$503,(_calc!$E$555-500)))))</f>
        <v/>
      </c>
      <c r="B553" s="46">
        <f>IF(_calc!$E$555="","",IF(_calc!$E$555&lt;=500,IF(ISNUMBER(INDEX('Our policies'!$J$4:$J$503,_calc!$E$555)),TEXT(INDEX('Our policies'!$J$4:$J$503,_calc!$E$555),"yyyy-mm-dd"),""),IF(ISNUMBER(INDEX('Vendor COIs'!$H$4:$H$503,(_calc!$E$555-500))),TEXT(INDEX('Vendor COIs'!$H$4:$H$503,(_calc!$E$555-500)),"yyyy-mm-dd"),"")))</f>
        <v/>
      </c>
      <c r="C553" s="46">
        <f>IF(_calc!$E$555="","",IF(_calc!$E$555&lt;=500,"Insurance","Certificate of insurance"))</f>
        <v/>
      </c>
      <c r="D553" s="46">
        <f>IF(_calc!$E$555="","",IF(_calc!$E$555&lt;=500,IF(ISNUMBER(INDEX('Our policies'!$I$4:$I$503,_calc!$E$555)),TEXT(INDEX('Our policies'!$I$4:$I$503,_calc!$E$555),"yyyy-mm-dd"),""),""))</f>
        <v/>
      </c>
      <c r="E553" s="46">
        <f>IF(_calc!$E$555="","",IF(_calc!$E$555&lt;=500,IF(LEN(INDEX('Our policies'!$Q$4:$Q$503,_calc!$E$555))=0,"",INDEX('Our policies'!$Q$4:$Q$503,_calc!$E$555)),"Medium"))</f>
        <v/>
      </c>
      <c r="F553" s="46">
        <f>IF(_calc!$E$555="","",IF(_calc!$E$555&lt;=500,TRIM(IF(LEN(IF(LEN(INDEX('Our policies'!$B$4:$B$503,_calc!$E$555))=0,"",INDEX('Our policies'!$B$4:$B$503,_calc!$E$555)))=0,"","Cover: "&amp;IF(LEN(INDEX('Our policies'!$B$4:$B$503,_calc!$E$555))=0,"",INDEX('Our policies'!$B$4:$B$503,_calc!$E$555))&amp;". ")&amp;IF(LEN(IF(LEN(INDEX('Our policies'!$C$4:$C$503,_calc!$E$555))=0,"",INDEX('Our policies'!$C$4:$C$503,_calc!$E$555)))=0,"","Insurer: "&amp;IF(LEN(INDEX('Our policies'!$C$4:$C$503,_calc!$E$555))=0,"",INDEX('Our policies'!$C$4:$C$503,_calc!$E$555))&amp;". ")&amp;IF(LEN(IF(LEN(INDEX('Our policies'!$D$4:$D$503,_calc!$E$555))=0,"",INDEX('Our policies'!$D$4:$D$503,_calc!$E$555)))=0,"","Broker: "&amp;IF(LEN(INDEX('Our policies'!$D$4:$D$503,_calc!$E$555))=0,"",INDEX('Our policies'!$D$4:$D$503,_calc!$E$555))&amp;". ")&amp;IF(LEN(IF(LEN(INDEX('Our policies'!$E$4:$E$503,_calc!$E$555))=0,"",INDEX('Our policies'!$E$4:$E$503,_calc!$E$555)))=0,"","Policy no.: "&amp;IF(LEN(INDEX('Our policies'!$E$4:$E$503,_calc!$E$555))=0,"",INDEX('Our policies'!$E$4:$E$503,_calc!$E$555))&amp;". ")&amp;IF(LEN(IF(LEN(INDEX('Our policies'!$S$4:$S$503,_calc!$E$555))=0,"",INDEX('Our policies'!$S$4:$S$503,_calc!$E$555)))=0,"",IF(LEN(INDEX('Our policies'!$S$4:$S$503,_calc!$E$555))=0,"",INDEX('Our policies'!$S$4:$S$503,_calc!$E$555)))),TRIM(IF(LEN(IF(LEN(INDEX('Vendor COIs'!$C$4:$C$503,(_calc!$E$555-500)))=0,"",INDEX('Vendor COIs'!$C$4:$C$503,(_calc!$E$555-500))))=0,"","Insurer: "&amp;IF(LEN(INDEX('Vendor COIs'!$C$4:$C$503,(_calc!$E$555-500)))=0,"",INDEX('Vendor COIs'!$C$4:$C$503,(_calc!$E$555-500)))&amp;". ")&amp;IF(LEN(IF(LEN(INDEX('Vendor COIs'!$D$4:$D$503,(_calc!$E$555-500)))=0,"",INDEX('Vendor COIs'!$D$4:$D$503,(_calc!$E$555-500))))=0,"","Policy no.: "&amp;IF(LEN(INDEX('Vendor COIs'!$D$4:$D$503,(_calc!$E$555-500)))=0,"",INDEX('Vendor COIs'!$D$4:$D$503,(_calc!$E$555-500)))&amp;". ")&amp;IF(LEN(IF(LEN(INDEX('Vendor COIs'!$F$4:$F$503,(_calc!$E$555-500)))=0,"",INDEX('Vendor COIs'!$F$4:$F$503,(_calc!$E$555-500))))=0,"","Meets minimum: "&amp;IF(LEN(INDEX('Vendor COIs'!$F$4:$F$503,(_calc!$E$555-500)))=0,"",INDEX('Vendor COIs'!$F$4:$F$503,(_calc!$E$555-500)))&amp;". ")&amp;IF(LEN(IF(LEN(INDEX('Vendor COIs'!$G$4:$G$503,(_calc!$E$555-500)))=0,"",INDEX('Vendor COIs'!$G$4:$G$503,(_calc!$E$555-500))))=0,"","Additional insured: "&amp;IF(LEN(INDEX('Vendor COIs'!$G$4:$G$503,(_calc!$E$555-500)))=0,"",INDEX('Vendor COIs'!$G$4:$G$503,(_calc!$E$555-500)))&amp;". ")&amp;IF(LEN(IF(LEN(INDEX('Vendor COIs'!$M$4:$M$503,(_calc!$E$555-500)))=0,"",INDEX('Vendor COIs'!$M$4:$M$503,(_calc!$E$555-500))))=0,"","Vendor contact: "&amp;IF(LEN(INDEX('Vendor COIs'!$M$4:$M$503,(_calc!$E$555-500)))=0,"",INDEX('Vendor COIs'!$M$4:$M$503,(_calc!$E$555-500)))&amp;". ")&amp;IF(LEN(IF(LEN(INDEX('Vendor COIs'!$P$4:$P$503,(_calc!$E$555-500)))=0,"",INDEX('Vendor COIs'!$P$4:$P$503,(_calc!$E$555-500))))=0,"",IF(LEN(INDEX('Vendor COIs'!$P$4:$P$503,(_calc!$E$555-500)))=0,"",INDEX('Vendor COIs'!$P$4:$P$503,(_calc!$E$555-500)))))))</f>
        <v/>
      </c>
      <c r="G553" s="46">
        <f>IF(_calc!$E$555="","",IF(_calc!$E$555&lt;=500,IF(LEN(INDEX('Our policies'!$R$4:$R$503,_calc!$E$555))=0,"",INDEX('Our policies'!$R$4:$R$503,_calc!$E$555)),IF(LEN(INDEX('Vendor COIs'!$O$4:$O$503,(_calc!$E$555-500)))=0,"",INDEX('Vendor COIs'!$O$4:$O$503,(_calc!$E$555-500)))))</f>
        <v/>
      </c>
      <c r="H553" s="46">
        <f>IF(_calc!$E$555="","",IF(_calc!$E$555&lt;=500,IF(LEN(INDEX('Our policies'!$G$4:$G$503,_calc!$E$555))=0,"",INDEX('Our policies'!$G$4:$G$503,_calc!$E$555)),""))</f>
        <v/>
      </c>
      <c r="I553" s="46">
        <f>IF(_calc!$E$555="","",IF(_calc!$E$555&lt;=500,IF(LEN(INDEX('Our policies'!$H$4:$H$503,_calc!$E$555))=0,"",INDEX('Our policies'!$H$4:$H$503,_calc!$E$555)),""))</f>
        <v/>
      </c>
      <c r="K553" s="46">
        <f>IF(_calc!$E$555="","",IF(_calc!$E$555&lt;=500,IF(LEN(INDEX('Our policies'!$P$4:$P$503,_calc!$E$555))=0,"",INDEX('Our policies'!$P$4:$P$503,_calc!$E$555)),IF(LEN(INDEX('Vendor COIs'!$N$4:$N$503,(_calc!$E$555-500)))=0,"",INDEX('Vendor COIs'!$N$4:$N$503,(_calc!$E$555-500)))))</f>
        <v/>
      </c>
    </row>
    <row r="554">
      <c r="A554" s="46">
        <f>IF(_calc!$E$556="","",IF(_calc!$E$556&lt;=500,IF(LEN(INDEX('Our policies'!$A$4:$A$503,_calc!$E$556))=0,"",INDEX('Our policies'!$A$4:$A$503,_calc!$E$556)),"COI – "&amp;IF(LEN(INDEX('Vendor COIs'!$A$4:$A$503,(_calc!$E$556-500)))=0,"",INDEX('Vendor COIs'!$A$4:$A$503,(_calc!$E$556-500)))&amp;" – "&amp;IF(LEN(INDEX('Vendor COIs'!$B$4:$B$503,(_calc!$E$556-500)))=0,"",INDEX('Vendor COIs'!$B$4:$B$503,(_calc!$E$556-500)))))</f>
        <v/>
      </c>
      <c r="B554" s="46">
        <f>IF(_calc!$E$556="","",IF(_calc!$E$556&lt;=500,IF(ISNUMBER(INDEX('Our policies'!$J$4:$J$503,_calc!$E$556)),TEXT(INDEX('Our policies'!$J$4:$J$503,_calc!$E$556),"yyyy-mm-dd"),""),IF(ISNUMBER(INDEX('Vendor COIs'!$H$4:$H$503,(_calc!$E$556-500))),TEXT(INDEX('Vendor COIs'!$H$4:$H$503,(_calc!$E$556-500)),"yyyy-mm-dd"),"")))</f>
        <v/>
      </c>
      <c r="C554" s="46">
        <f>IF(_calc!$E$556="","",IF(_calc!$E$556&lt;=500,"Insurance","Certificate of insurance"))</f>
        <v/>
      </c>
      <c r="D554" s="46">
        <f>IF(_calc!$E$556="","",IF(_calc!$E$556&lt;=500,IF(ISNUMBER(INDEX('Our policies'!$I$4:$I$503,_calc!$E$556)),TEXT(INDEX('Our policies'!$I$4:$I$503,_calc!$E$556),"yyyy-mm-dd"),""),""))</f>
        <v/>
      </c>
      <c r="E554" s="46">
        <f>IF(_calc!$E$556="","",IF(_calc!$E$556&lt;=500,IF(LEN(INDEX('Our policies'!$Q$4:$Q$503,_calc!$E$556))=0,"",INDEX('Our policies'!$Q$4:$Q$503,_calc!$E$556)),"Medium"))</f>
        <v/>
      </c>
      <c r="F554" s="46">
        <f>IF(_calc!$E$556="","",IF(_calc!$E$556&lt;=500,TRIM(IF(LEN(IF(LEN(INDEX('Our policies'!$B$4:$B$503,_calc!$E$556))=0,"",INDEX('Our policies'!$B$4:$B$503,_calc!$E$556)))=0,"","Cover: "&amp;IF(LEN(INDEX('Our policies'!$B$4:$B$503,_calc!$E$556))=0,"",INDEX('Our policies'!$B$4:$B$503,_calc!$E$556))&amp;". ")&amp;IF(LEN(IF(LEN(INDEX('Our policies'!$C$4:$C$503,_calc!$E$556))=0,"",INDEX('Our policies'!$C$4:$C$503,_calc!$E$556)))=0,"","Insurer: "&amp;IF(LEN(INDEX('Our policies'!$C$4:$C$503,_calc!$E$556))=0,"",INDEX('Our policies'!$C$4:$C$503,_calc!$E$556))&amp;". ")&amp;IF(LEN(IF(LEN(INDEX('Our policies'!$D$4:$D$503,_calc!$E$556))=0,"",INDEX('Our policies'!$D$4:$D$503,_calc!$E$556)))=0,"","Broker: "&amp;IF(LEN(INDEX('Our policies'!$D$4:$D$503,_calc!$E$556))=0,"",INDEX('Our policies'!$D$4:$D$503,_calc!$E$556))&amp;". ")&amp;IF(LEN(IF(LEN(INDEX('Our policies'!$E$4:$E$503,_calc!$E$556))=0,"",INDEX('Our policies'!$E$4:$E$503,_calc!$E$556)))=0,"","Policy no.: "&amp;IF(LEN(INDEX('Our policies'!$E$4:$E$503,_calc!$E$556))=0,"",INDEX('Our policies'!$E$4:$E$503,_calc!$E$556))&amp;". ")&amp;IF(LEN(IF(LEN(INDEX('Our policies'!$S$4:$S$503,_calc!$E$556))=0,"",INDEX('Our policies'!$S$4:$S$503,_calc!$E$556)))=0,"",IF(LEN(INDEX('Our policies'!$S$4:$S$503,_calc!$E$556))=0,"",INDEX('Our policies'!$S$4:$S$503,_calc!$E$556)))),TRIM(IF(LEN(IF(LEN(INDEX('Vendor COIs'!$C$4:$C$503,(_calc!$E$556-500)))=0,"",INDEX('Vendor COIs'!$C$4:$C$503,(_calc!$E$556-500))))=0,"","Insurer: "&amp;IF(LEN(INDEX('Vendor COIs'!$C$4:$C$503,(_calc!$E$556-500)))=0,"",INDEX('Vendor COIs'!$C$4:$C$503,(_calc!$E$556-500)))&amp;". ")&amp;IF(LEN(IF(LEN(INDEX('Vendor COIs'!$D$4:$D$503,(_calc!$E$556-500)))=0,"",INDEX('Vendor COIs'!$D$4:$D$503,(_calc!$E$556-500))))=0,"","Policy no.: "&amp;IF(LEN(INDEX('Vendor COIs'!$D$4:$D$503,(_calc!$E$556-500)))=0,"",INDEX('Vendor COIs'!$D$4:$D$503,(_calc!$E$556-500)))&amp;". ")&amp;IF(LEN(IF(LEN(INDEX('Vendor COIs'!$F$4:$F$503,(_calc!$E$556-500)))=0,"",INDEX('Vendor COIs'!$F$4:$F$503,(_calc!$E$556-500))))=0,"","Meets minimum: "&amp;IF(LEN(INDEX('Vendor COIs'!$F$4:$F$503,(_calc!$E$556-500)))=0,"",INDEX('Vendor COIs'!$F$4:$F$503,(_calc!$E$556-500)))&amp;". ")&amp;IF(LEN(IF(LEN(INDEX('Vendor COIs'!$G$4:$G$503,(_calc!$E$556-500)))=0,"",INDEX('Vendor COIs'!$G$4:$G$503,(_calc!$E$556-500))))=0,"","Additional insured: "&amp;IF(LEN(INDEX('Vendor COIs'!$G$4:$G$503,(_calc!$E$556-500)))=0,"",INDEX('Vendor COIs'!$G$4:$G$503,(_calc!$E$556-500)))&amp;". ")&amp;IF(LEN(IF(LEN(INDEX('Vendor COIs'!$M$4:$M$503,(_calc!$E$556-500)))=0,"",INDEX('Vendor COIs'!$M$4:$M$503,(_calc!$E$556-500))))=0,"","Vendor contact: "&amp;IF(LEN(INDEX('Vendor COIs'!$M$4:$M$503,(_calc!$E$556-500)))=0,"",INDEX('Vendor COIs'!$M$4:$M$503,(_calc!$E$556-500)))&amp;". ")&amp;IF(LEN(IF(LEN(INDEX('Vendor COIs'!$P$4:$P$503,(_calc!$E$556-500)))=0,"",INDEX('Vendor COIs'!$P$4:$P$503,(_calc!$E$556-500))))=0,"",IF(LEN(INDEX('Vendor COIs'!$P$4:$P$503,(_calc!$E$556-500)))=0,"",INDEX('Vendor COIs'!$P$4:$P$503,(_calc!$E$556-500)))))))</f>
        <v/>
      </c>
      <c r="G554" s="46">
        <f>IF(_calc!$E$556="","",IF(_calc!$E$556&lt;=500,IF(LEN(INDEX('Our policies'!$R$4:$R$503,_calc!$E$556))=0,"",INDEX('Our policies'!$R$4:$R$503,_calc!$E$556)),IF(LEN(INDEX('Vendor COIs'!$O$4:$O$503,(_calc!$E$556-500)))=0,"",INDEX('Vendor COIs'!$O$4:$O$503,(_calc!$E$556-500)))))</f>
        <v/>
      </c>
      <c r="H554" s="46">
        <f>IF(_calc!$E$556="","",IF(_calc!$E$556&lt;=500,IF(LEN(INDEX('Our policies'!$G$4:$G$503,_calc!$E$556))=0,"",INDEX('Our policies'!$G$4:$G$503,_calc!$E$556)),""))</f>
        <v/>
      </c>
      <c r="I554" s="46">
        <f>IF(_calc!$E$556="","",IF(_calc!$E$556&lt;=500,IF(LEN(INDEX('Our policies'!$H$4:$H$503,_calc!$E$556))=0,"",INDEX('Our policies'!$H$4:$H$503,_calc!$E$556)),""))</f>
        <v/>
      </c>
      <c r="K554" s="46">
        <f>IF(_calc!$E$556="","",IF(_calc!$E$556&lt;=500,IF(LEN(INDEX('Our policies'!$P$4:$P$503,_calc!$E$556))=0,"",INDEX('Our policies'!$P$4:$P$503,_calc!$E$556)),IF(LEN(INDEX('Vendor COIs'!$N$4:$N$503,(_calc!$E$556-500)))=0,"",INDEX('Vendor COIs'!$N$4:$N$503,(_calc!$E$556-500)))))</f>
        <v/>
      </c>
    </row>
    <row r="555">
      <c r="A555" s="46">
        <f>IF(_calc!$E$557="","",IF(_calc!$E$557&lt;=500,IF(LEN(INDEX('Our policies'!$A$4:$A$503,_calc!$E$557))=0,"",INDEX('Our policies'!$A$4:$A$503,_calc!$E$557)),"COI – "&amp;IF(LEN(INDEX('Vendor COIs'!$A$4:$A$503,(_calc!$E$557-500)))=0,"",INDEX('Vendor COIs'!$A$4:$A$503,(_calc!$E$557-500)))&amp;" – "&amp;IF(LEN(INDEX('Vendor COIs'!$B$4:$B$503,(_calc!$E$557-500)))=0,"",INDEX('Vendor COIs'!$B$4:$B$503,(_calc!$E$557-500)))))</f>
        <v/>
      </c>
      <c r="B555" s="46">
        <f>IF(_calc!$E$557="","",IF(_calc!$E$557&lt;=500,IF(ISNUMBER(INDEX('Our policies'!$J$4:$J$503,_calc!$E$557)),TEXT(INDEX('Our policies'!$J$4:$J$503,_calc!$E$557),"yyyy-mm-dd"),""),IF(ISNUMBER(INDEX('Vendor COIs'!$H$4:$H$503,(_calc!$E$557-500))),TEXT(INDEX('Vendor COIs'!$H$4:$H$503,(_calc!$E$557-500)),"yyyy-mm-dd"),"")))</f>
        <v/>
      </c>
      <c r="C555" s="46">
        <f>IF(_calc!$E$557="","",IF(_calc!$E$557&lt;=500,"Insurance","Certificate of insurance"))</f>
        <v/>
      </c>
      <c r="D555" s="46">
        <f>IF(_calc!$E$557="","",IF(_calc!$E$557&lt;=500,IF(ISNUMBER(INDEX('Our policies'!$I$4:$I$503,_calc!$E$557)),TEXT(INDEX('Our policies'!$I$4:$I$503,_calc!$E$557),"yyyy-mm-dd"),""),""))</f>
        <v/>
      </c>
      <c r="E555" s="46">
        <f>IF(_calc!$E$557="","",IF(_calc!$E$557&lt;=500,IF(LEN(INDEX('Our policies'!$Q$4:$Q$503,_calc!$E$557))=0,"",INDEX('Our policies'!$Q$4:$Q$503,_calc!$E$557)),"Medium"))</f>
        <v/>
      </c>
      <c r="F555" s="46">
        <f>IF(_calc!$E$557="","",IF(_calc!$E$557&lt;=500,TRIM(IF(LEN(IF(LEN(INDEX('Our policies'!$B$4:$B$503,_calc!$E$557))=0,"",INDEX('Our policies'!$B$4:$B$503,_calc!$E$557)))=0,"","Cover: "&amp;IF(LEN(INDEX('Our policies'!$B$4:$B$503,_calc!$E$557))=0,"",INDEX('Our policies'!$B$4:$B$503,_calc!$E$557))&amp;". ")&amp;IF(LEN(IF(LEN(INDEX('Our policies'!$C$4:$C$503,_calc!$E$557))=0,"",INDEX('Our policies'!$C$4:$C$503,_calc!$E$557)))=0,"","Insurer: "&amp;IF(LEN(INDEX('Our policies'!$C$4:$C$503,_calc!$E$557))=0,"",INDEX('Our policies'!$C$4:$C$503,_calc!$E$557))&amp;". ")&amp;IF(LEN(IF(LEN(INDEX('Our policies'!$D$4:$D$503,_calc!$E$557))=0,"",INDEX('Our policies'!$D$4:$D$503,_calc!$E$557)))=0,"","Broker: "&amp;IF(LEN(INDEX('Our policies'!$D$4:$D$503,_calc!$E$557))=0,"",INDEX('Our policies'!$D$4:$D$503,_calc!$E$557))&amp;". ")&amp;IF(LEN(IF(LEN(INDEX('Our policies'!$E$4:$E$503,_calc!$E$557))=0,"",INDEX('Our policies'!$E$4:$E$503,_calc!$E$557)))=0,"","Policy no.: "&amp;IF(LEN(INDEX('Our policies'!$E$4:$E$503,_calc!$E$557))=0,"",INDEX('Our policies'!$E$4:$E$503,_calc!$E$557))&amp;". ")&amp;IF(LEN(IF(LEN(INDEX('Our policies'!$S$4:$S$503,_calc!$E$557))=0,"",INDEX('Our policies'!$S$4:$S$503,_calc!$E$557)))=0,"",IF(LEN(INDEX('Our policies'!$S$4:$S$503,_calc!$E$557))=0,"",INDEX('Our policies'!$S$4:$S$503,_calc!$E$557)))),TRIM(IF(LEN(IF(LEN(INDEX('Vendor COIs'!$C$4:$C$503,(_calc!$E$557-500)))=0,"",INDEX('Vendor COIs'!$C$4:$C$503,(_calc!$E$557-500))))=0,"","Insurer: "&amp;IF(LEN(INDEX('Vendor COIs'!$C$4:$C$503,(_calc!$E$557-500)))=0,"",INDEX('Vendor COIs'!$C$4:$C$503,(_calc!$E$557-500)))&amp;". ")&amp;IF(LEN(IF(LEN(INDEX('Vendor COIs'!$D$4:$D$503,(_calc!$E$557-500)))=0,"",INDEX('Vendor COIs'!$D$4:$D$503,(_calc!$E$557-500))))=0,"","Policy no.: "&amp;IF(LEN(INDEX('Vendor COIs'!$D$4:$D$503,(_calc!$E$557-500)))=0,"",INDEX('Vendor COIs'!$D$4:$D$503,(_calc!$E$557-500)))&amp;". ")&amp;IF(LEN(IF(LEN(INDEX('Vendor COIs'!$F$4:$F$503,(_calc!$E$557-500)))=0,"",INDEX('Vendor COIs'!$F$4:$F$503,(_calc!$E$557-500))))=0,"","Meets minimum: "&amp;IF(LEN(INDEX('Vendor COIs'!$F$4:$F$503,(_calc!$E$557-500)))=0,"",INDEX('Vendor COIs'!$F$4:$F$503,(_calc!$E$557-500)))&amp;". ")&amp;IF(LEN(IF(LEN(INDEX('Vendor COIs'!$G$4:$G$503,(_calc!$E$557-500)))=0,"",INDEX('Vendor COIs'!$G$4:$G$503,(_calc!$E$557-500))))=0,"","Additional insured: "&amp;IF(LEN(INDEX('Vendor COIs'!$G$4:$G$503,(_calc!$E$557-500)))=0,"",INDEX('Vendor COIs'!$G$4:$G$503,(_calc!$E$557-500)))&amp;". ")&amp;IF(LEN(IF(LEN(INDEX('Vendor COIs'!$M$4:$M$503,(_calc!$E$557-500)))=0,"",INDEX('Vendor COIs'!$M$4:$M$503,(_calc!$E$557-500))))=0,"","Vendor contact: "&amp;IF(LEN(INDEX('Vendor COIs'!$M$4:$M$503,(_calc!$E$557-500)))=0,"",INDEX('Vendor COIs'!$M$4:$M$503,(_calc!$E$557-500)))&amp;". ")&amp;IF(LEN(IF(LEN(INDEX('Vendor COIs'!$P$4:$P$503,(_calc!$E$557-500)))=0,"",INDEX('Vendor COIs'!$P$4:$P$503,(_calc!$E$557-500))))=0,"",IF(LEN(INDEX('Vendor COIs'!$P$4:$P$503,(_calc!$E$557-500)))=0,"",INDEX('Vendor COIs'!$P$4:$P$503,(_calc!$E$557-500)))))))</f>
        <v/>
      </c>
      <c r="G555" s="46">
        <f>IF(_calc!$E$557="","",IF(_calc!$E$557&lt;=500,IF(LEN(INDEX('Our policies'!$R$4:$R$503,_calc!$E$557))=0,"",INDEX('Our policies'!$R$4:$R$503,_calc!$E$557)),IF(LEN(INDEX('Vendor COIs'!$O$4:$O$503,(_calc!$E$557-500)))=0,"",INDEX('Vendor COIs'!$O$4:$O$503,(_calc!$E$557-500)))))</f>
        <v/>
      </c>
      <c r="H555" s="46">
        <f>IF(_calc!$E$557="","",IF(_calc!$E$557&lt;=500,IF(LEN(INDEX('Our policies'!$G$4:$G$503,_calc!$E$557))=0,"",INDEX('Our policies'!$G$4:$G$503,_calc!$E$557)),""))</f>
        <v/>
      </c>
      <c r="I555" s="46">
        <f>IF(_calc!$E$557="","",IF(_calc!$E$557&lt;=500,IF(LEN(INDEX('Our policies'!$H$4:$H$503,_calc!$E$557))=0,"",INDEX('Our policies'!$H$4:$H$503,_calc!$E$557)),""))</f>
        <v/>
      </c>
      <c r="K555" s="46">
        <f>IF(_calc!$E$557="","",IF(_calc!$E$557&lt;=500,IF(LEN(INDEX('Our policies'!$P$4:$P$503,_calc!$E$557))=0,"",INDEX('Our policies'!$P$4:$P$503,_calc!$E$557)),IF(LEN(INDEX('Vendor COIs'!$N$4:$N$503,(_calc!$E$557-500)))=0,"",INDEX('Vendor COIs'!$N$4:$N$503,(_calc!$E$557-500)))))</f>
        <v/>
      </c>
    </row>
    <row r="556">
      <c r="A556" s="46">
        <f>IF(_calc!$E$558="","",IF(_calc!$E$558&lt;=500,IF(LEN(INDEX('Our policies'!$A$4:$A$503,_calc!$E$558))=0,"",INDEX('Our policies'!$A$4:$A$503,_calc!$E$558)),"COI – "&amp;IF(LEN(INDEX('Vendor COIs'!$A$4:$A$503,(_calc!$E$558-500)))=0,"",INDEX('Vendor COIs'!$A$4:$A$503,(_calc!$E$558-500)))&amp;" – "&amp;IF(LEN(INDEX('Vendor COIs'!$B$4:$B$503,(_calc!$E$558-500)))=0,"",INDEX('Vendor COIs'!$B$4:$B$503,(_calc!$E$558-500)))))</f>
        <v/>
      </c>
      <c r="B556" s="46">
        <f>IF(_calc!$E$558="","",IF(_calc!$E$558&lt;=500,IF(ISNUMBER(INDEX('Our policies'!$J$4:$J$503,_calc!$E$558)),TEXT(INDEX('Our policies'!$J$4:$J$503,_calc!$E$558),"yyyy-mm-dd"),""),IF(ISNUMBER(INDEX('Vendor COIs'!$H$4:$H$503,(_calc!$E$558-500))),TEXT(INDEX('Vendor COIs'!$H$4:$H$503,(_calc!$E$558-500)),"yyyy-mm-dd"),"")))</f>
        <v/>
      </c>
      <c r="C556" s="46">
        <f>IF(_calc!$E$558="","",IF(_calc!$E$558&lt;=500,"Insurance","Certificate of insurance"))</f>
        <v/>
      </c>
      <c r="D556" s="46">
        <f>IF(_calc!$E$558="","",IF(_calc!$E$558&lt;=500,IF(ISNUMBER(INDEX('Our policies'!$I$4:$I$503,_calc!$E$558)),TEXT(INDEX('Our policies'!$I$4:$I$503,_calc!$E$558),"yyyy-mm-dd"),""),""))</f>
        <v/>
      </c>
      <c r="E556" s="46">
        <f>IF(_calc!$E$558="","",IF(_calc!$E$558&lt;=500,IF(LEN(INDEX('Our policies'!$Q$4:$Q$503,_calc!$E$558))=0,"",INDEX('Our policies'!$Q$4:$Q$503,_calc!$E$558)),"Medium"))</f>
        <v/>
      </c>
      <c r="F556" s="46">
        <f>IF(_calc!$E$558="","",IF(_calc!$E$558&lt;=500,TRIM(IF(LEN(IF(LEN(INDEX('Our policies'!$B$4:$B$503,_calc!$E$558))=0,"",INDEX('Our policies'!$B$4:$B$503,_calc!$E$558)))=0,"","Cover: "&amp;IF(LEN(INDEX('Our policies'!$B$4:$B$503,_calc!$E$558))=0,"",INDEX('Our policies'!$B$4:$B$503,_calc!$E$558))&amp;". ")&amp;IF(LEN(IF(LEN(INDEX('Our policies'!$C$4:$C$503,_calc!$E$558))=0,"",INDEX('Our policies'!$C$4:$C$503,_calc!$E$558)))=0,"","Insurer: "&amp;IF(LEN(INDEX('Our policies'!$C$4:$C$503,_calc!$E$558))=0,"",INDEX('Our policies'!$C$4:$C$503,_calc!$E$558))&amp;". ")&amp;IF(LEN(IF(LEN(INDEX('Our policies'!$D$4:$D$503,_calc!$E$558))=0,"",INDEX('Our policies'!$D$4:$D$503,_calc!$E$558)))=0,"","Broker: "&amp;IF(LEN(INDEX('Our policies'!$D$4:$D$503,_calc!$E$558))=0,"",INDEX('Our policies'!$D$4:$D$503,_calc!$E$558))&amp;". ")&amp;IF(LEN(IF(LEN(INDEX('Our policies'!$E$4:$E$503,_calc!$E$558))=0,"",INDEX('Our policies'!$E$4:$E$503,_calc!$E$558)))=0,"","Policy no.: "&amp;IF(LEN(INDEX('Our policies'!$E$4:$E$503,_calc!$E$558))=0,"",INDEX('Our policies'!$E$4:$E$503,_calc!$E$558))&amp;". ")&amp;IF(LEN(IF(LEN(INDEX('Our policies'!$S$4:$S$503,_calc!$E$558))=0,"",INDEX('Our policies'!$S$4:$S$503,_calc!$E$558)))=0,"",IF(LEN(INDEX('Our policies'!$S$4:$S$503,_calc!$E$558))=0,"",INDEX('Our policies'!$S$4:$S$503,_calc!$E$558)))),TRIM(IF(LEN(IF(LEN(INDEX('Vendor COIs'!$C$4:$C$503,(_calc!$E$558-500)))=0,"",INDEX('Vendor COIs'!$C$4:$C$503,(_calc!$E$558-500))))=0,"","Insurer: "&amp;IF(LEN(INDEX('Vendor COIs'!$C$4:$C$503,(_calc!$E$558-500)))=0,"",INDEX('Vendor COIs'!$C$4:$C$503,(_calc!$E$558-500)))&amp;". ")&amp;IF(LEN(IF(LEN(INDEX('Vendor COIs'!$D$4:$D$503,(_calc!$E$558-500)))=0,"",INDEX('Vendor COIs'!$D$4:$D$503,(_calc!$E$558-500))))=0,"","Policy no.: "&amp;IF(LEN(INDEX('Vendor COIs'!$D$4:$D$503,(_calc!$E$558-500)))=0,"",INDEX('Vendor COIs'!$D$4:$D$503,(_calc!$E$558-500)))&amp;". ")&amp;IF(LEN(IF(LEN(INDEX('Vendor COIs'!$F$4:$F$503,(_calc!$E$558-500)))=0,"",INDEX('Vendor COIs'!$F$4:$F$503,(_calc!$E$558-500))))=0,"","Meets minimum: "&amp;IF(LEN(INDEX('Vendor COIs'!$F$4:$F$503,(_calc!$E$558-500)))=0,"",INDEX('Vendor COIs'!$F$4:$F$503,(_calc!$E$558-500)))&amp;". ")&amp;IF(LEN(IF(LEN(INDEX('Vendor COIs'!$G$4:$G$503,(_calc!$E$558-500)))=0,"",INDEX('Vendor COIs'!$G$4:$G$503,(_calc!$E$558-500))))=0,"","Additional insured: "&amp;IF(LEN(INDEX('Vendor COIs'!$G$4:$G$503,(_calc!$E$558-500)))=0,"",INDEX('Vendor COIs'!$G$4:$G$503,(_calc!$E$558-500)))&amp;". ")&amp;IF(LEN(IF(LEN(INDEX('Vendor COIs'!$M$4:$M$503,(_calc!$E$558-500)))=0,"",INDEX('Vendor COIs'!$M$4:$M$503,(_calc!$E$558-500))))=0,"","Vendor contact: "&amp;IF(LEN(INDEX('Vendor COIs'!$M$4:$M$503,(_calc!$E$558-500)))=0,"",INDEX('Vendor COIs'!$M$4:$M$503,(_calc!$E$558-500)))&amp;". ")&amp;IF(LEN(IF(LEN(INDEX('Vendor COIs'!$P$4:$P$503,(_calc!$E$558-500)))=0,"",INDEX('Vendor COIs'!$P$4:$P$503,(_calc!$E$558-500))))=0,"",IF(LEN(INDEX('Vendor COIs'!$P$4:$P$503,(_calc!$E$558-500)))=0,"",INDEX('Vendor COIs'!$P$4:$P$503,(_calc!$E$558-500)))))))</f>
        <v/>
      </c>
      <c r="G556" s="46">
        <f>IF(_calc!$E$558="","",IF(_calc!$E$558&lt;=500,IF(LEN(INDEX('Our policies'!$R$4:$R$503,_calc!$E$558))=0,"",INDEX('Our policies'!$R$4:$R$503,_calc!$E$558)),IF(LEN(INDEX('Vendor COIs'!$O$4:$O$503,(_calc!$E$558-500)))=0,"",INDEX('Vendor COIs'!$O$4:$O$503,(_calc!$E$558-500)))))</f>
        <v/>
      </c>
      <c r="H556" s="46">
        <f>IF(_calc!$E$558="","",IF(_calc!$E$558&lt;=500,IF(LEN(INDEX('Our policies'!$G$4:$G$503,_calc!$E$558))=0,"",INDEX('Our policies'!$G$4:$G$503,_calc!$E$558)),""))</f>
        <v/>
      </c>
      <c r="I556" s="46">
        <f>IF(_calc!$E$558="","",IF(_calc!$E$558&lt;=500,IF(LEN(INDEX('Our policies'!$H$4:$H$503,_calc!$E$558))=0,"",INDEX('Our policies'!$H$4:$H$503,_calc!$E$558)),""))</f>
        <v/>
      </c>
      <c r="K556" s="46">
        <f>IF(_calc!$E$558="","",IF(_calc!$E$558&lt;=500,IF(LEN(INDEX('Our policies'!$P$4:$P$503,_calc!$E$558))=0,"",INDEX('Our policies'!$P$4:$P$503,_calc!$E$558)),IF(LEN(INDEX('Vendor COIs'!$N$4:$N$503,(_calc!$E$558-500)))=0,"",INDEX('Vendor COIs'!$N$4:$N$503,(_calc!$E$558-500)))))</f>
        <v/>
      </c>
    </row>
    <row r="557">
      <c r="A557" s="46">
        <f>IF(_calc!$E$559="","",IF(_calc!$E$559&lt;=500,IF(LEN(INDEX('Our policies'!$A$4:$A$503,_calc!$E$559))=0,"",INDEX('Our policies'!$A$4:$A$503,_calc!$E$559)),"COI – "&amp;IF(LEN(INDEX('Vendor COIs'!$A$4:$A$503,(_calc!$E$559-500)))=0,"",INDEX('Vendor COIs'!$A$4:$A$503,(_calc!$E$559-500)))&amp;" – "&amp;IF(LEN(INDEX('Vendor COIs'!$B$4:$B$503,(_calc!$E$559-500)))=0,"",INDEX('Vendor COIs'!$B$4:$B$503,(_calc!$E$559-500)))))</f>
        <v/>
      </c>
      <c r="B557" s="46">
        <f>IF(_calc!$E$559="","",IF(_calc!$E$559&lt;=500,IF(ISNUMBER(INDEX('Our policies'!$J$4:$J$503,_calc!$E$559)),TEXT(INDEX('Our policies'!$J$4:$J$503,_calc!$E$559),"yyyy-mm-dd"),""),IF(ISNUMBER(INDEX('Vendor COIs'!$H$4:$H$503,(_calc!$E$559-500))),TEXT(INDEX('Vendor COIs'!$H$4:$H$503,(_calc!$E$559-500)),"yyyy-mm-dd"),"")))</f>
        <v/>
      </c>
      <c r="C557" s="46">
        <f>IF(_calc!$E$559="","",IF(_calc!$E$559&lt;=500,"Insurance","Certificate of insurance"))</f>
        <v/>
      </c>
      <c r="D557" s="46">
        <f>IF(_calc!$E$559="","",IF(_calc!$E$559&lt;=500,IF(ISNUMBER(INDEX('Our policies'!$I$4:$I$503,_calc!$E$559)),TEXT(INDEX('Our policies'!$I$4:$I$503,_calc!$E$559),"yyyy-mm-dd"),""),""))</f>
        <v/>
      </c>
      <c r="E557" s="46">
        <f>IF(_calc!$E$559="","",IF(_calc!$E$559&lt;=500,IF(LEN(INDEX('Our policies'!$Q$4:$Q$503,_calc!$E$559))=0,"",INDEX('Our policies'!$Q$4:$Q$503,_calc!$E$559)),"Medium"))</f>
        <v/>
      </c>
      <c r="F557" s="46">
        <f>IF(_calc!$E$559="","",IF(_calc!$E$559&lt;=500,TRIM(IF(LEN(IF(LEN(INDEX('Our policies'!$B$4:$B$503,_calc!$E$559))=0,"",INDEX('Our policies'!$B$4:$B$503,_calc!$E$559)))=0,"","Cover: "&amp;IF(LEN(INDEX('Our policies'!$B$4:$B$503,_calc!$E$559))=0,"",INDEX('Our policies'!$B$4:$B$503,_calc!$E$559))&amp;". ")&amp;IF(LEN(IF(LEN(INDEX('Our policies'!$C$4:$C$503,_calc!$E$559))=0,"",INDEX('Our policies'!$C$4:$C$503,_calc!$E$559)))=0,"","Insurer: "&amp;IF(LEN(INDEX('Our policies'!$C$4:$C$503,_calc!$E$559))=0,"",INDEX('Our policies'!$C$4:$C$503,_calc!$E$559))&amp;". ")&amp;IF(LEN(IF(LEN(INDEX('Our policies'!$D$4:$D$503,_calc!$E$559))=0,"",INDEX('Our policies'!$D$4:$D$503,_calc!$E$559)))=0,"","Broker: "&amp;IF(LEN(INDEX('Our policies'!$D$4:$D$503,_calc!$E$559))=0,"",INDEX('Our policies'!$D$4:$D$503,_calc!$E$559))&amp;". ")&amp;IF(LEN(IF(LEN(INDEX('Our policies'!$E$4:$E$503,_calc!$E$559))=0,"",INDEX('Our policies'!$E$4:$E$503,_calc!$E$559)))=0,"","Policy no.: "&amp;IF(LEN(INDEX('Our policies'!$E$4:$E$503,_calc!$E$559))=0,"",INDEX('Our policies'!$E$4:$E$503,_calc!$E$559))&amp;". ")&amp;IF(LEN(IF(LEN(INDEX('Our policies'!$S$4:$S$503,_calc!$E$559))=0,"",INDEX('Our policies'!$S$4:$S$503,_calc!$E$559)))=0,"",IF(LEN(INDEX('Our policies'!$S$4:$S$503,_calc!$E$559))=0,"",INDEX('Our policies'!$S$4:$S$503,_calc!$E$559)))),TRIM(IF(LEN(IF(LEN(INDEX('Vendor COIs'!$C$4:$C$503,(_calc!$E$559-500)))=0,"",INDEX('Vendor COIs'!$C$4:$C$503,(_calc!$E$559-500))))=0,"","Insurer: "&amp;IF(LEN(INDEX('Vendor COIs'!$C$4:$C$503,(_calc!$E$559-500)))=0,"",INDEX('Vendor COIs'!$C$4:$C$503,(_calc!$E$559-500)))&amp;". ")&amp;IF(LEN(IF(LEN(INDEX('Vendor COIs'!$D$4:$D$503,(_calc!$E$559-500)))=0,"",INDEX('Vendor COIs'!$D$4:$D$503,(_calc!$E$559-500))))=0,"","Policy no.: "&amp;IF(LEN(INDEX('Vendor COIs'!$D$4:$D$503,(_calc!$E$559-500)))=0,"",INDEX('Vendor COIs'!$D$4:$D$503,(_calc!$E$559-500)))&amp;". ")&amp;IF(LEN(IF(LEN(INDEX('Vendor COIs'!$F$4:$F$503,(_calc!$E$559-500)))=0,"",INDEX('Vendor COIs'!$F$4:$F$503,(_calc!$E$559-500))))=0,"","Meets minimum: "&amp;IF(LEN(INDEX('Vendor COIs'!$F$4:$F$503,(_calc!$E$559-500)))=0,"",INDEX('Vendor COIs'!$F$4:$F$503,(_calc!$E$559-500)))&amp;". ")&amp;IF(LEN(IF(LEN(INDEX('Vendor COIs'!$G$4:$G$503,(_calc!$E$559-500)))=0,"",INDEX('Vendor COIs'!$G$4:$G$503,(_calc!$E$559-500))))=0,"","Additional insured: "&amp;IF(LEN(INDEX('Vendor COIs'!$G$4:$G$503,(_calc!$E$559-500)))=0,"",INDEX('Vendor COIs'!$G$4:$G$503,(_calc!$E$559-500)))&amp;". ")&amp;IF(LEN(IF(LEN(INDEX('Vendor COIs'!$M$4:$M$503,(_calc!$E$559-500)))=0,"",INDEX('Vendor COIs'!$M$4:$M$503,(_calc!$E$559-500))))=0,"","Vendor contact: "&amp;IF(LEN(INDEX('Vendor COIs'!$M$4:$M$503,(_calc!$E$559-500)))=0,"",INDEX('Vendor COIs'!$M$4:$M$503,(_calc!$E$559-500)))&amp;". ")&amp;IF(LEN(IF(LEN(INDEX('Vendor COIs'!$P$4:$P$503,(_calc!$E$559-500)))=0,"",INDEX('Vendor COIs'!$P$4:$P$503,(_calc!$E$559-500))))=0,"",IF(LEN(INDEX('Vendor COIs'!$P$4:$P$503,(_calc!$E$559-500)))=0,"",INDEX('Vendor COIs'!$P$4:$P$503,(_calc!$E$559-500)))))))</f>
        <v/>
      </c>
      <c r="G557" s="46">
        <f>IF(_calc!$E$559="","",IF(_calc!$E$559&lt;=500,IF(LEN(INDEX('Our policies'!$R$4:$R$503,_calc!$E$559))=0,"",INDEX('Our policies'!$R$4:$R$503,_calc!$E$559)),IF(LEN(INDEX('Vendor COIs'!$O$4:$O$503,(_calc!$E$559-500)))=0,"",INDEX('Vendor COIs'!$O$4:$O$503,(_calc!$E$559-500)))))</f>
        <v/>
      </c>
      <c r="H557" s="46">
        <f>IF(_calc!$E$559="","",IF(_calc!$E$559&lt;=500,IF(LEN(INDEX('Our policies'!$G$4:$G$503,_calc!$E$559))=0,"",INDEX('Our policies'!$G$4:$G$503,_calc!$E$559)),""))</f>
        <v/>
      </c>
      <c r="I557" s="46">
        <f>IF(_calc!$E$559="","",IF(_calc!$E$559&lt;=500,IF(LEN(INDEX('Our policies'!$H$4:$H$503,_calc!$E$559))=0,"",INDEX('Our policies'!$H$4:$H$503,_calc!$E$559)),""))</f>
        <v/>
      </c>
      <c r="K557" s="46">
        <f>IF(_calc!$E$559="","",IF(_calc!$E$559&lt;=500,IF(LEN(INDEX('Our policies'!$P$4:$P$503,_calc!$E$559))=0,"",INDEX('Our policies'!$P$4:$P$503,_calc!$E$559)),IF(LEN(INDEX('Vendor COIs'!$N$4:$N$503,(_calc!$E$559-500)))=0,"",INDEX('Vendor COIs'!$N$4:$N$503,(_calc!$E$559-500)))))</f>
        <v/>
      </c>
    </row>
    <row r="558">
      <c r="A558" s="46">
        <f>IF(_calc!$E$560="","",IF(_calc!$E$560&lt;=500,IF(LEN(INDEX('Our policies'!$A$4:$A$503,_calc!$E$560))=0,"",INDEX('Our policies'!$A$4:$A$503,_calc!$E$560)),"COI – "&amp;IF(LEN(INDEX('Vendor COIs'!$A$4:$A$503,(_calc!$E$560-500)))=0,"",INDEX('Vendor COIs'!$A$4:$A$503,(_calc!$E$560-500)))&amp;" – "&amp;IF(LEN(INDEX('Vendor COIs'!$B$4:$B$503,(_calc!$E$560-500)))=0,"",INDEX('Vendor COIs'!$B$4:$B$503,(_calc!$E$560-500)))))</f>
        <v/>
      </c>
      <c r="B558" s="46">
        <f>IF(_calc!$E$560="","",IF(_calc!$E$560&lt;=500,IF(ISNUMBER(INDEX('Our policies'!$J$4:$J$503,_calc!$E$560)),TEXT(INDEX('Our policies'!$J$4:$J$503,_calc!$E$560),"yyyy-mm-dd"),""),IF(ISNUMBER(INDEX('Vendor COIs'!$H$4:$H$503,(_calc!$E$560-500))),TEXT(INDEX('Vendor COIs'!$H$4:$H$503,(_calc!$E$560-500)),"yyyy-mm-dd"),"")))</f>
        <v/>
      </c>
      <c r="C558" s="46">
        <f>IF(_calc!$E$560="","",IF(_calc!$E$560&lt;=500,"Insurance","Certificate of insurance"))</f>
        <v/>
      </c>
      <c r="D558" s="46">
        <f>IF(_calc!$E$560="","",IF(_calc!$E$560&lt;=500,IF(ISNUMBER(INDEX('Our policies'!$I$4:$I$503,_calc!$E$560)),TEXT(INDEX('Our policies'!$I$4:$I$503,_calc!$E$560),"yyyy-mm-dd"),""),""))</f>
        <v/>
      </c>
      <c r="E558" s="46">
        <f>IF(_calc!$E$560="","",IF(_calc!$E$560&lt;=500,IF(LEN(INDEX('Our policies'!$Q$4:$Q$503,_calc!$E$560))=0,"",INDEX('Our policies'!$Q$4:$Q$503,_calc!$E$560)),"Medium"))</f>
        <v/>
      </c>
      <c r="F558" s="46">
        <f>IF(_calc!$E$560="","",IF(_calc!$E$560&lt;=500,TRIM(IF(LEN(IF(LEN(INDEX('Our policies'!$B$4:$B$503,_calc!$E$560))=0,"",INDEX('Our policies'!$B$4:$B$503,_calc!$E$560)))=0,"","Cover: "&amp;IF(LEN(INDEX('Our policies'!$B$4:$B$503,_calc!$E$560))=0,"",INDEX('Our policies'!$B$4:$B$503,_calc!$E$560))&amp;". ")&amp;IF(LEN(IF(LEN(INDEX('Our policies'!$C$4:$C$503,_calc!$E$560))=0,"",INDEX('Our policies'!$C$4:$C$503,_calc!$E$560)))=0,"","Insurer: "&amp;IF(LEN(INDEX('Our policies'!$C$4:$C$503,_calc!$E$560))=0,"",INDEX('Our policies'!$C$4:$C$503,_calc!$E$560))&amp;". ")&amp;IF(LEN(IF(LEN(INDEX('Our policies'!$D$4:$D$503,_calc!$E$560))=0,"",INDEX('Our policies'!$D$4:$D$503,_calc!$E$560)))=0,"","Broker: "&amp;IF(LEN(INDEX('Our policies'!$D$4:$D$503,_calc!$E$560))=0,"",INDEX('Our policies'!$D$4:$D$503,_calc!$E$560))&amp;". ")&amp;IF(LEN(IF(LEN(INDEX('Our policies'!$E$4:$E$503,_calc!$E$560))=0,"",INDEX('Our policies'!$E$4:$E$503,_calc!$E$560)))=0,"","Policy no.: "&amp;IF(LEN(INDEX('Our policies'!$E$4:$E$503,_calc!$E$560))=0,"",INDEX('Our policies'!$E$4:$E$503,_calc!$E$560))&amp;". ")&amp;IF(LEN(IF(LEN(INDEX('Our policies'!$S$4:$S$503,_calc!$E$560))=0,"",INDEX('Our policies'!$S$4:$S$503,_calc!$E$560)))=0,"",IF(LEN(INDEX('Our policies'!$S$4:$S$503,_calc!$E$560))=0,"",INDEX('Our policies'!$S$4:$S$503,_calc!$E$560)))),TRIM(IF(LEN(IF(LEN(INDEX('Vendor COIs'!$C$4:$C$503,(_calc!$E$560-500)))=0,"",INDEX('Vendor COIs'!$C$4:$C$503,(_calc!$E$560-500))))=0,"","Insurer: "&amp;IF(LEN(INDEX('Vendor COIs'!$C$4:$C$503,(_calc!$E$560-500)))=0,"",INDEX('Vendor COIs'!$C$4:$C$503,(_calc!$E$560-500)))&amp;". ")&amp;IF(LEN(IF(LEN(INDEX('Vendor COIs'!$D$4:$D$503,(_calc!$E$560-500)))=0,"",INDEX('Vendor COIs'!$D$4:$D$503,(_calc!$E$560-500))))=0,"","Policy no.: "&amp;IF(LEN(INDEX('Vendor COIs'!$D$4:$D$503,(_calc!$E$560-500)))=0,"",INDEX('Vendor COIs'!$D$4:$D$503,(_calc!$E$560-500)))&amp;". ")&amp;IF(LEN(IF(LEN(INDEX('Vendor COIs'!$F$4:$F$503,(_calc!$E$560-500)))=0,"",INDEX('Vendor COIs'!$F$4:$F$503,(_calc!$E$560-500))))=0,"","Meets minimum: "&amp;IF(LEN(INDEX('Vendor COIs'!$F$4:$F$503,(_calc!$E$560-500)))=0,"",INDEX('Vendor COIs'!$F$4:$F$503,(_calc!$E$560-500)))&amp;". ")&amp;IF(LEN(IF(LEN(INDEX('Vendor COIs'!$G$4:$G$503,(_calc!$E$560-500)))=0,"",INDEX('Vendor COIs'!$G$4:$G$503,(_calc!$E$560-500))))=0,"","Additional insured: "&amp;IF(LEN(INDEX('Vendor COIs'!$G$4:$G$503,(_calc!$E$560-500)))=0,"",INDEX('Vendor COIs'!$G$4:$G$503,(_calc!$E$560-500)))&amp;". ")&amp;IF(LEN(IF(LEN(INDEX('Vendor COIs'!$M$4:$M$503,(_calc!$E$560-500)))=0,"",INDEX('Vendor COIs'!$M$4:$M$503,(_calc!$E$560-500))))=0,"","Vendor contact: "&amp;IF(LEN(INDEX('Vendor COIs'!$M$4:$M$503,(_calc!$E$560-500)))=0,"",INDEX('Vendor COIs'!$M$4:$M$503,(_calc!$E$560-500)))&amp;". ")&amp;IF(LEN(IF(LEN(INDEX('Vendor COIs'!$P$4:$P$503,(_calc!$E$560-500)))=0,"",INDEX('Vendor COIs'!$P$4:$P$503,(_calc!$E$560-500))))=0,"",IF(LEN(INDEX('Vendor COIs'!$P$4:$P$503,(_calc!$E$560-500)))=0,"",INDEX('Vendor COIs'!$P$4:$P$503,(_calc!$E$560-500)))))))</f>
        <v/>
      </c>
      <c r="G558" s="46">
        <f>IF(_calc!$E$560="","",IF(_calc!$E$560&lt;=500,IF(LEN(INDEX('Our policies'!$R$4:$R$503,_calc!$E$560))=0,"",INDEX('Our policies'!$R$4:$R$503,_calc!$E$560)),IF(LEN(INDEX('Vendor COIs'!$O$4:$O$503,(_calc!$E$560-500)))=0,"",INDEX('Vendor COIs'!$O$4:$O$503,(_calc!$E$560-500)))))</f>
        <v/>
      </c>
      <c r="H558" s="46">
        <f>IF(_calc!$E$560="","",IF(_calc!$E$560&lt;=500,IF(LEN(INDEX('Our policies'!$G$4:$G$503,_calc!$E$560))=0,"",INDEX('Our policies'!$G$4:$G$503,_calc!$E$560)),""))</f>
        <v/>
      </c>
      <c r="I558" s="46">
        <f>IF(_calc!$E$560="","",IF(_calc!$E$560&lt;=500,IF(LEN(INDEX('Our policies'!$H$4:$H$503,_calc!$E$560))=0,"",INDEX('Our policies'!$H$4:$H$503,_calc!$E$560)),""))</f>
        <v/>
      </c>
      <c r="K558" s="46">
        <f>IF(_calc!$E$560="","",IF(_calc!$E$560&lt;=500,IF(LEN(INDEX('Our policies'!$P$4:$P$503,_calc!$E$560))=0,"",INDEX('Our policies'!$P$4:$P$503,_calc!$E$560)),IF(LEN(INDEX('Vendor COIs'!$N$4:$N$503,(_calc!$E$560-500)))=0,"",INDEX('Vendor COIs'!$N$4:$N$503,(_calc!$E$560-500)))))</f>
        <v/>
      </c>
    </row>
    <row r="559">
      <c r="A559" s="46">
        <f>IF(_calc!$E$561="","",IF(_calc!$E$561&lt;=500,IF(LEN(INDEX('Our policies'!$A$4:$A$503,_calc!$E$561))=0,"",INDEX('Our policies'!$A$4:$A$503,_calc!$E$561)),"COI – "&amp;IF(LEN(INDEX('Vendor COIs'!$A$4:$A$503,(_calc!$E$561-500)))=0,"",INDEX('Vendor COIs'!$A$4:$A$503,(_calc!$E$561-500)))&amp;" – "&amp;IF(LEN(INDEX('Vendor COIs'!$B$4:$B$503,(_calc!$E$561-500)))=0,"",INDEX('Vendor COIs'!$B$4:$B$503,(_calc!$E$561-500)))))</f>
        <v/>
      </c>
      <c r="B559" s="46">
        <f>IF(_calc!$E$561="","",IF(_calc!$E$561&lt;=500,IF(ISNUMBER(INDEX('Our policies'!$J$4:$J$503,_calc!$E$561)),TEXT(INDEX('Our policies'!$J$4:$J$503,_calc!$E$561),"yyyy-mm-dd"),""),IF(ISNUMBER(INDEX('Vendor COIs'!$H$4:$H$503,(_calc!$E$561-500))),TEXT(INDEX('Vendor COIs'!$H$4:$H$503,(_calc!$E$561-500)),"yyyy-mm-dd"),"")))</f>
        <v/>
      </c>
      <c r="C559" s="46">
        <f>IF(_calc!$E$561="","",IF(_calc!$E$561&lt;=500,"Insurance","Certificate of insurance"))</f>
        <v/>
      </c>
      <c r="D559" s="46">
        <f>IF(_calc!$E$561="","",IF(_calc!$E$561&lt;=500,IF(ISNUMBER(INDEX('Our policies'!$I$4:$I$503,_calc!$E$561)),TEXT(INDEX('Our policies'!$I$4:$I$503,_calc!$E$561),"yyyy-mm-dd"),""),""))</f>
        <v/>
      </c>
      <c r="E559" s="46">
        <f>IF(_calc!$E$561="","",IF(_calc!$E$561&lt;=500,IF(LEN(INDEX('Our policies'!$Q$4:$Q$503,_calc!$E$561))=0,"",INDEX('Our policies'!$Q$4:$Q$503,_calc!$E$561)),"Medium"))</f>
        <v/>
      </c>
      <c r="F559" s="46">
        <f>IF(_calc!$E$561="","",IF(_calc!$E$561&lt;=500,TRIM(IF(LEN(IF(LEN(INDEX('Our policies'!$B$4:$B$503,_calc!$E$561))=0,"",INDEX('Our policies'!$B$4:$B$503,_calc!$E$561)))=0,"","Cover: "&amp;IF(LEN(INDEX('Our policies'!$B$4:$B$503,_calc!$E$561))=0,"",INDEX('Our policies'!$B$4:$B$503,_calc!$E$561))&amp;". ")&amp;IF(LEN(IF(LEN(INDEX('Our policies'!$C$4:$C$503,_calc!$E$561))=0,"",INDEX('Our policies'!$C$4:$C$503,_calc!$E$561)))=0,"","Insurer: "&amp;IF(LEN(INDEX('Our policies'!$C$4:$C$503,_calc!$E$561))=0,"",INDEX('Our policies'!$C$4:$C$503,_calc!$E$561))&amp;". ")&amp;IF(LEN(IF(LEN(INDEX('Our policies'!$D$4:$D$503,_calc!$E$561))=0,"",INDEX('Our policies'!$D$4:$D$503,_calc!$E$561)))=0,"","Broker: "&amp;IF(LEN(INDEX('Our policies'!$D$4:$D$503,_calc!$E$561))=0,"",INDEX('Our policies'!$D$4:$D$503,_calc!$E$561))&amp;". ")&amp;IF(LEN(IF(LEN(INDEX('Our policies'!$E$4:$E$503,_calc!$E$561))=0,"",INDEX('Our policies'!$E$4:$E$503,_calc!$E$561)))=0,"","Policy no.: "&amp;IF(LEN(INDEX('Our policies'!$E$4:$E$503,_calc!$E$561))=0,"",INDEX('Our policies'!$E$4:$E$503,_calc!$E$561))&amp;". ")&amp;IF(LEN(IF(LEN(INDEX('Our policies'!$S$4:$S$503,_calc!$E$561))=0,"",INDEX('Our policies'!$S$4:$S$503,_calc!$E$561)))=0,"",IF(LEN(INDEX('Our policies'!$S$4:$S$503,_calc!$E$561))=0,"",INDEX('Our policies'!$S$4:$S$503,_calc!$E$561)))),TRIM(IF(LEN(IF(LEN(INDEX('Vendor COIs'!$C$4:$C$503,(_calc!$E$561-500)))=0,"",INDEX('Vendor COIs'!$C$4:$C$503,(_calc!$E$561-500))))=0,"","Insurer: "&amp;IF(LEN(INDEX('Vendor COIs'!$C$4:$C$503,(_calc!$E$561-500)))=0,"",INDEX('Vendor COIs'!$C$4:$C$503,(_calc!$E$561-500)))&amp;". ")&amp;IF(LEN(IF(LEN(INDEX('Vendor COIs'!$D$4:$D$503,(_calc!$E$561-500)))=0,"",INDEX('Vendor COIs'!$D$4:$D$503,(_calc!$E$561-500))))=0,"","Policy no.: "&amp;IF(LEN(INDEX('Vendor COIs'!$D$4:$D$503,(_calc!$E$561-500)))=0,"",INDEX('Vendor COIs'!$D$4:$D$503,(_calc!$E$561-500)))&amp;". ")&amp;IF(LEN(IF(LEN(INDEX('Vendor COIs'!$F$4:$F$503,(_calc!$E$561-500)))=0,"",INDEX('Vendor COIs'!$F$4:$F$503,(_calc!$E$561-500))))=0,"","Meets minimum: "&amp;IF(LEN(INDEX('Vendor COIs'!$F$4:$F$503,(_calc!$E$561-500)))=0,"",INDEX('Vendor COIs'!$F$4:$F$503,(_calc!$E$561-500)))&amp;". ")&amp;IF(LEN(IF(LEN(INDEX('Vendor COIs'!$G$4:$G$503,(_calc!$E$561-500)))=0,"",INDEX('Vendor COIs'!$G$4:$G$503,(_calc!$E$561-500))))=0,"","Additional insured: "&amp;IF(LEN(INDEX('Vendor COIs'!$G$4:$G$503,(_calc!$E$561-500)))=0,"",INDEX('Vendor COIs'!$G$4:$G$503,(_calc!$E$561-500)))&amp;". ")&amp;IF(LEN(IF(LEN(INDEX('Vendor COIs'!$M$4:$M$503,(_calc!$E$561-500)))=0,"",INDEX('Vendor COIs'!$M$4:$M$503,(_calc!$E$561-500))))=0,"","Vendor contact: "&amp;IF(LEN(INDEX('Vendor COIs'!$M$4:$M$503,(_calc!$E$561-500)))=0,"",INDEX('Vendor COIs'!$M$4:$M$503,(_calc!$E$561-500)))&amp;". ")&amp;IF(LEN(IF(LEN(INDEX('Vendor COIs'!$P$4:$P$503,(_calc!$E$561-500)))=0,"",INDEX('Vendor COIs'!$P$4:$P$503,(_calc!$E$561-500))))=0,"",IF(LEN(INDEX('Vendor COIs'!$P$4:$P$503,(_calc!$E$561-500)))=0,"",INDEX('Vendor COIs'!$P$4:$P$503,(_calc!$E$561-500)))))))</f>
        <v/>
      </c>
      <c r="G559" s="46">
        <f>IF(_calc!$E$561="","",IF(_calc!$E$561&lt;=500,IF(LEN(INDEX('Our policies'!$R$4:$R$503,_calc!$E$561))=0,"",INDEX('Our policies'!$R$4:$R$503,_calc!$E$561)),IF(LEN(INDEX('Vendor COIs'!$O$4:$O$503,(_calc!$E$561-500)))=0,"",INDEX('Vendor COIs'!$O$4:$O$503,(_calc!$E$561-500)))))</f>
        <v/>
      </c>
      <c r="H559" s="46">
        <f>IF(_calc!$E$561="","",IF(_calc!$E$561&lt;=500,IF(LEN(INDEX('Our policies'!$G$4:$G$503,_calc!$E$561))=0,"",INDEX('Our policies'!$G$4:$G$503,_calc!$E$561)),""))</f>
        <v/>
      </c>
      <c r="I559" s="46">
        <f>IF(_calc!$E$561="","",IF(_calc!$E$561&lt;=500,IF(LEN(INDEX('Our policies'!$H$4:$H$503,_calc!$E$561))=0,"",INDEX('Our policies'!$H$4:$H$503,_calc!$E$561)),""))</f>
        <v/>
      </c>
      <c r="K559" s="46">
        <f>IF(_calc!$E$561="","",IF(_calc!$E$561&lt;=500,IF(LEN(INDEX('Our policies'!$P$4:$P$503,_calc!$E$561))=0,"",INDEX('Our policies'!$P$4:$P$503,_calc!$E$561)),IF(LEN(INDEX('Vendor COIs'!$N$4:$N$503,(_calc!$E$561-500)))=0,"",INDEX('Vendor COIs'!$N$4:$N$503,(_calc!$E$561-500)))))</f>
        <v/>
      </c>
    </row>
    <row r="560">
      <c r="A560" s="46">
        <f>IF(_calc!$E$562="","",IF(_calc!$E$562&lt;=500,IF(LEN(INDEX('Our policies'!$A$4:$A$503,_calc!$E$562))=0,"",INDEX('Our policies'!$A$4:$A$503,_calc!$E$562)),"COI – "&amp;IF(LEN(INDEX('Vendor COIs'!$A$4:$A$503,(_calc!$E$562-500)))=0,"",INDEX('Vendor COIs'!$A$4:$A$503,(_calc!$E$562-500)))&amp;" – "&amp;IF(LEN(INDEX('Vendor COIs'!$B$4:$B$503,(_calc!$E$562-500)))=0,"",INDEX('Vendor COIs'!$B$4:$B$503,(_calc!$E$562-500)))))</f>
        <v/>
      </c>
      <c r="B560" s="46">
        <f>IF(_calc!$E$562="","",IF(_calc!$E$562&lt;=500,IF(ISNUMBER(INDEX('Our policies'!$J$4:$J$503,_calc!$E$562)),TEXT(INDEX('Our policies'!$J$4:$J$503,_calc!$E$562),"yyyy-mm-dd"),""),IF(ISNUMBER(INDEX('Vendor COIs'!$H$4:$H$503,(_calc!$E$562-500))),TEXT(INDEX('Vendor COIs'!$H$4:$H$503,(_calc!$E$562-500)),"yyyy-mm-dd"),"")))</f>
        <v/>
      </c>
      <c r="C560" s="46">
        <f>IF(_calc!$E$562="","",IF(_calc!$E$562&lt;=500,"Insurance","Certificate of insurance"))</f>
        <v/>
      </c>
      <c r="D560" s="46">
        <f>IF(_calc!$E$562="","",IF(_calc!$E$562&lt;=500,IF(ISNUMBER(INDEX('Our policies'!$I$4:$I$503,_calc!$E$562)),TEXT(INDEX('Our policies'!$I$4:$I$503,_calc!$E$562),"yyyy-mm-dd"),""),""))</f>
        <v/>
      </c>
      <c r="E560" s="46">
        <f>IF(_calc!$E$562="","",IF(_calc!$E$562&lt;=500,IF(LEN(INDEX('Our policies'!$Q$4:$Q$503,_calc!$E$562))=0,"",INDEX('Our policies'!$Q$4:$Q$503,_calc!$E$562)),"Medium"))</f>
        <v/>
      </c>
      <c r="F560" s="46">
        <f>IF(_calc!$E$562="","",IF(_calc!$E$562&lt;=500,TRIM(IF(LEN(IF(LEN(INDEX('Our policies'!$B$4:$B$503,_calc!$E$562))=0,"",INDEX('Our policies'!$B$4:$B$503,_calc!$E$562)))=0,"","Cover: "&amp;IF(LEN(INDEX('Our policies'!$B$4:$B$503,_calc!$E$562))=0,"",INDEX('Our policies'!$B$4:$B$503,_calc!$E$562))&amp;". ")&amp;IF(LEN(IF(LEN(INDEX('Our policies'!$C$4:$C$503,_calc!$E$562))=0,"",INDEX('Our policies'!$C$4:$C$503,_calc!$E$562)))=0,"","Insurer: "&amp;IF(LEN(INDEX('Our policies'!$C$4:$C$503,_calc!$E$562))=0,"",INDEX('Our policies'!$C$4:$C$503,_calc!$E$562))&amp;". ")&amp;IF(LEN(IF(LEN(INDEX('Our policies'!$D$4:$D$503,_calc!$E$562))=0,"",INDEX('Our policies'!$D$4:$D$503,_calc!$E$562)))=0,"","Broker: "&amp;IF(LEN(INDEX('Our policies'!$D$4:$D$503,_calc!$E$562))=0,"",INDEX('Our policies'!$D$4:$D$503,_calc!$E$562))&amp;". ")&amp;IF(LEN(IF(LEN(INDEX('Our policies'!$E$4:$E$503,_calc!$E$562))=0,"",INDEX('Our policies'!$E$4:$E$503,_calc!$E$562)))=0,"","Policy no.: "&amp;IF(LEN(INDEX('Our policies'!$E$4:$E$503,_calc!$E$562))=0,"",INDEX('Our policies'!$E$4:$E$503,_calc!$E$562))&amp;". ")&amp;IF(LEN(IF(LEN(INDEX('Our policies'!$S$4:$S$503,_calc!$E$562))=0,"",INDEX('Our policies'!$S$4:$S$503,_calc!$E$562)))=0,"",IF(LEN(INDEX('Our policies'!$S$4:$S$503,_calc!$E$562))=0,"",INDEX('Our policies'!$S$4:$S$503,_calc!$E$562)))),TRIM(IF(LEN(IF(LEN(INDEX('Vendor COIs'!$C$4:$C$503,(_calc!$E$562-500)))=0,"",INDEX('Vendor COIs'!$C$4:$C$503,(_calc!$E$562-500))))=0,"","Insurer: "&amp;IF(LEN(INDEX('Vendor COIs'!$C$4:$C$503,(_calc!$E$562-500)))=0,"",INDEX('Vendor COIs'!$C$4:$C$503,(_calc!$E$562-500)))&amp;". ")&amp;IF(LEN(IF(LEN(INDEX('Vendor COIs'!$D$4:$D$503,(_calc!$E$562-500)))=0,"",INDEX('Vendor COIs'!$D$4:$D$503,(_calc!$E$562-500))))=0,"","Policy no.: "&amp;IF(LEN(INDEX('Vendor COIs'!$D$4:$D$503,(_calc!$E$562-500)))=0,"",INDEX('Vendor COIs'!$D$4:$D$503,(_calc!$E$562-500)))&amp;". ")&amp;IF(LEN(IF(LEN(INDEX('Vendor COIs'!$F$4:$F$503,(_calc!$E$562-500)))=0,"",INDEX('Vendor COIs'!$F$4:$F$503,(_calc!$E$562-500))))=0,"","Meets minimum: "&amp;IF(LEN(INDEX('Vendor COIs'!$F$4:$F$503,(_calc!$E$562-500)))=0,"",INDEX('Vendor COIs'!$F$4:$F$503,(_calc!$E$562-500)))&amp;". ")&amp;IF(LEN(IF(LEN(INDEX('Vendor COIs'!$G$4:$G$503,(_calc!$E$562-500)))=0,"",INDEX('Vendor COIs'!$G$4:$G$503,(_calc!$E$562-500))))=0,"","Additional insured: "&amp;IF(LEN(INDEX('Vendor COIs'!$G$4:$G$503,(_calc!$E$562-500)))=0,"",INDEX('Vendor COIs'!$G$4:$G$503,(_calc!$E$562-500)))&amp;". ")&amp;IF(LEN(IF(LEN(INDEX('Vendor COIs'!$M$4:$M$503,(_calc!$E$562-500)))=0,"",INDEX('Vendor COIs'!$M$4:$M$503,(_calc!$E$562-500))))=0,"","Vendor contact: "&amp;IF(LEN(INDEX('Vendor COIs'!$M$4:$M$503,(_calc!$E$562-500)))=0,"",INDEX('Vendor COIs'!$M$4:$M$503,(_calc!$E$562-500)))&amp;". ")&amp;IF(LEN(IF(LEN(INDEX('Vendor COIs'!$P$4:$P$503,(_calc!$E$562-500)))=0,"",INDEX('Vendor COIs'!$P$4:$P$503,(_calc!$E$562-500))))=0,"",IF(LEN(INDEX('Vendor COIs'!$P$4:$P$503,(_calc!$E$562-500)))=0,"",INDEX('Vendor COIs'!$P$4:$P$503,(_calc!$E$562-500)))))))</f>
        <v/>
      </c>
      <c r="G560" s="46">
        <f>IF(_calc!$E$562="","",IF(_calc!$E$562&lt;=500,IF(LEN(INDEX('Our policies'!$R$4:$R$503,_calc!$E$562))=0,"",INDEX('Our policies'!$R$4:$R$503,_calc!$E$562)),IF(LEN(INDEX('Vendor COIs'!$O$4:$O$503,(_calc!$E$562-500)))=0,"",INDEX('Vendor COIs'!$O$4:$O$503,(_calc!$E$562-500)))))</f>
        <v/>
      </c>
      <c r="H560" s="46">
        <f>IF(_calc!$E$562="","",IF(_calc!$E$562&lt;=500,IF(LEN(INDEX('Our policies'!$G$4:$G$503,_calc!$E$562))=0,"",INDEX('Our policies'!$G$4:$G$503,_calc!$E$562)),""))</f>
        <v/>
      </c>
      <c r="I560" s="46">
        <f>IF(_calc!$E$562="","",IF(_calc!$E$562&lt;=500,IF(LEN(INDEX('Our policies'!$H$4:$H$503,_calc!$E$562))=0,"",INDEX('Our policies'!$H$4:$H$503,_calc!$E$562)),""))</f>
        <v/>
      </c>
      <c r="K560" s="46">
        <f>IF(_calc!$E$562="","",IF(_calc!$E$562&lt;=500,IF(LEN(INDEX('Our policies'!$P$4:$P$503,_calc!$E$562))=0,"",INDEX('Our policies'!$P$4:$P$503,_calc!$E$562)),IF(LEN(INDEX('Vendor COIs'!$N$4:$N$503,(_calc!$E$562-500)))=0,"",INDEX('Vendor COIs'!$N$4:$N$503,(_calc!$E$562-500)))))</f>
        <v/>
      </c>
    </row>
    <row r="561">
      <c r="A561" s="46">
        <f>IF(_calc!$E$563="","",IF(_calc!$E$563&lt;=500,IF(LEN(INDEX('Our policies'!$A$4:$A$503,_calc!$E$563))=0,"",INDEX('Our policies'!$A$4:$A$503,_calc!$E$563)),"COI – "&amp;IF(LEN(INDEX('Vendor COIs'!$A$4:$A$503,(_calc!$E$563-500)))=0,"",INDEX('Vendor COIs'!$A$4:$A$503,(_calc!$E$563-500)))&amp;" – "&amp;IF(LEN(INDEX('Vendor COIs'!$B$4:$B$503,(_calc!$E$563-500)))=0,"",INDEX('Vendor COIs'!$B$4:$B$503,(_calc!$E$563-500)))))</f>
        <v/>
      </c>
      <c r="B561" s="46">
        <f>IF(_calc!$E$563="","",IF(_calc!$E$563&lt;=500,IF(ISNUMBER(INDEX('Our policies'!$J$4:$J$503,_calc!$E$563)),TEXT(INDEX('Our policies'!$J$4:$J$503,_calc!$E$563),"yyyy-mm-dd"),""),IF(ISNUMBER(INDEX('Vendor COIs'!$H$4:$H$503,(_calc!$E$563-500))),TEXT(INDEX('Vendor COIs'!$H$4:$H$503,(_calc!$E$563-500)),"yyyy-mm-dd"),"")))</f>
        <v/>
      </c>
      <c r="C561" s="46">
        <f>IF(_calc!$E$563="","",IF(_calc!$E$563&lt;=500,"Insurance","Certificate of insurance"))</f>
        <v/>
      </c>
      <c r="D561" s="46">
        <f>IF(_calc!$E$563="","",IF(_calc!$E$563&lt;=500,IF(ISNUMBER(INDEX('Our policies'!$I$4:$I$503,_calc!$E$563)),TEXT(INDEX('Our policies'!$I$4:$I$503,_calc!$E$563),"yyyy-mm-dd"),""),""))</f>
        <v/>
      </c>
      <c r="E561" s="46">
        <f>IF(_calc!$E$563="","",IF(_calc!$E$563&lt;=500,IF(LEN(INDEX('Our policies'!$Q$4:$Q$503,_calc!$E$563))=0,"",INDEX('Our policies'!$Q$4:$Q$503,_calc!$E$563)),"Medium"))</f>
        <v/>
      </c>
      <c r="F561" s="46">
        <f>IF(_calc!$E$563="","",IF(_calc!$E$563&lt;=500,TRIM(IF(LEN(IF(LEN(INDEX('Our policies'!$B$4:$B$503,_calc!$E$563))=0,"",INDEX('Our policies'!$B$4:$B$503,_calc!$E$563)))=0,"","Cover: "&amp;IF(LEN(INDEX('Our policies'!$B$4:$B$503,_calc!$E$563))=0,"",INDEX('Our policies'!$B$4:$B$503,_calc!$E$563))&amp;". ")&amp;IF(LEN(IF(LEN(INDEX('Our policies'!$C$4:$C$503,_calc!$E$563))=0,"",INDEX('Our policies'!$C$4:$C$503,_calc!$E$563)))=0,"","Insurer: "&amp;IF(LEN(INDEX('Our policies'!$C$4:$C$503,_calc!$E$563))=0,"",INDEX('Our policies'!$C$4:$C$503,_calc!$E$563))&amp;". ")&amp;IF(LEN(IF(LEN(INDEX('Our policies'!$D$4:$D$503,_calc!$E$563))=0,"",INDEX('Our policies'!$D$4:$D$503,_calc!$E$563)))=0,"","Broker: "&amp;IF(LEN(INDEX('Our policies'!$D$4:$D$503,_calc!$E$563))=0,"",INDEX('Our policies'!$D$4:$D$503,_calc!$E$563))&amp;". ")&amp;IF(LEN(IF(LEN(INDEX('Our policies'!$E$4:$E$503,_calc!$E$563))=0,"",INDEX('Our policies'!$E$4:$E$503,_calc!$E$563)))=0,"","Policy no.: "&amp;IF(LEN(INDEX('Our policies'!$E$4:$E$503,_calc!$E$563))=0,"",INDEX('Our policies'!$E$4:$E$503,_calc!$E$563))&amp;". ")&amp;IF(LEN(IF(LEN(INDEX('Our policies'!$S$4:$S$503,_calc!$E$563))=0,"",INDEX('Our policies'!$S$4:$S$503,_calc!$E$563)))=0,"",IF(LEN(INDEX('Our policies'!$S$4:$S$503,_calc!$E$563))=0,"",INDEX('Our policies'!$S$4:$S$503,_calc!$E$563)))),TRIM(IF(LEN(IF(LEN(INDEX('Vendor COIs'!$C$4:$C$503,(_calc!$E$563-500)))=0,"",INDEX('Vendor COIs'!$C$4:$C$503,(_calc!$E$563-500))))=0,"","Insurer: "&amp;IF(LEN(INDEX('Vendor COIs'!$C$4:$C$503,(_calc!$E$563-500)))=0,"",INDEX('Vendor COIs'!$C$4:$C$503,(_calc!$E$563-500)))&amp;". ")&amp;IF(LEN(IF(LEN(INDEX('Vendor COIs'!$D$4:$D$503,(_calc!$E$563-500)))=0,"",INDEX('Vendor COIs'!$D$4:$D$503,(_calc!$E$563-500))))=0,"","Policy no.: "&amp;IF(LEN(INDEX('Vendor COIs'!$D$4:$D$503,(_calc!$E$563-500)))=0,"",INDEX('Vendor COIs'!$D$4:$D$503,(_calc!$E$563-500)))&amp;". ")&amp;IF(LEN(IF(LEN(INDEX('Vendor COIs'!$F$4:$F$503,(_calc!$E$563-500)))=0,"",INDEX('Vendor COIs'!$F$4:$F$503,(_calc!$E$563-500))))=0,"","Meets minimum: "&amp;IF(LEN(INDEX('Vendor COIs'!$F$4:$F$503,(_calc!$E$563-500)))=0,"",INDEX('Vendor COIs'!$F$4:$F$503,(_calc!$E$563-500)))&amp;". ")&amp;IF(LEN(IF(LEN(INDEX('Vendor COIs'!$G$4:$G$503,(_calc!$E$563-500)))=0,"",INDEX('Vendor COIs'!$G$4:$G$503,(_calc!$E$563-500))))=0,"","Additional insured: "&amp;IF(LEN(INDEX('Vendor COIs'!$G$4:$G$503,(_calc!$E$563-500)))=0,"",INDEX('Vendor COIs'!$G$4:$G$503,(_calc!$E$563-500)))&amp;". ")&amp;IF(LEN(IF(LEN(INDEX('Vendor COIs'!$M$4:$M$503,(_calc!$E$563-500)))=0,"",INDEX('Vendor COIs'!$M$4:$M$503,(_calc!$E$563-500))))=0,"","Vendor contact: "&amp;IF(LEN(INDEX('Vendor COIs'!$M$4:$M$503,(_calc!$E$563-500)))=0,"",INDEX('Vendor COIs'!$M$4:$M$503,(_calc!$E$563-500)))&amp;". ")&amp;IF(LEN(IF(LEN(INDEX('Vendor COIs'!$P$4:$P$503,(_calc!$E$563-500)))=0,"",INDEX('Vendor COIs'!$P$4:$P$503,(_calc!$E$563-500))))=0,"",IF(LEN(INDEX('Vendor COIs'!$P$4:$P$503,(_calc!$E$563-500)))=0,"",INDEX('Vendor COIs'!$P$4:$P$503,(_calc!$E$563-500)))))))</f>
        <v/>
      </c>
      <c r="G561" s="46">
        <f>IF(_calc!$E$563="","",IF(_calc!$E$563&lt;=500,IF(LEN(INDEX('Our policies'!$R$4:$R$503,_calc!$E$563))=0,"",INDEX('Our policies'!$R$4:$R$503,_calc!$E$563)),IF(LEN(INDEX('Vendor COIs'!$O$4:$O$503,(_calc!$E$563-500)))=0,"",INDEX('Vendor COIs'!$O$4:$O$503,(_calc!$E$563-500)))))</f>
        <v/>
      </c>
      <c r="H561" s="46">
        <f>IF(_calc!$E$563="","",IF(_calc!$E$563&lt;=500,IF(LEN(INDEX('Our policies'!$G$4:$G$503,_calc!$E$563))=0,"",INDEX('Our policies'!$G$4:$G$503,_calc!$E$563)),""))</f>
        <v/>
      </c>
      <c r="I561" s="46">
        <f>IF(_calc!$E$563="","",IF(_calc!$E$563&lt;=500,IF(LEN(INDEX('Our policies'!$H$4:$H$503,_calc!$E$563))=0,"",INDEX('Our policies'!$H$4:$H$503,_calc!$E$563)),""))</f>
        <v/>
      </c>
      <c r="K561" s="46">
        <f>IF(_calc!$E$563="","",IF(_calc!$E$563&lt;=500,IF(LEN(INDEX('Our policies'!$P$4:$P$503,_calc!$E$563))=0,"",INDEX('Our policies'!$P$4:$P$503,_calc!$E$563)),IF(LEN(INDEX('Vendor COIs'!$N$4:$N$503,(_calc!$E$563-500)))=0,"",INDEX('Vendor COIs'!$N$4:$N$503,(_calc!$E$563-500)))))</f>
        <v/>
      </c>
    </row>
    <row r="562">
      <c r="A562" s="46">
        <f>IF(_calc!$E$564="","",IF(_calc!$E$564&lt;=500,IF(LEN(INDEX('Our policies'!$A$4:$A$503,_calc!$E$564))=0,"",INDEX('Our policies'!$A$4:$A$503,_calc!$E$564)),"COI – "&amp;IF(LEN(INDEX('Vendor COIs'!$A$4:$A$503,(_calc!$E$564-500)))=0,"",INDEX('Vendor COIs'!$A$4:$A$503,(_calc!$E$564-500)))&amp;" – "&amp;IF(LEN(INDEX('Vendor COIs'!$B$4:$B$503,(_calc!$E$564-500)))=0,"",INDEX('Vendor COIs'!$B$4:$B$503,(_calc!$E$564-500)))))</f>
        <v/>
      </c>
      <c r="B562" s="46">
        <f>IF(_calc!$E$564="","",IF(_calc!$E$564&lt;=500,IF(ISNUMBER(INDEX('Our policies'!$J$4:$J$503,_calc!$E$564)),TEXT(INDEX('Our policies'!$J$4:$J$503,_calc!$E$564),"yyyy-mm-dd"),""),IF(ISNUMBER(INDEX('Vendor COIs'!$H$4:$H$503,(_calc!$E$564-500))),TEXT(INDEX('Vendor COIs'!$H$4:$H$503,(_calc!$E$564-500)),"yyyy-mm-dd"),"")))</f>
        <v/>
      </c>
      <c r="C562" s="46">
        <f>IF(_calc!$E$564="","",IF(_calc!$E$564&lt;=500,"Insurance","Certificate of insurance"))</f>
        <v/>
      </c>
      <c r="D562" s="46">
        <f>IF(_calc!$E$564="","",IF(_calc!$E$564&lt;=500,IF(ISNUMBER(INDEX('Our policies'!$I$4:$I$503,_calc!$E$564)),TEXT(INDEX('Our policies'!$I$4:$I$503,_calc!$E$564),"yyyy-mm-dd"),""),""))</f>
        <v/>
      </c>
      <c r="E562" s="46">
        <f>IF(_calc!$E$564="","",IF(_calc!$E$564&lt;=500,IF(LEN(INDEX('Our policies'!$Q$4:$Q$503,_calc!$E$564))=0,"",INDEX('Our policies'!$Q$4:$Q$503,_calc!$E$564)),"Medium"))</f>
        <v/>
      </c>
      <c r="F562" s="46">
        <f>IF(_calc!$E$564="","",IF(_calc!$E$564&lt;=500,TRIM(IF(LEN(IF(LEN(INDEX('Our policies'!$B$4:$B$503,_calc!$E$564))=0,"",INDEX('Our policies'!$B$4:$B$503,_calc!$E$564)))=0,"","Cover: "&amp;IF(LEN(INDEX('Our policies'!$B$4:$B$503,_calc!$E$564))=0,"",INDEX('Our policies'!$B$4:$B$503,_calc!$E$564))&amp;". ")&amp;IF(LEN(IF(LEN(INDEX('Our policies'!$C$4:$C$503,_calc!$E$564))=0,"",INDEX('Our policies'!$C$4:$C$503,_calc!$E$564)))=0,"","Insurer: "&amp;IF(LEN(INDEX('Our policies'!$C$4:$C$503,_calc!$E$564))=0,"",INDEX('Our policies'!$C$4:$C$503,_calc!$E$564))&amp;". ")&amp;IF(LEN(IF(LEN(INDEX('Our policies'!$D$4:$D$503,_calc!$E$564))=0,"",INDEX('Our policies'!$D$4:$D$503,_calc!$E$564)))=0,"","Broker: "&amp;IF(LEN(INDEX('Our policies'!$D$4:$D$503,_calc!$E$564))=0,"",INDEX('Our policies'!$D$4:$D$503,_calc!$E$564))&amp;". ")&amp;IF(LEN(IF(LEN(INDEX('Our policies'!$E$4:$E$503,_calc!$E$564))=0,"",INDEX('Our policies'!$E$4:$E$503,_calc!$E$564)))=0,"","Policy no.: "&amp;IF(LEN(INDEX('Our policies'!$E$4:$E$503,_calc!$E$564))=0,"",INDEX('Our policies'!$E$4:$E$503,_calc!$E$564))&amp;". ")&amp;IF(LEN(IF(LEN(INDEX('Our policies'!$S$4:$S$503,_calc!$E$564))=0,"",INDEX('Our policies'!$S$4:$S$503,_calc!$E$564)))=0,"",IF(LEN(INDEX('Our policies'!$S$4:$S$503,_calc!$E$564))=0,"",INDEX('Our policies'!$S$4:$S$503,_calc!$E$564)))),TRIM(IF(LEN(IF(LEN(INDEX('Vendor COIs'!$C$4:$C$503,(_calc!$E$564-500)))=0,"",INDEX('Vendor COIs'!$C$4:$C$503,(_calc!$E$564-500))))=0,"","Insurer: "&amp;IF(LEN(INDEX('Vendor COIs'!$C$4:$C$503,(_calc!$E$564-500)))=0,"",INDEX('Vendor COIs'!$C$4:$C$503,(_calc!$E$564-500)))&amp;". ")&amp;IF(LEN(IF(LEN(INDEX('Vendor COIs'!$D$4:$D$503,(_calc!$E$564-500)))=0,"",INDEX('Vendor COIs'!$D$4:$D$503,(_calc!$E$564-500))))=0,"","Policy no.: "&amp;IF(LEN(INDEX('Vendor COIs'!$D$4:$D$503,(_calc!$E$564-500)))=0,"",INDEX('Vendor COIs'!$D$4:$D$503,(_calc!$E$564-500)))&amp;". ")&amp;IF(LEN(IF(LEN(INDEX('Vendor COIs'!$F$4:$F$503,(_calc!$E$564-500)))=0,"",INDEX('Vendor COIs'!$F$4:$F$503,(_calc!$E$564-500))))=0,"","Meets minimum: "&amp;IF(LEN(INDEX('Vendor COIs'!$F$4:$F$503,(_calc!$E$564-500)))=0,"",INDEX('Vendor COIs'!$F$4:$F$503,(_calc!$E$564-500)))&amp;". ")&amp;IF(LEN(IF(LEN(INDEX('Vendor COIs'!$G$4:$G$503,(_calc!$E$564-500)))=0,"",INDEX('Vendor COIs'!$G$4:$G$503,(_calc!$E$564-500))))=0,"","Additional insured: "&amp;IF(LEN(INDEX('Vendor COIs'!$G$4:$G$503,(_calc!$E$564-500)))=0,"",INDEX('Vendor COIs'!$G$4:$G$503,(_calc!$E$564-500)))&amp;". ")&amp;IF(LEN(IF(LEN(INDEX('Vendor COIs'!$M$4:$M$503,(_calc!$E$564-500)))=0,"",INDEX('Vendor COIs'!$M$4:$M$503,(_calc!$E$564-500))))=0,"","Vendor contact: "&amp;IF(LEN(INDEX('Vendor COIs'!$M$4:$M$503,(_calc!$E$564-500)))=0,"",INDEX('Vendor COIs'!$M$4:$M$503,(_calc!$E$564-500)))&amp;". ")&amp;IF(LEN(IF(LEN(INDEX('Vendor COIs'!$P$4:$P$503,(_calc!$E$564-500)))=0,"",INDEX('Vendor COIs'!$P$4:$P$503,(_calc!$E$564-500))))=0,"",IF(LEN(INDEX('Vendor COIs'!$P$4:$P$503,(_calc!$E$564-500)))=0,"",INDEX('Vendor COIs'!$P$4:$P$503,(_calc!$E$564-500)))))))</f>
        <v/>
      </c>
      <c r="G562" s="46">
        <f>IF(_calc!$E$564="","",IF(_calc!$E$564&lt;=500,IF(LEN(INDEX('Our policies'!$R$4:$R$503,_calc!$E$564))=0,"",INDEX('Our policies'!$R$4:$R$503,_calc!$E$564)),IF(LEN(INDEX('Vendor COIs'!$O$4:$O$503,(_calc!$E$564-500)))=0,"",INDEX('Vendor COIs'!$O$4:$O$503,(_calc!$E$564-500)))))</f>
        <v/>
      </c>
      <c r="H562" s="46">
        <f>IF(_calc!$E$564="","",IF(_calc!$E$564&lt;=500,IF(LEN(INDEX('Our policies'!$G$4:$G$503,_calc!$E$564))=0,"",INDEX('Our policies'!$G$4:$G$503,_calc!$E$564)),""))</f>
        <v/>
      </c>
      <c r="I562" s="46">
        <f>IF(_calc!$E$564="","",IF(_calc!$E$564&lt;=500,IF(LEN(INDEX('Our policies'!$H$4:$H$503,_calc!$E$564))=0,"",INDEX('Our policies'!$H$4:$H$503,_calc!$E$564)),""))</f>
        <v/>
      </c>
      <c r="K562" s="46">
        <f>IF(_calc!$E$564="","",IF(_calc!$E$564&lt;=500,IF(LEN(INDEX('Our policies'!$P$4:$P$503,_calc!$E$564))=0,"",INDEX('Our policies'!$P$4:$P$503,_calc!$E$564)),IF(LEN(INDEX('Vendor COIs'!$N$4:$N$503,(_calc!$E$564-500)))=0,"",INDEX('Vendor COIs'!$N$4:$N$503,(_calc!$E$564-500)))))</f>
        <v/>
      </c>
    </row>
    <row r="563">
      <c r="A563" s="46">
        <f>IF(_calc!$E$565="","",IF(_calc!$E$565&lt;=500,IF(LEN(INDEX('Our policies'!$A$4:$A$503,_calc!$E$565))=0,"",INDEX('Our policies'!$A$4:$A$503,_calc!$E$565)),"COI – "&amp;IF(LEN(INDEX('Vendor COIs'!$A$4:$A$503,(_calc!$E$565-500)))=0,"",INDEX('Vendor COIs'!$A$4:$A$503,(_calc!$E$565-500)))&amp;" – "&amp;IF(LEN(INDEX('Vendor COIs'!$B$4:$B$503,(_calc!$E$565-500)))=0,"",INDEX('Vendor COIs'!$B$4:$B$503,(_calc!$E$565-500)))))</f>
        <v/>
      </c>
      <c r="B563" s="46">
        <f>IF(_calc!$E$565="","",IF(_calc!$E$565&lt;=500,IF(ISNUMBER(INDEX('Our policies'!$J$4:$J$503,_calc!$E$565)),TEXT(INDEX('Our policies'!$J$4:$J$503,_calc!$E$565),"yyyy-mm-dd"),""),IF(ISNUMBER(INDEX('Vendor COIs'!$H$4:$H$503,(_calc!$E$565-500))),TEXT(INDEX('Vendor COIs'!$H$4:$H$503,(_calc!$E$565-500)),"yyyy-mm-dd"),"")))</f>
        <v/>
      </c>
      <c r="C563" s="46">
        <f>IF(_calc!$E$565="","",IF(_calc!$E$565&lt;=500,"Insurance","Certificate of insurance"))</f>
        <v/>
      </c>
      <c r="D563" s="46">
        <f>IF(_calc!$E$565="","",IF(_calc!$E$565&lt;=500,IF(ISNUMBER(INDEX('Our policies'!$I$4:$I$503,_calc!$E$565)),TEXT(INDEX('Our policies'!$I$4:$I$503,_calc!$E$565),"yyyy-mm-dd"),""),""))</f>
        <v/>
      </c>
      <c r="E563" s="46">
        <f>IF(_calc!$E$565="","",IF(_calc!$E$565&lt;=500,IF(LEN(INDEX('Our policies'!$Q$4:$Q$503,_calc!$E$565))=0,"",INDEX('Our policies'!$Q$4:$Q$503,_calc!$E$565)),"Medium"))</f>
        <v/>
      </c>
      <c r="F563" s="46">
        <f>IF(_calc!$E$565="","",IF(_calc!$E$565&lt;=500,TRIM(IF(LEN(IF(LEN(INDEX('Our policies'!$B$4:$B$503,_calc!$E$565))=0,"",INDEX('Our policies'!$B$4:$B$503,_calc!$E$565)))=0,"","Cover: "&amp;IF(LEN(INDEX('Our policies'!$B$4:$B$503,_calc!$E$565))=0,"",INDEX('Our policies'!$B$4:$B$503,_calc!$E$565))&amp;". ")&amp;IF(LEN(IF(LEN(INDEX('Our policies'!$C$4:$C$503,_calc!$E$565))=0,"",INDEX('Our policies'!$C$4:$C$503,_calc!$E$565)))=0,"","Insurer: "&amp;IF(LEN(INDEX('Our policies'!$C$4:$C$503,_calc!$E$565))=0,"",INDEX('Our policies'!$C$4:$C$503,_calc!$E$565))&amp;". ")&amp;IF(LEN(IF(LEN(INDEX('Our policies'!$D$4:$D$503,_calc!$E$565))=0,"",INDEX('Our policies'!$D$4:$D$503,_calc!$E$565)))=0,"","Broker: "&amp;IF(LEN(INDEX('Our policies'!$D$4:$D$503,_calc!$E$565))=0,"",INDEX('Our policies'!$D$4:$D$503,_calc!$E$565))&amp;". ")&amp;IF(LEN(IF(LEN(INDEX('Our policies'!$E$4:$E$503,_calc!$E$565))=0,"",INDEX('Our policies'!$E$4:$E$503,_calc!$E$565)))=0,"","Policy no.: "&amp;IF(LEN(INDEX('Our policies'!$E$4:$E$503,_calc!$E$565))=0,"",INDEX('Our policies'!$E$4:$E$503,_calc!$E$565))&amp;". ")&amp;IF(LEN(IF(LEN(INDEX('Our policies'!$S$4:$S$503,_calc!$E$565))=0,"",INDEX('Our policies'!$S$4:$S$503,_calc!$E$565)))=0,"",IF(LEN(INDEX('Our policies'!$S$4:$S$503,_calc!$E$565))=0,"",INDEX('Our policies'!$S$4:$S$503,_calc!$E$565)))),TRIM(IF(LEN(IF(LEN(INDEX('Vendor COIs'!$C$4:$C$503,(_calc!$E$565-500)))=0,"",INDEX('Vendor COIs'!$C$4:$C$503,(_calc!$E$565-500))))=0,"","Insurer: "&amp;IF(LEN(INDEX('Vendor COIs'!$C$4:$C$503,(_calc!$E$565-500)))=0,"",INDEX('Vendor COIs'!$C$4:$C$503,(_calc!$E$565-500)))&amp;". ")&amp;IF(LEN(IF(LEN(INDEX('Vendor COIs'!$D$4:$D$503,(_calc!$E$565-500)))=0,"",INDEX('Vendor COIs'!$D$4:$D$503,(_calc!$E$565-500))))=0,"","Policy no.: "&amp;IF(LEN(INDEX('Vendor COIs'!$D$4:$D$503,(_calc!$E$565-500)))=0,"",INDEX('Vendor COIs'!$D$4:$D$503,(_calc!$E$565-500)))&amp;". ")&amp;IF(LEN(IF(LEN(INDEX('Vendor COIs'!$F$4:$F$503,(_calc!$E$565-500)))=0,"",INDEX('Vendor COIs'!$F$4:$F$503,(_calc!$E$565-500))))=0,"","Meets minimum: "&amp;IF(LEN(INDEX('Vendor COIs'!$F$4:$F$503,(_calc!$E$565-500)))=0,"",INDEX('Vendor COIs'!$F$4:$F$503,(_calc!$E$565-500)))&amp;". ")&amp;IF(LEN(IF(LEN(INDEX('Vendor COIs'!$G$4:$G$503,(_calc!$E$565-500)))=0,"",INDEX('Vendor COIs'!$G$4:$G$503,(_calc!$E$565-500))))=0,"","Additional insured: "&amp;IF(LEN(INDEX('Vendor COIs'!$G$4:$G$503,(_calc!$E$565-500)))=0,"",INDEX('Vendor COIs'!$G$4:$G$503,(_calc!$E$565-500)))&amp;". ")&amp;IF(LEN(IF(LEN(INDEX('Vendor COIs'!$M$4:$M$503,(_calc!$E$565-500)))=0,"",INDEX('Vendor COIs'!$M$4:$M$503,(_calc!$E$565-500))))=0,"","Vendor contact: "&amp;IF(LEN(INDEX('Vendor COIs'!$M$4:$M$503,(_calc!$E$565-500)))=0,"",INDEX('Vendor COIs'!$M$4:$M$503,(_calc!$E$565-500)))&amp;". ")&amp;IF(LEN(IF(LEN(INDEX('Vendor COIs'!$P$4:$P$503,(_calc!$E$565-500)))=0,"",INDEX('Vendor COIs'!$P$4:$P$503,(_calc!$E$565-500))))=0,"",IF(LEN(INDEX('Vendor COIs'!$P$4:$P$503,(_calc!$E$565-500)))=0,"",INDEX('Vendor COIs'!$P$4:$P$503,(_calc!$E$565-500)))))))</f>
        <v/>
      </c>
      <c r="G563" s="46">
        <f>IF(_calc!$E$565="","",IF(_calc!$E$565&lt;=500,IF(LEN(INDEX('Our policies'!$R$4:$R$503,_calc!$E$565))=0,"",INDEX('Our policies'!$R$4:$R$503,_calc!$E$565)),IF(LEN(INDEX('Vendor COIs'!$O$4:$O$503,(_calc!$E$565-500)))=0,"",INDEX('Vendor COIs'!$O$4:$O$503,(_calc!$E$565-500)))))</f>
        <v/>
      </c>
      <c r="H563" s="46">
        <f>IF(_calc!$E$565="","",IF(_calc!$E$565&lt;=500,IF(LEN(INDEX('Our policies'!$G$4:$G$503,_calc!$E$565))=0,"",INDEX('Our policies'!$G$4:$G$503,_calc!$E$565)),""))</f>
        <v/>
      </c>
      <c r="I563" s="46">
        <f>IF(_calc!$E$565="","",IF(_calc!$E$565&lt;=500,IF(LEN(INDEX('Our policies'!$H$4:$H$503,_calc!$E$565))=0,"",INDEX('Our policies'!$H$4:$H$503,_calc!$E$565)),""))</f>
        <v/>
      </c>
      <c r="K563" s="46">
        <f>IF(_calc!$E$565="","",IF(_calc!$E$565&lt;=500,IF(LEN(INDEX('Our policies'!$P$4:$P$503,_calc!$E$565))=0,"",INDEX('Our policies'!$P$4:$P$503,_calc!$E$565)),IF(LEN(INDEX('Vendor COIs'!$N$4:$N$503,(_calc!$E$565-500)))=0,"",INDEX('Vendor COIs'!$N$4:$N$503,(_calc!$E$565-500)))))</f>
        <v/>
      </c>
    </row>
    <row r="564">
      <c r="A564" s="46">
        <f>IF(_calc!$E$566="","",IF(_calc!$E$566&lt;=500,IF(LEN(INDEX('Our policies'!$A$4:$A$503,_calc!$E$566))=0,"",INDEX('Our policies'!$A$4:$A$503,_calc!$E$566)),"COI – "&amp;IF(LEN(INDEX('Vendor COIs'!$A$4:$A$503,(_calc!$E$566-500)))=0,"",INDEX('Vendor COIs'!$A$4:$A$503,(_calc!$E$566-500)))&amp;" – "&amp;IF(LEN(INDEX('Vendor COIs'!$B$4:$B$503,(_calc!$E$566-500)))=0,"",INDEX('Vendor COIs'!$B$4:$B$503,(_calc!$E$566-500)))))</f>
        <v/>
      </c>
      <c r="B564" s="46">
        <f>IF(_calc!$E$566="","",IF(_calc!$E$566&lt;=500,IF(ISNUMBER(INDEX('Our policies'!$J$4:$J$503,_calc!$E$566)),TEXT(INDEX('Our policies'!$J$4:$J$503,_calc!$E$566),"yyyy-mm-dd"),""),IF(ISNUMBER(INDEX('Vendor COIs'!$H$4:$H$503,(_calc!$E$566-500))),TEXT(INDEX('Vendor COIs'!$H$4:$H$503,(_calc!$E$566-500)),"yyyy-mm-dd"),"")))</f>
        <v/>
      </c>
      <c r="C564" s="46">
        <f>IF(_calc!$E$566="","",IF(_calc!$E$566&lt;=500,"Insurance","Certificate of insurance"))</f>
        <v/>
      </c>
      <c r="D564" s="46">
        <f>IF(_calc!$E$566="","",IF(_calc!$E$566&lt;=500,IF(ISNUMBER(INDEX('Our policies'!$I$4:$I$503,_calc!$E$566)),TEXT(INDEX('Our policies'!$I$4:$I$503,_calc!$E$566),"yyyy-mm-dd"),""),""))</f>
        <v/>
      </c>
      <c r="E564" s="46">
        <f>IF(_calc!$E$566="","",IF(_calc!$E$566&lt;=500,IF(LEN(INDEX('Our policies'!$Q$4:$Q$503,_calc!$E$566))=0,"",INDEX('Our policies'!$Q$4:$Q$503,_calc!$E$566)),"Medium"))</f>
        <v/>
      </c>
      <c r="F564" s="46">
        <f>IF(_calc!$E$566="","",IF(_calc!$E$566&lt;=500,TRIM(IF(LEN(IF(LEN(INDEX('Our policies'!$B$4:$B$503,_calc!$E$566))=0,"",INDEX('Our policies'!$B$4:$B$503,_calc!$E$566)))=0,"","Cover: "&amp;IF(LEN(INDEX('Our policies'!$B$4:$B$503,_calc!$E$566))=0,"",INDEX('Our policies'!$B$4:$B$503,_calc!$E$566))&amp;". ")&amp;IF(LEN(IF(LEN(INDEX('Our policies'!$C$4:$C$503,_calc!$E$566))=0,"",INDEX('Our policies'!$C$4:$C$503,_calc!$E$566)))=0,"","Insurer: "&amp;IF(LEN(INDEX('Our policies'!$C$4:$C$503,_calc!$E$566))=0,"",INDEX('Our policies'!$C$4:$C$503,_calc!$E$566))&amp;". ")&amp;IF(LEN(IF(LEN(INDEX('Our policies'!$D$4:$D$503,_calc!$E$566))=0,"",INDEX('Our policies'!$D$4:$D$503,_calc!$E$566)))=0,"","Broker: "&amp;IF(LEN(INDEX('Our policies'!$D$4:$D$503,_calc!$E$566))=0,"",INDEX('Our policies'!$D$4:$D$503,_calc!$E$566))&amp;". ")&amp;IF(LEN(IF(LEN(INDEX('Our policies'!$E$4:$E$503,_calc!$E$566))=0,"",INDEX('Our policies'!$E$4:$E$503,_calc!$E$566)))=0,"","Policy no.: "&amp;IF(LEN(INDEX('Our policies'!$E$4:$E$503,_calc!$E$566))=0,"",INDEX('Our policies'!$E$4:$E$503,_calc!$E$566))&amp;". ")&amp;IF(LEN(IF(LEN(INDEX('Our policies'!$S$4:$S$503,_calc!$E$566))=0,"",INDEX('Our policies'!$S$4:$S$503,_calc!$E$566)))=0,"",IF(LEN(INDEX('Our policies'!$S$4:$S$503,_calc!$E$566))=0,"",INDEX('Our policies'!$S$4:$S$503,_calc!$E$566)))),TRIM(IF(LEN(IF(LEN(INDEX('Vendor COIs'!$C$4:$C$503,(_calc!$E$566-500)))=0,"",INDEX('Vendor COIs'!$C$4:$C$503,(_calc!$E$566-500))))=0,"","Insurer: "&amp;IF(LEN(INDEX('Vendor COIs'!$C$4:$C$503,(_calc!$E$566-500)))=0,"",INDEX('Vendor COIs'!$C$4:$C$503,(_calc!$E$566-500)))&amp;". ")&amp;IF(LEN(IF(LEN(INDEX('Vendor COIs'!$D$4:$D$503,(_calc!$E$566-500)))=0,"",INDEX('Vendor COIs'!$D$4:$D$503,(_calc!$E$566-500))))=0,"","Policy no.: "&amp;IF(LEN(INDEX('Vendor COIs'!$D$4:$D$503,(_calc!$E$566-500)))=0,"",INDEX('Vendor COIs'!$D$4:$D$503,(_calc!$E$566-500)))&amp;". ")&amp;IF(LEN(IF(LEN(INDEX('Vendor COIs'!$F$4:$F$503,(_calc!$E$566-500)))=0,"",INDEX('Vendor COIs'!$F$4:$F$503,(_calc!$E$566-500))))=0,"","Meets minimum: "&amp;IF(LEN(INDEX('Vendor COIs'!$F$4:$F$503,(_calc!$E$566-500)))=0,"",INDEX('Vendor COIs'!$F$4:$F$503,(_calc!$E$566-500)))&amp;". ")&amp;IF(LEN(IF(LEN(INDEX('Vendor COIs'!$G$4:$G$503,(_calc!$E$566-500)))=0,"",INDEX('Vendor COIs'!$G$4:$G$503,(_calc!$E$566-500))))=0,"","Additional insured: "&amp;IF(LEN(INDEX('Vendor COIs'!$G$4:$G$503,(_calc!$E$566-500)))=0,"",INDEX('Vendor COIs'!$G$4:$G$503,(_calc!$E$566-500)))&amp;". ")&amp;IF(LEN(IF(LEN(INDEX('Vendor COIs'!$M$4:$M$503,(_calc!$E$566-500)))=0,"",INDEX('Vendor COIs'!$M$4:$M$503,(_calc!$E$566-500))))=0,"","Vendor contact: "&amp;IF(LEN(INDEX('Vendor COIs'!$M$4:$M$503,(_calc!$E$566-500)))=0,"",INDEX('Vendor COIs'!$M$4:$M$503,(_calc!$E$566-500)))&amp;". ")&amp;IF(LEN(IF(LEN(INDEX('Vendor COIs'!$P$4:$P$503,(_calc!$E$566-500)))=0,"",INDEX('Vendor COIs'!$P$4:$P$503,(_calc!$E$566-500))))=0,"",IF(LEN(INDEX('Vendor COIs'!$P$4:$P$503,(_calc!$E$566-500)))=0,"",INDEX('Vendor COIs'!$P$4:$P$503,(_calc!$E$566-500)))))))</f>
        <v/>
      </c>
      <c r="G564" s="46">
        <f>IF(_calc!$E$566="","",IF(_calc!$E$566&lt;=500,IF(LEN(INDEX('Our policies'!$R$4:$R$503,_calc!$E$566))=0,"",INDEX('Our policies'!$R$4:$R$503,_calc!$E$566)),IF(LEN(INDEX('Vendor COIs'!$O$4:$O$503,(_calc!$E$566-500)))=0,"",INDEX('Vendor COIs'!$O$4:$O$503,(_calc!$E$566-500)))))</f>
        <v/>
      </c>
      <c r="H564" s="46">
        <f>IF(_calc!$E$566="","",IF(_calc!$E$566&lt;=500,IF(LEN(INDEX('Our policies'!$G$4:$G$503,_calc!$E$566))=0,"",INDEX('Our policies'!$G$4:$G$503,_calc!$E$566)),""))</f>
        <v/>
      </c>
      <c r="I564" s="46">
        <f>IF(_calc!$E$566="","",IF(_calc!$E$566&lt;=500,IF(LEN(INDEX('Our policies'!$H$4:$H$503,_calc!$E$566))=0,"",INDEX('Our policies'!$H$4:$H$503,_calc!$E$566)),""))</f>
        <v/>
      </c>
      <c r="K564" s="46">
        <f>IF(_calc!$E$566="","",IF(_calc!$E$566&lt;=500,IF(LEN(INDEX('Our policies'!$P$4:$P$503,_calc!$E$566))=0,"",INDEX('Our policies'!$P$4:$P$503,_calc!$E$566)),IF(LEN(INDEX('Vendor COIs'!$N$4:$N$503,(_calc!$E$566-500)))=0,"",INDEX('Vendor COIs'!$N$4:$N$503,(_calc!$E$566-500)))))</f>
        <v/>
      </c>
    </row>
    <row r="565">
      <c r="A565" s="46">
        <f>IF(_calc!$E$567="","",IF(_calc!$E$567&lt;=500,IF(LEN(INDEX('Our policies'!$A$4:$A$503,_calc!$E$567))=0,"",INDEX('Our policies'!$A$4:$A$503,_calc!$E$567)),"COI – "&amp;IF(LEN(INDEX('Vendor COIs'!$A$4:$A$503,(_calc!$E$567-500)))=0,"",INDEX('Vendor COIs'!$A$4:$A$503,(_calc!$E$567-500)))&amp;" – "&amp;IF(LEN(INDEX('Vendor COIs'!$B$4:$B$503,(_calc!$E$567-500)))=0,"",INDEX('Vendor COIs'!$B$4:$B$503,(_calc!$E$567-500)))))</f>
        <v/>
      </c>
      <c r="B565" s="46">
        <f>IF(_calc!$E$567="","",IF(_calc!$E$567&lt;=500,IF(ISNUMBER(INDEX('Our policies'!$J$4:$J$503,_calc!$E$567)),TEXT(INDEX('Our policies'!$J$4:$J$503,_calc!$E$567),"yyyy-mm-dd"),""),IF(ISNUMBER(INDEX('Vendor COIs'!$H$4:$H$503,(_calc!$E$567-500))),TEXT(INDEX('Vendor COIs'!$H$4:$H$503,(_calc!$E$567-500)),"yyyy-mm-dd"),"")))</f>
        <v/>
      </c>
      <c r="C565" s="46">
        <f>IF(_calc!$E$567="","",IF(_calc!$E$567&lt;=500,"Insurance","Certificate of insurance"))</f>
        <v/>
      </c>
      <c r="D565" s="46">
        <f>IF(_calc!$E$567="","",IF(_calc!$E$567&lt;=500,IF(ISNUMBER(INDEX('Our policies'!$I$4:$I$503,_calc!$E$567)),TEXT(INDEX('Our policies'!$I$4:$I$503,_calc!$E$567),"yyyy-mm-dd"),""),""))</f>
        <v/>
      </c>
      <c r="E565" s="46">
        <f>IF(_calc!$E$567="","",IF(_calc!$E$567&lt;=500,IF(LEN(INDEX('Our policies'!$Q$4:$Q$503,_calc!$E$567))=0,"",INDEX('Our policies'!$Q$4:$Q$503,_calc!$E$567)),"Medium"))</f>
        <v/>
      </c>
      <c r="F565" s="46">
        <f>IF(_calc!$E$567="","",IF(_calc!$E$567&lt;=500,TRIM(IF(LEN(IF(LEN(INDEX('Our policies'!$B$4:$B$503,_calc!$E$567))=0,"",INDEX('Our policies'!$B$4:$B$503,_calc!$E$567)))=0,"","Cover: "&amp;IF(LEN(INDEX('Our policies'!$B$4:$B$503,_calc!$E$567))=0,"",INDEX('Our policies'!$B$4:$B$503,_calc!$E$567))&amp;". ")&amp;IF(LEN(IF(LEN(INDEX('Our policies'!$C$4:$C$503,_calc!$E$567))=0,"",INDEX('Our policies'!$C$4:$C$503,_calc!$E$567)))=0,"","Insurer: "&amp;IF(LEN(INDEX('Our policies'!$C$4:$C$503,_calc!$E$567))=0,"",INDEX('Our policies'!$C$4:$C$503,_calc!$E$567))&amp;". ")&amp;IF(LEN(IF(LEN(INDEX('Our policies'!$D$4:$D$503,_calc!$E$567))=0,"",INDEX('Our policies'!$D$4:$D$503,_calc!$E$567)))=0,"","Broker: "&amp;IF(LEN(INDEX('Our policies'!$D$4:$D$503,_calc!$E$567))=0,"",INDEX('Our policies'!$D$4:$D$503,_calc!$E$567))&amp;". ")&amp;IF(LEN(IF(LEN(INDEX('Our policies'!$E$4:$E$503,_calc!$E$567))=0,"",INDEX('Our policies'!$E$4:$E$503,_calc!$E$567)))=0,"","Policy no.: "&amp;IF(LEN(INDEX('Our policies'!$E$4:$E$503,_calc!$E$567))=0,"",INDEX('Our policies'!$E$4:$E$503,_calc!$E$567))&amp;". ")&amp;IF(LEN(IF(LEN(INDEX('Our policies'!$S$4:$S$503,_calc!$E$567))=0,"",INDEX('Our policies'!$S$4:$S$503,_calc!$E$567)))=0,"",IF(LEN(INDEX('Our policies'!$S$4:$S$503,_calc!$E$567))=0,"",INDEX('Our policies'!$S$4:$S$503,_calc!$E$567)))),TRIM(IF(LEN(IF(LEN(INDEX('Vendor COIs'!$C$4:$C$503,(_calc!$E$567-500)))=0,"",INDEX('Vendor COIs'!$C$4:$C$503,(_calc!$E$567-500))))=0,"","Insurer: "&amp;IF(LEN(INDEX('Vendor COIs'!$C$4:$C$503,(_calc!$E$567-500)))=0,"",INDEX('Vendor COIs'!$C$4:$C$503,(_calc!$E$567-500)))&amp;". ")&amp;IF(LEN(IF(LEN(INDEX('Vendor COIs'!$D$4:$D$503,(_calc!$E$567-500)))=0,"",INDEX('Vendor COIs'!$D$4:$D$503,(_calc!$E$567-500))))=0,"","Policy no.: "&amp;IF(LEN(INDEX('Vendor COIs'!$D$4:$D$503,(_calc!$E$567-500)))=0,"",INDEX('Vendor COIs'!$D$4:$D$503,(_calc!$E$567-500)))&amp;". ")&amp;IF(LEN(IF(LEN(INDEX('Vendor COIs'!$F$4:$F$503,(_calc!$E$567-500)))=0,"",INDEX('Vendor COIs'!$F$4:$F$503,(_calc!$E$567-500))))=0,"","Meets minimum: "&amp;IF(LEN(INDEX('Vendor COIs'!$F$4:$F$503,(_calc!$E$567-500)))=0,"",INDEX('Vendor COIs'!$F$4:$F$503,(_calc!$E$567-500)))&amp;". ")&amp;IF(LEN(IF(LEN(INDEX('Vendor COIs'!$G$4:$G$503,(_calc!$E$567-500)))=0,"",INDEX('Vendor COIs'!$G$4:$G$503,(_calc!$E$567-500))))=0,"","Additional insured: "&amp;IF(LEN(INDEX('Vendor COIs'!$G$4:$G$503,(_calc!$E$567-500)))=0,"",INDEX('Vendor COIs'!$G$4:$G$503,(_calc!$E$567-500)))&amp;". ")&amp;IF(LEN(IF(LEN(INDEX('Vendor COIs'!$M$4:$M$503,(_calc!$E$567-500)))=0,"",INDEX('Vendor COIs'!$M$4:$M$503,(_calc!$E$567-500))))=0,"","Vendor contact: "&amp;IF(LEN(INDEX('Vendor COIs'!$M$4:$M$503,(_calc!$E$567-500)))=0,"",INDEX('Vendor COIs'!$M$4:$M$503,(_calc!$E$567-500)))&amp;". ")&amp;IF(LEN(IF(LEN(INDEX('Vendor COIs'!$P$4:$P$503,(_calc!$E$567-500)))=0,"",INDEX('Vendor COIs'!$P$4:$P$503,(_calc!$E$567-500))))=0,"",IF(LEN(INDEX('Vendor COIs'!$P$4:$P$503,(_calc!$E$567-500)))=0,"",INDEX('Vendor COIs'!$P$4:$P$503,(_calc!$E$567-500)))))))</f>
        <v/>
      </c>
      <c r="G565" s="46">
        <f>IF(_calc!$E$567="","",IF(_calc!$E$567&lt;=500,IF(LEN(INDEX('Our policies'!$R$4:$R$503,_calc!$E$567))=0,"",INDEX('Our policies'!$R$4:$R$503,_calc!$E$567)),IF(LEN(INDEX('Vendor COIs'!$O$4:$O$503,(_calc!$E$567-500)))=0,"",INDEX('Vendor COIs'!$O$4:$O$503,(_calc!$E$567-500)))))</f>
        <v/>
      </c>
      <c r="H565" s="46">
        <f>IF(_calc!$E$567="","",IF(_calc!$E$567&lt;=500,IF(LEN(INDEX('Our policies'!$G$4:$G$503,_calc!$E$567))=0,"",INDEX('Our policies'!$G$4:$G$503,_calc!$E$567)),""))</f>
        <v/>
      </c>
      <c r="I565" s="46">
        <f>IF(_calc!$E$567="","",IF(_calc!$E$567&lt;=500,IF(LEN(INDEX('Our policies'!$H$4:$H$503,_calc!$E$567))=0,"",INDEX('Our policies'!$H$4:$H$503,_calc!$E$567)),""))</f>
        <v/>
      </c>
      <c r="K565" s="46">
        <f>IF(_calc!$E$567="","",IF(_calc!$E$567&lt;=500,IF(LEN(INDEX('Our policies'!$P$4:$P$503,_calc!$E$567))=0,"",INDEX('Our policies'!$P$4:$P$503,_calc!$E$567)),IF(LEN(INDEX('Vendor COIs'!$N$4:$N$503,(_calc!$E$567-500)))=0,"",INDEX('Vendor COIs'!$N$4:$N$503,(_calc!$E$567-500)))))</f>
        <v/>
      </c>
    </row>
    <row r="566">
      <c r="A566" s="46">
        <f>IF(_calc!$E$568="","",IF(_calc!$E$568&lt;=500,IF(LEN(INDEX('Our policies'!$A$4:$A$503,_calc!$E$568))=0,"",INDEX('Our policies'!$A$4:$A$503,_calc!$E$568)),"COI – "&amp;IF(LEN(INDEX('Vendor COIs'!$A$4:$A$503,(_calc!$E$568-500)))=0,"",INDEX('Vendor COIs'!$A$4:$A$503,(_calc!$E$568-500)))&amp;" – "&amp;IF(LEN(INDEX('Vendor COIs'!$B$4:$B$503,(_calc!$E$568-500)))=0,"",INDEX('Vendor COIs'!$B$4:$B$503,(_calc!$E$568-500)))))</f>
        <v/>
      </c>
      <c r="B566" s="46">
        <f>IF(_calc!$E$568="","",IF(_calc!$E$568&lt;=500,IF(ISNUMBER(INDEX('Our policies'!$J$4:$J$503,_calc!$E$568)),TEXT(INDEX('Our policies'!$J$4:$J$503,_calc!$E$568),"yyyy-mm-dd"),""),IF(ISNUMBER(INDEX('Vendor COIs'!$H$4:$H$503,(_calc!$E$568-500))),TEXT(INDEX('Vendor COIs'!$H$4:$H$503,(_calc!$E$568-500)),"yyyy-mm-dd"),"")))</f>
        <v/>
      </c>
      <c r="C566" s="46">
        <f>IF(_calc!$E$568="","",IF(_calc!$E$568&lt;=500,"Insurance","Certificate of insurance"))</f>
        <v/>
      </c>
      <c r="D566" s="46">
        <f>IF(_calc!$E$568="","",IF(_calc!$E$568&lt;=500,IF(ISNUMBER(INDEX('Our policies'!$I$4:$I$503,_calc!$E$568)),TEXT(INDEX('Our policies'!$I$4:$I$503,_calc!$E$568),"yyyy-mm-dd"),""),""))</f>
        <v/>
      </c>
      <c r="E566" s="46">
        <f>IF(_calc!$E$568="","",IF(_calc!$E$568&lt;=500,IF(LEN(INDEX('Our policies'!$Q$4:$Q$503,_calc!$E$568))=0,"",INDEX('Our policies'!$Q$4:$Q$503,_calc!$E$568)),"Medium"))</f>
        <v/>
      </c>
      <c r="F566" s="46">
        <f>IF(_calc!$E$568="","",IF(_calc!$E$568&lt;=500,TRIM(IF(LEN(IF(LEN(INDEX('Our policies'!$B$4:$B$503,_calc!$E$568))=0,"",INDEX('Our policies'!$B$4:$B$503,_calc!$E$568)))=0,"","Cover: "&amp;IF(LEN(INDEX('Our policies'!$B$4:$B$503,_calc!$E$568))=0,"",INDEX('Our policies'!$B$4:$B$503,_calc!$E$568))&amp;". ")&amp;IF(LEN(IF(LEN(INDEX('Our policies'!$C$4:$C$503,_calc!$E$568))=0,"",INDEX('Our policies'!$C$4:$C$503,_calc!$E$568)))=0,"","Insurer: "&amp;IF(LEN(INDEX('Our policies'!$C$4:$C$503,_calc!$E$568))=0,"",INDEX('Our policies'!$C$4:$C$503,_calc!$E$568))&amp;". ")&amp;IF(LEN(IF(LEN(INDEX('Our policies'!$D$4:$D$503,_calc!$E$568))=0,"",INDEX('Our policies'!$D$4:$D$503,_calc!$E$568)))=0,"","Broker: "&amp;IF(LEN(INDEX('Our policies'!$D$4:$D$503,_calc!$E$568))=0,"",INDEX('Our policies'!$D$4:$D$503,_calc!$E$568))&amp;". ")&amp;IF(LEN(IF(LEN(INDEX('Our policies'!$E$4:$E$503,_calc!$E$568))=0,"",INDEX('Our policies'!$E$4:$E$503,_calc!$E$568)))=0,"","Policy no.: "&amp;IF(LEN(INDEX('Our policies'!$E$4:$E$503,_calc!$E$568))=0,"",INDEX('Our policies'!$E$4:$E$503,_calc!$E$568))&amp;". ")&amp;IF(LEN(IF(LEN(INDEX('Our policies'!$S$4:$S$503,_calc!$E$568))=0,"",INDEX('Our policies'!$S$4:$S$503,_calc!$E$568)))=0,"",IF(LEN(INDEX('Our policies'!$S$4:$S$503,_calc!$E$568))=0,"",INDEX('Our policies'!$S$4:$S$503,_calc!$E$568)))),TRIM(IF(LEN(IF(LEN(INDEX('Vendor COIs'!$C$4:$C$503,(_calc!$E$568-500)))=0,"",INDEX('Vendor COIs'!$C$4:$C$503,(_calc!$E$568-500))))=0,"","Insurer: "&amp;IF(LEN(INDEX('Vendor COIs'!$C$4:$C$503,(_calc!$E$568-500)))=0,"",INDEX('Vendor COIs'!$C$4:$C$503,(_calc!$E$568-500)))&amp;". ")&amp;IF(LEN(IF(LEN(INDEX('Vendor COIs'!$D$4:$D$503,(_calc!$E$568-500)))=0,"",INDEX('Vendor COIs'!$D$4:$D$503,(_calc!$E$568-500))))=0,"","Policy no.: "&amp;IF(LEN(INDEX('Vendor COIs'!$D$4:$D$503,(_calc!$E$568-500)))=0,"",INDEX('Vendor COIs'!$D$4:$D$503,(_calc!$E$568-500)))&amp;". ")&amp;IF(LEN(IF(LEN(INDEX('Vendor COIs'!$F$4:$F$503,(_calc!$E$568-500)))=0,"",INDEX('Vendor COIs'!$F$4:$F$503,(_calc!$E$568-500))))=0,"","Meets minimum: "&amp;IF(LEN(INDEX('Vendor COIs'!$F$4:$F$503,(_calc!$E$568-500)))=0,"",INDEX('Vendor COIs'!$F$4:$F$503,(_calc!$E$568-500)))&amp;". ")&amp;IF(LEN(IF(LEN(INDEX('Vendor COIs'!$G$4:$G$503,(_calc!$E$568-500)))=0,"",INDEX('Vendor COIs'!$G$4:$G$503,(_calc!$E$568-500))))=0,"","Additional insured: "&amp;IF(LEN(INDEX('Vendor COIs'!$G$4:$G$503,(_calc!$E$568-500)))=0,"",INDEX('Vendor COIs'!$G$4:$G$503,(_calc!$E$568-500)))&amp;". ")&amp;IF(LEN(IF(LEN(INDEX('Vendor COIs'!$M$4:$M$503,(_calc!$E$568-500)))=0,"",INDEX('Vendor COIs'!$M$4:$M$503,(_calc!$E$568-500))))=0,"","Vendor contact: "&amp;IF(LEN(INDEX('Vendor COIs'!$M$4:$M$503,(_calc!$E$568-500)))=0,"",INDEX('Vendor COIs'!$M$4:$M$503,(_calc!$E$568-500)))&amp;". ")&amp;IF(LEN(IF(LEN(INDEX('Vendor COIs'!$P$4:$P$503,(_calc!$E$568-500)))=0,"",INDEX('Vendor COIs'!$P$4:$P$503,(_calc!$E$568-500))))=0,"",IF(LEN(INDEX('Vendor COIs'!$P$4:$P$503,(_calc!$E$568-500)))=0,"",INDEX('Vendor COIs'!$P$4:$P$503,(_calc!$E$568-500)))))))</f>
        <v/>
      </c>
      <c r="G566" s="46">
        <f>IF(_calc!$E$568="","",IF(_calc!$E$568&lt;=500,IF(LEN(INDEX('Our policies'!$R$4:$R$503,_calc!$E$568))=0,"",INDEX('Our policies'!$R$4:$R$503,_calc!$E$568)),IF(LEN(INDEX('Vendor COIs'!$O$4:$O$503,(_calc!$E$568-500)))=0,"",INDEX('Vendor COIs'!$O$4:$O$503,(_calc!$E$568-500)))))</f>
        <v/>
      </c>
      <c r="H566" s="46">
        <f>IF(_calc!$E$568="","",IF(_calc!$E$568&lt;=500,IF(LEN(INDEX('Our policies'!$G$4:$G$503,_calc!$E$568))=0,"",INDEX('Our policies'!$G$4:$G$503,_calc!$E$568)),""))</f>
        <v/>
      </c>
      <c r="I566" s="46">
        <f>IF(_calc!$E$568="","",IF(_calc!$E$568&lt;=500,IF(LEN(INDEX('Our policies'!$H$4:$H$503,_calc!$E$568))=0,"",INDEX('Our policies'!$H$4:$H$503,_calc!$E$568)),""))</f>
        <v/>
      </c>
      <c r="K566" s="46">
        <f>IF(_calc!$E$568="","",IF(_calc!$E$568&lt;=500,IF(LEN(INDEX('Our policies'!$P$4:$P$503,_calc!$E$568))=0,"",INDEX('Our policies'!$P$4:$P$503,_calc!$E$568)),IF(LEN(INDEX('Vendor COIs'!$N$4:$N$503,(_calc!$E$568-500)))=0,"",INDEX('Vendor COIs'!$N$4:$N$503,(_calc!$E$568-500)))))</f>
        <v/>
      </c>
    </row>
    <row r="567">
      <c r="A567" s="46">
        <f>IF(_calc!$E$569="","",IF(_calc!$E$569&lt;=500,IF(LEN(INDEX('Our policies'!$A$4:$A$503,_calc!$E$569))=0,"",INDEX('Our policies'!$A$4:$A$503,_calc!$E$569)),"COI – "&amp;IF(LEN(INDEX('Vendor COIs'!$A$4:$A$503,(_calc!$E$569-500)))=0,"",INDEX('Vendor COIs'!$A$4:$A$503,(_calc!$E$569-500)))&amp;" – "&amp;IF(LEN(INDEX('Vendor COIs'!$B$4:$B$503,(_calc!$E$569-500)))=0,"",INDEX('Vendor COIs'!$B$4:$B$503,(_calc!$E$569-500)))))</f>
        <v/>
      </c>
      <c r="B567" s="46">
        <f>IF(_calc!$E$569="","",IF(_calc!$E$569&lt;=500,IF(ISNUMBER(INDEX('Our policies'!$J$4:$J$503,_calc!$E$569)),TEXT(INDEX('Our policies'!$J$4:$J$503,_calc!$E$569),"yyyy-mm-dd"),""),IF(ISNUMBER(INDEX('Vendor COIs'!$H$4:$H$503,(_calc!$E$569-500))),TEXT(INDEX('Vendor COIs'!$H$4:$H$503,(_calc!$E$569-500)),"yyyy-mm-dd"),"")))</f>
        <v/>
      </c>
      <c r="C567" s="46">
        <f>IF(_calc!$E$569="","",IF(_calc!$E$569&lt;=500,"Insurance","Certificate of insurance"))</f>
        <v/>
      </c>
      <c r="D567" s="46">
        <f>IF(_calc!$E$569="","",IF(_calc!$E$569&lt;=500,IF(ISNUMBER(INDEX('Our policies'!$I$4:$I$503,_calc!$E$569)),TEXT(INDEX('Our policies'!$I$4:$I$503,_calc!$E$569),"yyyy-mm-dd"),""),""))</f>
        <v/>
      </c>
      <c r="E567" s="46">
        <f>IF(_calc!$E$569="","",IF(_calc!$E$569&lt;=500,IF(LEN(INDEX('Our policies'!$Q$4:$Q$503,_calc!$E$569))=0,"",INDEX('Our policies'!$Q$4:$Q$503,_calc!$E$569)),"Medium"))</f>
        <v/>
      </c>
      <c r="F567" s="46">
        <f>IF(_calc!$E$569="","",IF(_calc!$E$569&lt;=500,TRIM(IF(LEN(IF(LEN(INDEX('Our policies'!$B$4:$B$503,_calc!$E$569))=0,"",INDEX('Our policies'!$B$4:$B$503,_calc!$E$569)))=0,"","Cover: "&amp;IF(LEN(INDEX('Our policies'!$B$4:$B$503,_calc!$E$569))=0,"",INDEX('Our policies'!$B$4:$B$503,_calc!$E$569))&amp;". ")&amp;IF(LEN(IF(LEN(INDEX('Our policies'!$C$4:$C$503,_calc!$E$569))=0,"",INDEX('Our policies'!$C$4:$C$503,_calc!$E$569)))=0,"","Insurer: "&amp;IF(LEN(INDEX('Our policies'!$C$4:$C$503,_calc!$E$569))=0,"",INDEX('Our policies'!$C$4:$C$503,_calc!$E$569))&amp;". ")&amp;IF(LEN(IF(LEN(INDEX('Our policies'!$D$4:$D$503,_calc!$E$569))=0,"",INDEX('Our policies'!$D$4:$D$503,_calc!$E$569)))=0,"","Broker: "&amp;IF(LEN(INDEX('Our policies'!$D$4:$D$503,_calc!$E$569))=0,"",INDEX('Our policies'!$D$4:$D$503,_calc!$E$569))&amp;". ")&amp;IF(LEN(IF(LEN(INDEX('Our policies'!$E$4:$E$503,_calc!$E$569))=0,"",INDEX('Our policies'!$E$4:$E$503,_calc!$E$569)))=0,"","Policy no.: "&amp;IF(LEN(INDEX('Our policies'!$E$4:$E$503,_calc!$E$569))=0,"",INDEX('Our policies'!$E$4:$E$503,_calc!$E$569))&amp;". ")&amp;IF(LEN(IF(LEN(INDEX('Our policies'!$S$4:$S$503,_calc!$E$569))=0,"",INDEX('Our policies'!$S$4:$S$503,_calc!$E$569)))=0,"",IF(LEN(INDEX('Our policies'!$S$4:$S$503,_calc!$E$569))=0,"",INDEX('Our policies'!$S$4:$S$503,_calc!$E$569)))),TRIM(IF(LEN(IF(LEN(INDEX('Vendor COIs'!$C$4:$C$503,(_calc!$E$569-500)))=0,"",INDEX('Vendor COIs'!$C$4:$C$503,(_calc!$E$569-500))))=0,"","Insurer: "&amp;IF(LEN(INDEX('Vendor COIs'!$C$4:$C$503,(_calc!$E$569-500)))=0,"",INDEX('Vendor COIs'!$C$4:$C$503,(_calc!$E$569-500)))&amp;". ")&amp;IF(LEN(IF(LEN(INDEX('Vendor COIs'!$D$4:$D$503,(_calc!$E$569-500)))=0,"",INDEX('Vendor COIs'!$D$4:$D$503,(_calc!$E$569-500))))=0,"","Policy no.: "&amp;IF(LEN(INDEX('Vendor COIs'!$D$4:$D$503,(_calc!$E$569-500)))=0,"",INDEX('Vendor COIs'!$D$4:$D$503,(_calc!$E$569-500)))&amp;". ")&amp;IF(LEN(IF(LEN(INDEX('Vendor COIs'!$F$4:$F$503,(_calc!$E$569-500)))=0,"",INDEX('Vendor COIs'!$F$4:$F$503,(_calc!$E$569-500))))=0,"","Meets minimum: "&amp;IF(LEN(INDEX('Vendor COIs'!$F$4:$F$503,(_calc!$E$569-500)))=0,"",INDEX('Vendor COIs'!$F$4:$F$503,(_calc!$E$569-500)))&amp;". ")&amp;IF(LEN(IF(LEN(INDEX('Vendor COIs'!$G$4:$G$503,(_calc!$E$569-500)))=0,"",INDEX('Vendor COIs'!$G$4:$G$503,(_calc!$E$569-500))))=0,"","Additional insured: "&amp;IF(LEN(INDEX('Vendor COIs'!$G$4:$G$503,(_calc!$E$569-500)))=0,"",INDEX('Vendor COIs'!$G$4:$G$503,(_calc!$E$569-500)))&amp;". ")&amp;IF(LEN(IF(LEN(INDEX('Vendor COIs'!$M$4:$M$503,(_calc!$E$569-500)))=0,"",INDEX('Vendor COIs'!$M$4:$M$503,(_calc!$E$569-500))))=0,"","Vendor contact: "&amp;IF(LEN(INDEX('Vendor COIs'!$M$4:$M$503,(_calc!$E$569-500)))=0,"",INDEX('Vendor COIs'!$M$4:$M$503,(_calc!$E$569-500)))&amp;". ")&amp;IF(LEN(IF(LEN(INDEX('Vendor COIs'!$P$4:$P$503,(_calc!$E$569-500)))=0,"",INDEX('Vendor COIs'!$P$4:$P$503,(_calc!$E$569-500))))=0,"",IF(LEN(INDEX('Vendor COIs'!$P$4:$P$503,(_calc!$E$569-500)))=0,"",INDEX('Vendor COIs'!$P$4:$P$503,(_calc!$E$569-500)))))))</f>
        <v/>
      </c>
      <c r="G567" s="46">
        <f>IF(_calc!$E$569="","",IF(_calc!$E$569&lt;=500,IF(LEN(INDEX('Our policies'!$R$4:$R$503,_calc!$E$569))=0,"",INDEX('Our policies'!$R$4:$R$503,_calc!$E$569)),IF(LEN(INDEX('Vendor COIs'!$O$4:$O$503,(_calc!$E$569-500)))=0,"",INDEX('Vendor COIs'!$O$4:$O$503,(_calc!$E$569-500)))))</f>
        <v/>
      </c>
      <c r="H567" s="46">
        <f>IF(_calc!$E$569="","",IF(_calc!$E$569&lt;=500,IF(LEN(INDEX('Our policies'!$G$4:$G$503,_calc!$E$569))=0,"",INDEX('Our policies'!$G$4:$G$503,_calc!$E$569)),""))</f>
        <v/>
      </c>
      <c r="I567" s="46">
        <f>IF(_calc!$E$569="","",IF(_calc!$E$569&lt;=500,IF(LEN(INDEX('Our policies'!$H$4:$H$503,_calc!$E$569))=0,"",INDEX('Our policies'!$H$4:$H$503,_calc!$E$569)),""))</f>
        <v/>
      </c>
      <c r="K567" s="46">
        <f>IF(_calc!$E$569="","",IF(_calc!$E$569&lt;=500,IF(LEN(INDEX('Our policies'!$P$4:$P$503,_calc!$E$569))=0,"",INDEX('Our policies'!$P$4:$P$503,_calc!$E$569)),IF(LEN(INDEX('Vendor COIs'!$N$4:$N$503,(_calc!$E$569-500)))=0,"",INDEX('Vendor COIs'!$N$4:$N$503,(_calc!$E$569-500)))))</f>
        <v/>
      </c>
    </row>
    <row r="568">
      <c r="A568" s="46">
        <f>IF(_calc!$E$570="","",IF(_calc!$E$570&lt;=500,IF(LEN(INDEX('Our policies'!$A$4:$A$503,_calc!$E$570))=0,"",INDEX('Our policies'!$A$4:$A$503,_calc!$E$570)),"COI – "&amp;IF(LEN(INDEX('Vendor COIs'!$A$4:$A$503,(_calc!$E$570-500)))=0,"",INDEX('Vendor COIs'!$A$4:$A$503,(_calc!$E$570-500)))&amp;" – "&amp;IF(LEN(INDEX('Vendor COIs'!$B$4:$B$503,(_calc!$E$570-500)))=0,"",INDEX('Vendor COIs'!$B$4:$B$503,(_calc!$E$570-500)))))</f>
        <v/>
      </c>
      <c r="B568" s="46">
        <f>IF(_calc!$E$570="","",IF(_calc!$E$570&lt;=500,IF(ISNUMBER(INDEX('Our policies'!$J$4:$J$503,_calc!$E$570)),TEXT(INDEX('Our policies'!$J$4:$J$503,_calc!$E$570),"yyyy-mm-dd"),""),IF(ISNUMBER(INDEX('Vendor COIs'!$H$4:$H$503,(_calc!$E$570-500))),TEXT(INDEX('Vendor COIs'!$H$4:$H$503,(_calc!$E$570-500)),"yyyy-mm-dd"),"")))</f>
        <v/>
      </c>
      <c r="C568" s="46">
        <f>IF(_calc!$E$570="","",IF(_calc!$E$570&lt;=500,"Insurance","Certificate of insurance"))</f>
        <v/>
      </c>
      <c r="D568" s="46">
        <f>IF(_calc!$E$570="","",IF(_calc!$E$570&lt;=500,IF(ISNUMBER(INDEX('Our policies'!$I$4:$I$503,_calc!$E$570)),TEXT(INDEX('Our policies'!$I$4:$I$503,_calc!$E$570),"yyyy-mm-dd"),""),""))</f>
        <v/>
      </c>
      <c r="E568" s="46">
        <f>IF(_calc!$E$570="","",IF(_calc!$E$570&lt;=500,IF(LEN(INDEX('Our policies'!$Q$4:$Q$503,_calc!$E$570))=0,"",INDEX('Our policies'!$Q$4:$Q$503,_calc!$E$570)),"Medium"))</f>
        <v/>
      </c>
      <c r="F568" s="46">
        <f>IF(_calc!$E$570="","",IF(_calc!$E$570&lt;=500,TRIM(IF(LEN(IF(LEN(INDEX('Our policies'!$B$4:$B$503,_calc!$E$570))=0,"",INDEX('Our policies'!$B$4:$B$503,_calc!$E$570)))=0,"","Cover: "&amp;IF(LEN(INDEX('Our policies'!$B$4:$B$503,_calc!$E$570))=0,"",INDEX('Our policies'!$B$4:$B$503,_calc!$E$570))&amp;". ")&amp;IF(LEN(IF(LEN(INDEX('Our policies'!$C$4:$C$503,_calc!$E$570))=0,"",INDEX('Our policies'!$C$4:$C$503,_calc!$E$570)))=0,"","Insurer: "&amp;IF(LEN(INDEX('Our policies'!$C$4:$C$503,_calc!$E$570))=0,"",INDEX('Our policies'!$C$4:$C$503,_calc!$E$570))&amp;". ")&amp;IF(LEN(IF(LEN(INDEX('Our policies'!$D$4:$D$503,_calc!$E$570))=0,"",INDEX('Our policies'!$D$4:$D$503,_calc!$E$570)))=0,"","Broker: "&amp;IF(LEN(INDEX('Our policies'!$D$4:$D$503,_calc!$E$570))=0,"",INDEX('Our policies'!$D$4:$D$503,_calc!$E$570))&amp;". ")&amp;IF(LEN(IF(LEN(INDEX('Our policies'!$E$4:$E$503,_calc!$E$570))=0,"",INDEX('Our policies'!$E$4:$E$503,_calc!$E$570)))=0,"","Policy no.: "&amp;IF(LEN(INDEX('Our policies'!$E$4:$E$503,_calc!$E$570))=0,"",INDEX('Our policies'!$E$4:$E$503,_calc!$E$570))&amp;". ")&amp;IF(LEN(IF(LEN(INDEX('Our policies'!$S$4:$S$503,_calc!$E$570))=0,"",INDEX('Our policies'!$S$4:$S$503,_calc!$E$570)))=0,"",IF(LEN(INDEX('Our policies'!$S$4:$S$503,_calc!$E$570))=0,"",INDEX('Our policies'!$S$4:$S$503,_calc!$E$570)))),TRIM(IF(LEN(IF(LEN(INDEX('Vendor COIs'!$C$4:$C$503,(_calc!$E$570-500)))=0,"",INDEX('Vendor COIs'!$C$4:$C$503,(_calc!$E$570-500))))=0,"","Insurer: "&amp;IF(LEN(INDEX('Vendor COIs'!$C$4:$C$503,(_calc!$E$570-500)))=0,"",INDEX('Vendor COIs'!$C$4:$C$503,(_calc!$E$570-500)))&amp;". ")&amp;IF(LEN(IF(LEN(INDEX('Vendor COIs'!$D$4:$D$503,(_calc!$E$570-500)))=0,"",INDEX('Vendor COIs'!$D$4:$D$503,(_calc!$E$570-500))))=0,"","Policy no.: "&amp;IF(LEN(INDEX('Vendor COIs'!$D$4:$D$503,(_calc!$E$570-500)))=0,"",INDEX('Vendor COIs'!$D$4:$D$503,(_calc!$E$570-500)))&amp;". ")&amp;IF(LEN(IF(LEN(INDEX('Vendor COIs'!$F$4:$F$503,(_calc!$E$570-500)))=0,"",INDEX('Vendor COIs'!$F$4:$F$503,(_calc!$E$570-500))))=0,"","Meets minimum: "&amp;IF(LEN(INDEX('Vendor COIs'!$F$4:$F$503,(_calc!$E$570-500)))=0,"",INDEX('Vendor COIs'!$F$4:$F$503,(_calc!$E$570-500)))&amp;". ")&amp;IF(LEN(IF(LEN(INDEX('Vendor COIs'!$G$4:$G$503,(_calc!$E$570-500)))=0,"",INDEX('Vendor COIs'!$G$4:$G$503,(_calc!$E$570-500))))=0,"","Additional insured: "&amp;IF(LEN(INDEX('Vendor COIs'!$G$4:$G$503,(_calc!$E$570-500)))=0,"",INDEX('Vendor COIs'!$G$4:$G$503,(_calc!$E$570-500)))&amp;". ")&amp;IF(LEN(IF(LEN(INDEX('Vendor COIs'!$M$4:$M$503,(_calc!$E$570-500)))=0,"",INDEX('Vendor COIs'!$M$4:$M$503,(_calc!$E$570-500))))=0,"","Vendor contact: "&amp;IF(LEN(INDEX('Vendor COIs'!$M$4:$M$503,(_calc!$E$570-500)))=0,"",INDEX('Vendor COIs'!$M$4:$M$503,(_calc!$E$570-500)))&amp;". ")&amp;IF(LEN(IF(LEN(INDEX('Vendor COIs'!$P$4:$P$503,(_calc!$E$570-500)))=0,"",INDEX('Vendor COIs'!$P$4:$P$503,(_calc!$E$570-500))))=0,"",IF(LEN(INDEX('Vendor COIs'!$P$4:$P$503,(_calc!$E$570-500)))=0,"",INDEX('Vendor COIs'!$P$4:$P$503,(_calc!$E$570-500)))))))</f>
        <v/>
      </c>
      <c r="G568" s="46">
        <f>IF(_calc!$E$570="","",IF(_calc!$E$570&lt;=500,IF(LEN(INDEX('Our policies'!$R$4:$R$503,_calc!$E$570))=0,"",INDEX('Our policies'!$R$4:$R$503,_calc!$E$570)),IF(LEN(INDEX('Vendor COIs'!$O$4:$O$503,(_calc!$E$570-500)))=0,"",INDEX('Vendor COIs'!$O$4:$O$503,(_calc!$E$570-500)))))</f>
        <v/>
      </c>
      <c r="H568" s="46">
        <f>IF(_calc!$E$570="","",IF(_calc!$E$570&lt;=500,IF(LEN(INDEX('Our policies'!$G$4:$G$503,_calc!$E$570))=0,"",INDEX('Our policies'!$G$4:$G$503,_calc!$E$570)),""))</f>
        <v/>
      </c>
      <c r="I568" s="46">
        <f>IF(_calc!$E$570="","",IF(_calc!$E$570&lt;=500,IF(LEN(INDEX('Our policies'!$H$4:$H$503,_calc!$E$570))=0,"",INDEX('Our policies'!$H$4:$H$503,_calc!$E$570)),""))</f>
        <v/>
      </c>
      <c r="K568" s="46">
        <f>IF(_calc!$E$570="","",IF(_calc!$E$570&lt;=500,IF(LEN(INDEX('Our policies'!$P$4:$P$503,_calc!$E$570))=0,"",INDEX('Our policies'!$P$4:$P$503,_calc!$E$570)),IF(LEN(INDEX('Vendor COIs'!$N$4:$N$503,(_calc!$E$570-500)))=0,"",INDEX('Vendor COIs'!$N$4:$N$503,(_calc!$E$570-500)))))</f>
        <v/>
      </c>
    </row>
    <row r="569">
      <c r="A569" s="46">
        <f>IF(_calc!$E$571="","",IF(_calc!$E$571&lt;=500,IF(LEN(INDEX('Our policies'!$A$4:$A$503,_calc!$E$571))=0,"",INDEX('Our policies'!$A$4:$A$503,_calc!$E$571)),"COI – "&amp;IF(LEN(INDEX('Vendor COIs'!$A$4:$A$503,(_calc!$E$571-500)))=0,"",INDEX('Vendor COIs'!$A$4:$A$503,(_calc!$E$571-500)))&amp;" – "&amp;IF(LEN(INDEX('Vendor COIs'!$B$4:$B$503,(_calc!$E$571-500)))=0,"",INDEX('Vendor COIs'!$B$4:$B$503,(_calc!$E$571-500)))))</f>
        <v/>
      </c>
      <c r="B569" s="46">
        <f>IF(_calc!$E$571="","",IF(_calc!$E$571&lt;=500,IF(ISNUMBER(INDEX('Our policies'!$J$4:$J$503,_calc!$E$571)),TEXT(INDEX('Our policies'!$J$4:$J$503,_calc!$E$571),"yyyy-mm-dd"),""),IF(ISNUMBER(INDEX('Vendor COIs'!$H$4:$H$503,(_calc!$E$571-500))),TEXT(INDEX('Vendor COIs'!$H$4:$H$503,(_calc!$E$571-500)),"yyyy-mm-dd"),"")))</f>
        <v/>
      </c>
      <c r="C569" s="46">
        <f>IF(_calc!$E$571="","",IF(_calc!$E$571&lt;=500,"Insurance","Certificate of insurance"))</f>
        <v/>
      </c>
      <c r="D569" s="46">
        <f>IF(_calc!$E$571="","",IF(_calc!$E$571&lt;=500,IF(ISNUMBER(INDEX('Our policies'!$I$4:$I$503,_calc!$E$571)),TEXT(INDEX('Our policies'!$I$4:$I$503,_calc!$E$571),"yyyy-mm-dd"),""),""))</f>
        <v/>
      </c>
      <c r="E569" s="46">
        <f>IF(_calc!$E$571="","",IF(_calc!$E$571&lt;=500,IF(LEN(INDEX('Our policies'!$Q$4:$Q$503,_calc!$E$571))=0,"",INDEX('Our policies'!$Q$4:$Q$503,_calc!$E$571)),"Medium"))</f>
        <v/>
      </c>
      <c r="F569" s="46">
        <f>IF(_calc!$E$571="","",IF(_calc!$E$571&lt;=500,TRIM(IF(LEN(IF(LEN(INDEX('Our policies'!$B$4:$B$503,_calc!$E$571))=0,"",INDEX('Our policies'!$B$4:$B$503,_calc!$E$571)))=0,"","Cover: "&amp;IF(LEN(INDEX('Our policies'!$B$4:$B$503,_calc!$E$571))=0,"",INDEX('Our policies'!$B$4:$B$503,_calc!$E$571))&amp;". ")&amp;IF(LEN(IF(LEN(INDEX('Our policies'!$C$4:$C$503,_calc!$E$571))=0,"",INDEX('Our policies'!$C$4:$C$503,_calc!$E$571)))=0,"","Insurer: "&amp;IF(LEN(INDEX('Our policies'!$C$4:$C$503,_calc!$E$571))=0,"",INDEX('Our policies'!$C$4:$C$503,_calc!$E$571))&amp;". ")&amp;IF(LEN(IF(LEN(INDEX('Our policies'!$D$4:$D$503,_calc!$E$571))=0,"",INDEX('Our policies'!$D$4:$D$503,_calc!$E$571)))=0,"","Broker: "&amp;IF(LEN(INDEX('Our policies'!$D$4:$D$503,_calc!$E$571))=0,"",INDEX('Our policies'!$D$4:$D$503,_calc!$E$571))&amp;". ")&amp;IF(LEN(IF(LEN(INDEX('Our policies'!$E$4:$E$503,_calc!$E$571))=0,"",INDEX('Our policies'!$E$4:$E$503,_calc!$E$571)))=0,"","Policy no.: "&amp;IF(LEN(INDEX('Our policies'!$E$4:$E$503,_calc!$E$571))=0,"",INDEX('Our policies'!$E$4:$E$503,_calc!$E$571))&amp;". ")&amp;IF(LEN(IF(LEN(INDEX('Our policies'!$S$4:$S$503,_calc!$E$571))=0,"",INDEX('Our policies'!$S$4:$S$503,_calc!$E$571)))=0,"",IF(LEN(INDEX('Our policies'!$S$4:$S$503,_calc!$E$571))=0,"",INDEX('Our policies'!$S$4:$S$503,_calc!$E$571)))),TRIM(IF(LEN(IF(LEN(INDEX('Vendor COIs'!$C$4:$C$503,(_calc!$E$571-500)))=0,"",INDEX('Vendor COIs'!$C$4:$C$503,(_calc!$E$571-500))))=0,"","Insurer: "&amp;IF(LEN(INDEX('Vendor COIs'!$C$4:$C$503,(_calc!$E$571-500)))=0,"",INDEX('Vendor COIs'!$C$4:$C$503,(_calc!$E$571-500)))&amp;". ")&amp;IF(LEN(IF(LEN(INDEX('Vendor COIs'!$D$4:$D$503,(_calc!$E$571-500)))=0,"",INDEX('Vendor COIs'!$D$4:$D$503,(_calc!$E$571-500))))=0,"","Policy no.: "&amp;IF(LEN(INDEX('Vendor COIs'!$D$4:$D$503,(_calc!$E$571-500)))=0,"",INDEX('Vendor COIs'!$D$4:$D$503,(_calc!$E$571-500)))&amp;". ")&amp;IF(LEN(IF(LEN(INDEX('Vendor COIs'!$F$4:$F$503,(_calc!$E$571-500)))=0,"",INDEX('Vendor COIs'!$F$4:$F$503,(_calc!$E$571-500))))=0,"","Meets minimum: "&amp;IF(LEN(INDEX('Vendor COIs'!$F$4:$F$503,(_calc!$E$571-500)))=0,"",INDEX('Vendor COIs'!$F$4:$F$503,(_calc!$E$571-500)))&amp;". ")&amp;IF(LEN(IF(LEN(INDEX('Vendor COIs'!$G$4:$G$503,(_calc!$E$571-500)))=0,"",INDEX('Vendor COIs'!$G$4:$G$503,(_calc!$E$571-500))))=0,"","Additional insured: "&amp;IF(LEN(INDEX('Vendor COIs'!$G$4:$G$503,(_calc!$E$571-500)))=0,"",INDEX('Vendor COIs'!$G$4:$G$503,(_calc!$E$571-500)))&amp;". ")&amp;IF(LEN(IF(LEN(INDEX('Vendor COIs'!$M$4:$M$503,(_calc!$E$571-500)))=0,"",INDEX('Vendor COIs'!$M$4:$M$503,(_calc!$E$571-500))))=0,"","Vendor contact: "&amp;IF(LEN(INDEX('Vendor COIs'!$M$4:$M$503,(_calc!$E$571-500)))=0,"",INDEX('Vendor COIs'!$M$4:$M$503,(_calc!$E$571-500)))&amp;". ")&amp;IF(LEN(IF(LEN(INDEX('Vendor COIs'!$P$4:$P$503,(_calc!$E$571-500)))=0,"",INDEX('Vendor COIs'!$P$4:$P$503,(_calc!$E$571-500))))=0,"",IF(LEN(INDEX('Vendor COIs'!$P$4:$P$503,(_calc!$E$571-500)))=0,"",INDEX('Vendor COIs'!$P$4:$P$503,(_calc!$E$571-500)))))))</f>
        <v/>
      </c>
      <c r="G569" s="46">
        <f>IF(_calc!$E$571="","",IF(_calc!$E$571&lt;=500,IF(LEN(INDEX('Our policies'!$R$4:$R$503,_calc!$E$571))=0,"",INDEX('Our policies'!$R$4:$R$503,_calc!$E$571)),IF(LEN(INDEX('Vendor COIs'!$O$4:$O$503,(_calc!$E$571-500)))=0,"",INDEX('Vendor COIs'!$O$4:$O$503,(_calc!$E$571-500)))))</f>
        <v/>
      </c>
      <c r="H569" s="46">
        <f>IF(_calc!$E$571="","",IF(_calc!$E$571&lt;=500,IF(LEN(INDEX('Our policies'!$G$4:$G$503,_calc!$E$571))=0,"",INDEX('Our policies'!$G$4:$G$503,_calc!$E$571)),""))</f>
        <v/>
      </c>
      <c r="I569" s="46">
        <f>IF(_calc!$E$571="","",IF(_calc!$E$571&lt;=500,IF(LEN(INDEX('Our policies'!$H$4:$H$503,_calc!$E$571))=0,"",INDEX('Our policies'!$H$4:$H$503,_calc!$E$571)),""))</f>
        <v/>
      </c>
      <c r="K569" s="46">
        <f>IF(_calc!$E$571="","",IF(_calc!$E$571&lt;=500,IF(LEN(INDEX('Our policies'!$P$4:$P$503,_calc!$E$571))=0,"",INDEX('Our policies'!$P$4:$P$503,_calc!$E$571)),IF(LEN(INDEX('Vendor COIs'!$N$4:$N$503,(_calc!$E$571-500)))=0,"",INDEX('Vendor COIs'!$N$4:$N$503,(_calc!$E$571-500)))))</f>
        <v/>
      </c>
    </row>
    <row r="570">
      <c r="A570" s="46">
        <f>IF(_calc!$E$572="","",IF(_calc!$E$572&lt;=500,IF(LEN(INDEX('Our policies'!$A$4:$A$503,_calc!$E$572))=0,"",INDEX('Our policies'!$A$4:$A$503,_calc!$E$572)),"COI – "&amp;IF(LEN(INDEX('Vendor COIs'!$A$4:$A$503,(_calc!$E$572-500)))=0,"",INDEX('Vendor COIs'!$A$4:$A$503,(_calc!$E$572-500)))&amp;" – "&amp;IF(LEN(INDEX('Vendor COIs'!$B$4:$B$503,(_calc!$E$572-500)))=0,"",INDEX('Vendor COIs'!$B$4:$B$503,(_calc!$E$572-500)))))</f>
        <v/>
      </c>
      <c r="B570" s="46">
        <f>IF(_calc!$E$572="","",IF(_calc!$E$572&lt;=500,IF(ISNUMBER(INDEX('Our policies'!$J$4:$J$503,_calc!$E$572)),TEXT(INDEX('Our policies'!$J$4:$J$503,_calc!$E$572),"yyyy-mm-dd"),""),IF(ISNUMBER(INDEX('Vendor COIs'!$H$4:$H$503,(_calc!$E$572-500))),TEXT(INDEX('Vendor COIs'!$H$4:$H$503,(_calc!$E$572-500)),"yyyy-mm-dd"),"")))</f>
        <v/>
      </c>
      <c r="C570" s="46">
        <f>IF(_calc!$E$572="","",IF(_calc!$E$572&lt;=500,"Insurance","Certificate of insurance"))</f>
        <v/>
      </c>
      <c r="D570" s="46">
        <f>IF(_calc!$E$572="","",IF(_calc!$E$572&lt;=500,IF(ISNUMBER(INDEX('Our policies'!$I$4:$I$503,_calc!$E$572)),TEXT(INDEX('Our policies'!$I$4:$I$503,_calc!$E$572),"yyyy-mm-dd"),""),""))</f>
        <v/>
      </c>
      <c r="E570" s="46">
        <f>IF(_calc!$E$572="","",IF(_calc!$E$572&lt;=500,IF(LEN(INDEX('Our policies'!$Q$4:$Q$503,_calc!$E$572))=0,"",INDEX('Our policies'!$Q$4:$Q$503,_calc!$E$572)),"Medium"))</f>
        <v/>
      </c>
      <c r="F570" s="46">
        <f>IF(_calc!$E$572="","",IF(_calc!$E$572&lt;=500,TRIM(IF(LEN(IF(LEN(INDEX('Our policies'!$B$4:$B$503,_calc!$E$572))=0,"",INDEX('Our policies'!$B$4:$B$503,_calc!$E$572)))=0,"","Cover: "&amp;IF(LEN(INDEX('Our policies'!$B$4:$B$503,_calc!$E$572))=0,"",INDEX('Our policies'!$B$4:$B$503,_calc!$E$572))&amp;". ")&amp;IF(LEN(IF(LEN(INDEX('Our policies'!$C$4:$C$503,_calc!$E$572))=0,"",INDEX('Our policies'!$C$4:$C$503,_calc!$E$572)))=0,"","Insurer: "&amp;IF(LEN(INDEX('Our policies'!$C$4:$C$503,_calc!$E$572))=0,"",INDEX('Our policies'!$C$4:$C$503,_calc!$E$572))&amp;". ")&amp;IF(LEN(IF(LEN(INDEX('Our policies'!$D$4:$D$503,_calc!$E$572))=0,"",INDEX('Our policies'!$D$4:$D$503,_calc!$E$572)))=0,"","Broker: "&amp;IF(LEN(INDEX('Our policies'!$D$4:$D$503,_calc!$E$572))=0,"",INDEX('Our policies'!$D$4:$D$503,_calc!$E$572))&amp;". ")&amp;IF(LEN(IF(LEN(INDEX('Our policies'!$E$4:$E$503,_calc!$E$572))=0,"",INDEX('Our policies'!$E$4:$E$503,_calc!$E$572)))=0,"","Policy no.: "&amp;IF(LEN(INDEX('Our policies'!$E$4:$E$503,_calc!$E$572))=0,"",INDEX('Our policies'!$E$4:$E$503,_calc!$E$572))&amp;". ")&amp;IF(LEN(IF(LEN(INDEX('Our policies'!$S$4:$S$503,_calc!$E$572))=0,"",INDEX('Our policies'!$S$4:$S$503,_calc!$E$572)))=0,"",IF(LEN(INDEX('Our policies'!$S$4:$S$503,_calc!$E$572))=0,"",INDEX('Our policies'!$S$4:$S$503,_calc!$E$572)))),TRIM(IF(LEN(IF(LEN(INDEX('Vendor COIs'!$C$4:$C$503,(_calc!$E$572-500)))=0,"",INDEX('Vendor COIs'!$C$4:$C$503,(_calc!$E$572-500))))=0,"","Insurer: "&amp;IF(LEN(INDEX('Vendor COIs'!$C$4:$C$503,(_calc!$E$572-500)))=0,"",INDEX('Vendor COIs'!$C$4:$C$503,(_calc!$E$572-500)))&amp;". ")&amp;IF(LEN(IF(LEN(INDEX('Vendor COIs'!$D$4:$D$503,(_calc!$E$572-500)))=0,"",INDEX('Vendor COIs'!$D$4:$D$503,(_calc!$E$572-500))))=0,"","Policy no.: "&amp;IF(LEN(INDEX('Vendor COIs'!$D$4:$D$503,(_calc!$E$572-500)))=0,"",INDEX('Vendor COIs'!$D$4:$D$503,(_calc!$E$572-500)))&amp;". ")&amp;IF(LEN(IF(LEN(INDEX('Vendor COIs'!$F$4:$F$503,(_calc!$E$572-500)))=0,"",INDEX('Vendor COIs'!$F$4:$F$503,(_calc!$E$572-500))))=0,"","Meets minimum: "&amp;IF(LEN(INDEX('Vendor COIs'!$F$4:$F$503,(_calc!$E$572-500)))=0,"",INDEX('Vendor COIs'!$F$4:$F$503,(_calc!$E$572-500)))&amp;". ")&amp;IF(LEN(IF(LEN(INDEX('Vendor COIs'!$G$4:$G$503,(_calc!$E$572-500)))=0,"",INDEX('Vendor COIs'!$G$4:$G$503,(_calc!$E$572-500))))=0,"","Additional insured: "&amp;IF(LEN(INDEX('Vendor COIs'!$G$4:$G$503,(_calc!$E$572-500)))=0,"",INDEX('Vendor COIs'!$G$4:$G$503,(_calc!$E$572-500)))&amp;". ")&amp;IF(LEN(IF(LEN(INDEX('Vendor COIs'!$M$4:$M$503,(_calc!$E$572-500)))=0,"",INDEX('Vendor COIs'!$M$4:$M$503,(_calc!$E$572-500))))=0,"","Vendor contact: "&amp;IF(LEN(INDEX('Vendor COIs'!$M$4:$M$503,(_calc!$E$572-500)))=0,"",INDEX('Vendor COIs'!$M$4:$M$503,(_calc!$E$572-500)))&amp;". ")&amp;IF(LEN(IF(LEN(INDEX('Vendor COIs'!$P$4:$P$503,(_calc!$E$572-500)))=0,"",INDEX('Vendor COIs'!$P$4:$P$503,(_calc!$E$572-500))))=0,"",IF(LEN(INDEX('Vendor COIs'!$P$4:$P$503,(_calc!$E$572-500)))=0,"",INDEX('Vendor COIs'!$P$4:$P$503,(_calc!$E$572-500)))))))</f>
        <v/>
      </c>
      <c r="G570" s="46">
        <f>IF(_calc!$E$572="","",IF(_calc!$E$572&lt;=500,IF(LEN(INDEX('Our policies'!$R$4:$R$503,_calc!$E$572))=0,"",INDEX('Our policies'!$R$4:$R$503,_calc!$E$572)),IF(LEN(INDEX('Vendor COIs'!$O$4:$O$503,(_calc!$E$572-500)))=0,"",INDEX('Vendor COIs'!$O$4:$O$503,(_calc!$E$572-500)))))</f>
        <v/>
      </c>
      <c r="H570" s="46">
        <f>IF(_calc!$E$572="","",IF(_calc!$E$572&lt;=500,IF(LEN(INDEX('Our policies'!$G$4:$G$503,_calc!$E$572))=0,"",INDEX('Our policies'!$G$4:$G$503,_calc!$E$572)),""))</f>
        <v/>
      </c>
      <c r="I570" s="46">
        <f>IF(_calc!$E$572="","",IF(_calc!$E$572&lt;=500,IF(LEN(INDEX('Our policies'!$H$4:$H$503,_calc!$E$572))=0,"",INDEX('Our policies'!$H$4:$H$503,_calc!$E$572)),""))</f>
        <v/>
      </c>
      <c r="K570" s="46">
        <f>IF(_calc!$E$572="","",IF(_calc!$E$572&lt;=500,IF(LEN(INDEX('Our policies'!$P$4:$P$503,_calc!$E$572))=0,"",INDEX('Our policies'!$P$4:$P$503,_calc!$E$572)),IF(LEN(INDEX('Vendor COIs'!$N$4:$N$503,(_calc!$E$572-500)))=0,"",INDEX('Vendor COIs'!$N$4:$N$503,(_calc!$E$572-500)))))</f>
        <v/>
      </c>
    </row>
    <row r="571">
      <c r="A571" s="46">
        <f>IF(_calc!$E$573="","",IF(_calc!$E$573&lt;=500,IF(LEN(INDEX('Our policies'!$A$4:$A$503,_calc!$E$573))=0,"",INDEX('Our policies'!$A$4:$A$503,_calc!$E$573)),"COI – "&amp;IF(LEN(INDEX('Vendor COIs'!$A$4:$A$503,(_calc!$E$573-500)))=0,"",INDEX('Vendor COIs'!$A$4:$A$503,(_calc!$E$573-500)))&amp;" – "&amp;IF(LEN(INDEX('Vendor COIs'!$B$4:$B$503,(_calc!$E$573-500)))=0,"",INDEX('Vendor COIs'!$B$4:$B$503,(_calc!$E$573-500)))))</f>
        <v/>
      </c>
      <c r="B571" s="46">
        <f>IF(_calc!$E$573="","",IF(_calc!$E$573&lt;=500,IF(ISNUMBER(INDEX('Our policies'!$J$4:$J$503,_calc!$E$573)),TEXT(INDEX('Our policies'!$J$4:$J$503,_calc!$E$573),"yyyy-mm-dd"),""),IF(ISNUMBER(INDEX('Vendor COIs'!$H$4:$H$503,(_calc!$E$573-500))),TEXT(INDEX('Vendor COIs'!$H$4:$H$503,(_calc!$E$573-500)),"yyyy-mm-dd"),"")))</f>
        <v/>
      </c>
      <c r="C571" s="46">
        <f>IF(_calc!$E$573="","",IF(_calc!$E$573&lt;=500,"Insurance","Certificate of insurance"))</f>
        <v/>
      </c>
      <c r="D571" s="46">
        <f>IF(_calc!$E$573="","",IF(_calc!$E$573&lt;=500,IF(ISNUMBER(INDEX('Our policies'!$I$4:$I$503,_calc!$E$573)),TEXT(INDEX('Our policies'!$I$4:$I$503,_calc!$E$573),"yyyy-mm-dd"),""),""))</f>
        <v/>
      </c>
      <c r="E571" s="46">
        <f>IF(_calc!$E$573="","",IF(_calc!$E$573&lt;=500,IF(LEN(INDEX('Our policies'!$Q$4:$Q$503,_calc!$E$573))=0,"",INDEX('Our policies'!$Q$4:$Q$503,_calc!$E$573)),"Medium"))</f>
        <v/>
      </c>
      <c r="F571" s="46">
        <f>IF(_calc!$E$573="","",IF(_calc!$E$573&lt;=500,TRIM(IF(LEN(IF(LEN(INDEX('Our policies'!$B$4:$B$503,_calc!$E$573))=0,"",INDEX('Our policies'!$B$4:$B$503,_calc!$E$573)))=0,"","Cover: "&amp;IF(LEN(INDEX('Our policies'!$B$4:$B$503,_calc!$E$573))=0,"",INDEX('Our policies'!$B$4:$B$503,_calc!$E$573))&amp;". ")&amp;IF(LEN(IF(LEN(INDEX('Our policies'!$C$4:$C$503,_calc!$E$573))=0,"",INDEX('Our policies'!$C$4:$C$503,_calc!$E$573)))=0,"","Insurer: "&amp;IF(LEN(INDEX('Our policies'!$C$4:$C$503,_calc!$E$573))=0,"",INDEX('Our policies'!$C$4:$C$503,_calc!$E$573))&amp;". ")&amp;IF(LEN(IF(LEN(INDEX('Our policies'!$D$4:$D$503,_calc!$E$573))=0,"",INDEX('Our policies'!$D$4:$D$503,_calc!$E$573)))=0,"","Broker: "&amp;IF(LEN(INDEX('Our policies'!$D$4:$D$503,_calc!$E$573))=0,"",INDEX('Our policies'!$D$4:$D$503,_calc!$E$573))&amp;". ")&amp;IF(LEN(IF(LEN(INDEX('Our policies'!$E$4:$E$503,_calc!$E$573))=0,"",INDEX('Our policies'!$E$4:$E$503,_calc!$E$573)))=0,"","Policy no.: "&amp;IF(LEN(INDEX('Our policies'!$E$4:$E$503,_calc!$E$573))=0,"",INDEX('Our policies'!$E$4:$E$503,_calc!$E$573))&amp;". ")&amp;IF(LEN(IF(LEN(INDEX('Our policies'!$S$4:$S$503,_calc!$E$573))=0,"",INDEX('Our policies'!$S$4:$S$503,_calc!$E$573)))=0,"",IF(LEN(INDEX('Our policies'!$S$4:$S$503,_calc!$E$573))=0,"",INDEX('Our policies'!$S$4:$S$503,_calc!$E$573)))),TRIM(IF(LEN(IF(LEN(INDEX('Vendor COIs'!$C$4:$C$503,(_calc!$E$573-500)))=0,"",INDEX('Vendor COIs'!$C$4:$C$503,(_calc!$E$573-500))))=0,"","Insurer: "&amp;IF(LEN(INDEX('Vendor COIs'!$C$4:$C$503,(_calc!$E$573-500)))=0,"",INDEX('Vendor COIs'!$C$4:$C$503,(_calc!$E$573-500)))&amp;". ")&amp;IF(LEN(IF(LEN(INDEX('Vendor COIs'!$D$4:$D$503,(_calc!$E$573-500)))=0,"",INDEX('Vendor COIs'!$D$4:$D$503,(_calc!$E$573-500))))=0,"","Policy no.: "&amp;IF(LEN(INDEX('Vendor COIs'!$D$4:$D$503,(_calc!$E$573-500)))=0,"",INDEX('Vendor COIs'!$D$4:$D$503,(_calc!$E$573-500)))&amp;". ")&amp;IF(LEN(IF(LEN(INDEX('Vendor COIs'!$F$4:$F$503,(_calc!$E$573-500)))=0,"",INDEX('Vendor COIs'!$F$4:$F$503,(_calc!$E$573-500))))=0,"","Meets minimum: "&amp;IF(LEN(INDEX('Vendor COIs'!$F$4:$F$503,(_calc!$E$573-500)))=0,"",INDEX('Vendor COIs'!$F$4:$F$503,(_calc!$E$573-500)))&amp;". ")&amp;IF(LEN(IF(LEN(INDEX('Vendor COIs'!$G$4:$G$503,(_calc!$E$573-500)))=0,"",INDEX('Vendor COIs'!$G$4:$G$503,(_calc!$E$573-500))))=0,"","Additional insured: "&amp;IF(LEN(INDEX('Vendor COIs'!$G$4:$G$503,(_calc!$E$573-500)))=0,"",INDEX('Vendor COIs'!$G$4:$G$503,(_calc!$E$573-500)))&amp;". ")&amp;IF(LEN(IF(LEN(INDEX('Vendor COIs'!$M$4:$M$503,(_calc!$E$573-500)))=0,"",INDEX('Vendor COIs'!$M$4:$M$503,(_calc!$E$573-500))))=0,"","Vendor contact: "&amp;IF(LEN(INDEX('Vendor COIs'!$M$4:$M$503,(_calc!$E$573-500)))=0,"",INDEX('Vendor COIs'!$M$4:$M$503,(_calc!$E$573-500)))&amp;". ")&amp;IF(LEN(IF(LEN(INDEX('Vendor COIs'!$P$4:$P$503,(_calc!$E$573-500)))=0,"",INDEX('Vendor COIs'!$P$4:$P$503,(_calc!$E$573-500))))=0,"",IF(LEN(INDEX('Vendor COIs'!$P$4:$P$503,(_calc!$E$573-500)))=0,"",INDEX('Vendor COIs'!$P$4:$P$503,(_calc!$E$573-500)))))))</f>
        <v/>
      </c>
      <c r="G571" s="46">
        <f>IF(_calc!$E$573="","",IF(_calc!$E$573&lt;=500,IF(LEN(INDEX('Our policies'!$R$4:$R$503,_calc!$E$573))=0,"",INDEX('Our policies'!$R$4:$R$503,_calc!$E$573)),IF(LEN(INDEX('Vendor COIs'!$O$4:$O$503,(_calc!$E$573-500)))=0,"",INDEX('Vendor COIs'!$O$4:$O$503,(_calc!$E$573-500)))))</f>
        <v/>
      </c>
      <c r="H571" s="46">
        <f>IF(_calc!$E$573="","",IF(_calc!$E$573&lt;=500,IF(LEN(INDEX('Our policies'!$G$4:$G$503,_calc!$E$573))=0,"",INDEX('Our policies'!$G$4:$G$503,_calc!$E$573)),""))</f>
        <v/>
      </c>
      <c r="I571" s="46">
        <f>IF(_calc!$E$573="","",IF(_calc!$E$573&lt;=500,IF(LEN(INDEX('Our policies'!$H$4:$H$503,_calc!$E$573))=0,"",INDEX('Our policies'!$H$4:$H$503,_calc!$E$573)),""))</f>
        <v/>
      </c>
      <c r="K571" s="46">
        <f>IF(_calc!$E$573="","",IF(_calc!$E$573&lt;=500,IF(LEN(INDEX('Our policies'!$P$4:$P$503,_calc!$E$573))=0,"",INDEX('Our policies'!$P$4:$P$503,_calc!$E$573)),IF(LEN(INDEX('Vendor COIs'!$N$4:$N$503,(_calc!$E$573-500)))=0,"",INDEX('Vendor COIs'!$N$4:$N$503,(_calc!$E$573-500)))))</f>
        <v/>
      </c>
    </row>
    <row r="572">
      <c r="A572" s="46">
        <f>IF(_calc!$E$574="","",IF(_calc!$E$574&lt;=500,IF(LEN(INDEX('Our policies'!$A$4:$A$503,_calc!$E$574))=0,"",INDEX('Our policies'!$A$4:$A$503,_calc!$E$574)),"COI – "&amp;IF(LEN(INDEX('Vendor COIs'!$A$4:$A$503,(_calc!$E$574-500)))=0,"",INDEX('Vendor COIs'!$A$4:$A$503,(_calc!$E$574-500)))&amp;" – "&amp;IF(LEN(INDEX('Vendor COIs'!$B$4:$B$503,(_calc!$E$574-500)))=0,"",INDEX('Vendor COIs'!$B$4:$B$503,(_calc!$E$574-500)))))</f>
        <v/>
      </c>
      <c r="B572" s="46">
        <f>IF(_calc!$E$574="","",IF(_calc!$E$574&lt;=500,IF(ISNUMBER(INDEX('Our policies'!$J$4:$J$503,_calc!$E$574)),TEXT(INDEX('Our policies'!$J$4:$J$503,_calc!$E$574),"yyyy-mm-dd"),""),IF(ISNUMBER(INDEX('Vendor COIs'!$H$4:$H$503,(_calc!$E$574-500))),TEXT(INDEX('Vendor COIs'!$H$4:$H$503,(_calc!$E$574-500)),"yyyy-mm-dd"),"")))</f>
        <v/>
      </c>
      <c r="C572" s="46">
        <f>IF(_calc!$E$574="","",IF(_calc!$E$574&lt;=500,"Insurance","Certificate of insurance"))</f>
        <v/>
      </c>
      <c r="D572" s="46">
        <f>IF(_calc!$E$574="","",IF(_calc!$E$574&lt;=500,IF(ISNUMBER(INDEX('Our policies'!$I$4:$I$503,_calc!$E$574)),TEXT(INDEX('Our policies'!$I$4:$I$503,_calc!$E$574),"yyyy-mm-dd"),""),""))</f>
        <v/>
      </c>
      <c r="E572" s="46">
        <f>IF(_calc!$E$574="","",IF(_calc!$E$574&lt;=500,IF(LEN(INDEX('Our policies'!$Q$4:$Q$503,_calc!$E$574))=0,"",INDEX('Our policies'!$Q$4:$Q$503,_calc!$E$574)),"Medium"))</f>
        <v/>
      </c>
      <c r="F572" s="46">
        <f>IF(_calc!$E$574="","",IF(_calc!$E$574&lt;=500,TRIM(IF(LEN(IF(LEN(INDEX('Our policies'!$B$4:$B$503,_calc!$E$574))=0,"",INDEX('Our policies'!$B$4:$B$503,_calc!$E$574)))=0,"","Cover: "&amp;IF(LEN(INDEX('Our policies'!$B$4:$B$503,_calc!$E$574))=0,"",INDEX('Our policies'!$B$4:$B$503,_calc!$E$574))&amp;". ")&amp;IF(LEN(IF(LEN(INDEX('Our policies'!$C$4:$C$503,_calc!$E$574))=0,"",INDEX('Our policies'!$C$4:$C$503,_calc!$E$574)))=0,"","Insurer: "&amp;IF(LEN(INDEX('Our policies'!$C$4:$C$503,_calc!$E$574))=0,"",INDEX('Our policies'!$C$4:$C$503,_calc!$E$574))&amp;". ")&amp;IF(LEN(IF(LEN(INDEX('Our policies'!$D$4:$D$503,_calc!$E$574))=0,"",INDEX('Our policies'!$D$4:$D$503,_calc!$E$574)))=0,"","Broker: "&amp;IF(LEN(INDEX('Our policies'!$D$4:$D$503,_calc!$E$574))=0,"",INDEX('Our policies'!$D$4:$D$503,_calc!$E$574))&amp;". ")&amp;IF(LEN(IF(LEN(INDEX('Our policies'!$E$4:$E$503,_calc!$E$574))=0,"",INDEX('Our policies'!$E$4:$E$503,_calc!$E$574)))=0,"","Policy no.: "&amp;IF(LEN(INDEX('Our policies'!$E$4:$E$503,_calc!$E$574))=0,"",INDEX('Our policies'!$E$4:$E$503,_calc!$E$574))&amp;". ")&amp;IF(LEN(IF(LEN(INDEX('Our policies'!$S$4:$S$503,_calc!$E$574))=0,"",INDEX('Our policies'!$S$4:$S$503,_calc!$E$574)))=0,"",IF(LEN(INDEX('Our policies'!$S$4:$S$503,_calc!$E$574))=0,"",INDEX('Our policies'!$S$4:$S$503,_calc!$E$574)))),TRIM(IF(LEN(IF(LEN(INDEX('Vendor COIs'!$C$4:$C$503,(_calc!$E$574-500)))=0,"",INDEX('Vendor COIs'!$C$4:$C$503,(_calc!$E$574-500))))=0,"","Insurer: "&amp;IF(LEN(INDEX('Vendor COIs'!$C$4:$C$503,(_calc!$E$574-500)))=0,"",INDEX('Vendor COIs'!$C$4:$C$503,(_calc!$E$574-500)))&amp;". ")&amp;IF(LEN(IF(LEN(INDEX('Vendor COIs'!$D$4:$D$503,(_calc!$E$574-500)))=0,"",INDEX('Vendor COIs'!$D$4:$D$503,(_calc!$E$574-500))))=0,"","Policy no.: "&amp;IF(LEN(INDEX('Vendor COIs'!$D$4:$D$503,(_calc!$E$574-500)))=0,"",INDEX('Vendor COIs'!$D$4:$D$503,(_calc!$E$574-500)))&amp;". ")&amp;IF(LEN(IF(LEN(INDEX('Vendor COIs'!$F$4:$F$503,(_calc!$E$574-500)))=0,"",INDEX('Vendor COIs'!$F$4:$F$503,(_calc!$E$574-500))))=0,"","Meets minimum: "&amp;IF(LEN(INDEX('Vendor COIs'!$F$4:$F$503,(_calc!$E$574-500)))=0,"",INDEX('Vendor COIs'!$F$4:$F$503,(_calc!$E$574-500)))&amp;". ")&amp;IF(LEN(IF(LEN(INDEX('Vendor COIs'!$G$4:$G$503,(_calc!$E$574-500)))=0,"",INDEX('Vendor COIs'!$G$4:$G$503,(_calc!$E$574-500))))=0,"","Additional insured: "&amp;IF(LEN(INDEX('Vendor COIs'!$G$4:$G$503,(_calc!$E$574-500)))=0,"",INDEX('Vendor COIs'!$G$4:$G$503,(_calc!$E$574-500)))&amp;". ")&amp;IF(LEN(IF(LEN(INDEX('Vendor COIs'!$M$4:$M$503,(_calc!$E$574-500)))=0,"",INDEX('Vendor COIs'!$M$4:$M$503,(_calc!$E$574-500))))=0,"","Vendor contact: "&amp;IF(LEN(INDEX('Vendor COIs'!$M$4:$M$503,(_calc!$E$574-500)))=0,"",INDEX('Vendor COIs'!$M$4:$M$503,(_calc!$E$574-500)))&amp;". ")&amp;IF(LEN(IF(LEN(INDEX('Vendor COIs'!$P$4:$P$503,(_calc!$E$574-500)))=0,"",INDEX('Vendor COIs'!$P$4:$P$503,(_calc!$E$574-500))))=0,"",IF(LEN(INDEX('Vendor COIs'!$P$4:$P$503,(_calc!$E$574-500)))=0,"",INDEX('Vendor COIs'!$P$4:$P$503,(_calc!$E$574-500)))))))</f>
        <v/>
      </c>
      <c r="G572" s="46">
        <f>IF(_calc!$E$574="","",IF(_calc!$E$574&lt;=500,IF(LEN(INDEX('Our policies'!$R$4:$R$503,_calc!$E$574))=0,"",INDEX('Our policies'!$R$4:$R$503,_calc!$E$574)),IF(LEN(INDEX('Vendor COIs'!$O$4:$O$503,(_calc!$E$574-500)))=0,"",INDEX('Vendor COIs'!$O$4:$O$503,(_calc!$E$574-500)))))</f>
        <v/>
      </c>
      <c r="H572" s="46">
        <f>IF(_calc!$E$574="","",IF(_calc!$E$574&lt;=500,IF(LEN(INDEX('Our policies'!$G$4:$G$503,_calc!$E$574))=0,"",INDEX('Our policies'!$G$4:$G$503,_calc!$E$574)),""))</f>
        <v/>
      </c>
      <c r="I572" s="46">
        <f>IF(_calc!$E$574="","",IF(_calc!$E$574&lt;=500,IF(LEN(INDEX('Our policies'!$H$4:$H$503,_calc!$E$574))=0,"",INDEX('Our policies'!$H$4:$H$503,_calc!$E$574)),""))</f>
        <v/>
      </c>
      <c r="K572" s="46">
        <f>IF(_calc!$E$574="","",IF(_calc!$E$574&lt;=500,IF(LEN(INDEX('Our policies'!$P$4:$P$503,_calc!$E$574))=0,"",INDEX('Our policies'!$P$4:$P$503,_calc!$E$574)),IF(LEN(INDEX('Vendor COIs'!$N$4:$N$503,(_calc!$E$574-500)))=0,"",INDEX('Vendor COIs'!$N$4:$N$503,(_calc!$E$574-500)))))</f>
        <v/>
      </c>
    </row>
    <row r="573">
      <c r="A573" s="46">
        <f>IF(_calc!$E$575="","",IF(_calc!$E$575&lt;=500,IF(LEN(INDEX('Our policies'!$A$4:$A$503,_calc!$E$575))=0,"",INDEX('Our policies'!$A$4:$A$503,_calc!$E$575)),"COI – "&amp;IF(LEN(INDEX('Vendor COIs'!$A$4:$A$503,(_calc!$E$575-500)))=0,"",INDEX('Vendor COIs'!$A$4:$A$503,(_calc!$E$575-500)))&amp;" – "&amp;IF(LEN(INDEX('Vendor COIs'!$B$4:$B$503,(_calc!$E$575-500)))=0,"",INDEX('Vendor COIs'!$B$4:$B$503,(_calc!$E$575-500)))))</f>
        <v/>
      </c>
      <c r="B573" s="46">
        <f>IF(_calc!$E$575="","",IF(_calc!$E$575&lt;=500,IF(ISNUMBER(INDEX('Our policies'!$J$4:$J$503,_calc!$E$575)),TEXT(INDEX('Our policies'!$J$4:$J$503,_calc!$E$575),"yyyy-mm-dd"),""),IF(ISNUMBER(INDEX('Vendor COIs'!$H$4:$H$503,(_calc!$E$575-500))),TEXT(INDEX('Vendor COIs'!$H$4:$H$503,(_calc!$E$575-500)),"yyyy-mm-dd"),"")))</f>
        <v/>
      </c>
      <c r="C573" s="46">
        <f>IF(_calc!$E$575="","",IF(_calc!$E$575&lt;=500,"Insurance","Certificate of insurance"))</f>
        <v/>
      </c>
      <c r="D573" s="46">
        <f>IF(_calc!$E$575="","",IF(_calc!$E$575&lt;=500,IF(ISNUMBER(INDEX('Our policies'!$I$4:$I$503,_calc!$E$575)),TEXT(INDEX('Our policies'!$I$4:$I$503,_calc!$E$575),"yyyy-mm-dd"),""),""))</f>
        <v/>
      </c>
      <c r="E573" s="46">
        <f>IF(_calc!$E$575="","",IF(_calc!$E$575&lt;=500,IF(LEN(INDEX('Our policies'!$Q$4:$Q$503,_calc!$E$575))=0,"",INDEX('Our policies'!$Q$4:$Q$503,_calc!$E$575)),"Medium"))</f>
        <v/>
      </c>
      <c r="F573" s="46">
        <f>IF(_calc!$E$575="","",IF(_calc!$E$575&lt;=500,TRIM(IF(LEN(IF(LEN(INDEX('Our policies'!$B$4:$B$503,_calc!$E$575))=0,"",INDEX('Our policies'!$B$4:$B$503,_calc!$E$575)))=0,"","Cover: "&amp;IF(LEN(INDEX('Our policies'!$B$4:$B$503,_calc!$E$575))=0,"",INDEX('Our policies'!$B$4:$B$503,_calc!$E$575))&amp;". ")&amp;IF(LEN(IF(LEN(INDEX('Our policies'!$C$4:$C$503,_calc!$E$575))=0,"",INDEX('Our policies'!$C$4:$C$503,_calc!$E$575)))=0,"","Insurer: "&amp;IF(LEN(INDEX('Our policies'!$C$4:$C$503,_calc!$E$575))=0,"",INDEX('Our policies'!$C$4:$C$503,_calc!$E$575))&amp;". ")&amp;IF(LEN(IF(LEN(INDEX('Our policies'!$D$4:$D$503,_calc!$E$575))=0,"",INDEX('Our policies'!$D$4:$D$503,_calc!$E$575)))=0,"","Broker: "&amp;IF(LEN(INDEX('Our policies'!$D$4:$D$503,_calc!$E$575))=0,"",INDEX('Our policies'!$D$4:$D$503,_calc!$E$575))&amp;". ")&amp;IF(LEN(IF(LEN(INDEX('Our policies'!$E$4:$E$503,_calc!$E$575))=0,"",INDEX('Our policies'!$E$4:$E$503,_calc!$E$575)))=0,"","Policy no.: "&amp;IF(LEN(INDEX('Our policies'!$E$4:$E$503,_calc!$E$575))=0,"",INDEX('Our policies'!$E$4:$E$503,_calc!$E$575))&amp;". ")&amp;IF(LEN(IF(LEN(INDEX('Our policies'!$S$4:$S$503,_calc!$E$575))=0,"",INDEX('Our policies'!$S$4:$S$503,_calc!$E$575)))=0,"",IF(LEN(INDEX('Our policies'!$S$4:$S$503,_calc!$E$575))=0,"",INDEX('Our policies'!$S$4:$S$503,_calc!$E$575)))),TRIM(IF(LEN(IF(LEN(INDEX('Vendor COIs'!$C$4:$C$503,(_calc!$E$575-500)))=0,"",INDEX('Vendor COIs'!$C$4:$C$503,(_calc!$E$575-500))))=0,"","Insurer: "&amp;IF(LEN(INDEX('Vendor COIs'!$C$4:$C$503,(_calc!$E$575-500)))=0,"",INDEX('Vendor COIs'!$C$4:$C$503,(_calc!$E$575-500)))&amp;". ")&amp;IF(LEN(IF(LEN(INDEX('Vendor COIs'!$D$4:$D$503,(_calc!$E$575-500)))=0,"",INDEX('Vendor COIs'!$D$4:$D$503,(_calc!$E$575-500))))=0,"","Policy no.: "&amp;IF(LEN(INDEX('Vendor COIs'!$D$4:$D$503,(_calc!$E$575-500)))=0,"",INDEX('Vendor COIs'!$D$4:$D$503,(_calc!$E$575-500)))&amp;". ")&amp;IF(LEN(IF(LEN(INDEX('Vendor COIs'!$F$4:$F$503,(_calc!$E$575-500)))=0,"",INDEX('Vendor COIs'!$F$4:$F$503,(_calc!$E$575-500))))=0,"","Meets minimum: "&amp;IF(LEN(INDEX('Vendor COIs'!$F$4:$F$503,(_calc!$E$575-500)))=0,"",INDEX('Vendor COIs'!$F$4:$F$503,(_calc!$E$575-500)))&amp;". ")&amp;IF(LEN(IF(LEN(INDEX('Vendor COIs'!$G$4:$G$503,(_calc!$E$575-500)))=0,"",INDEX('Vendor COIs'!$G$4:$G$503,(_calc!$E$575-500))))=0,"","Additional insured: "&amp;IF(LEN(INDEX('Vendor COIs'!$G$4:$G$503,(_calc!$E$575-500)))=0,"",INDEX('Vendor COIs'!$G$4:$G$503,(_calc!$E$575-500)))&amp;". ")&amp;IF(LEN(IF(LEN(INDEX('Vendor COIs'!$M$4:$M$503,(_calc!$E$575-500)))=0,"",INDEX('Vendor COIs'!$M$4:$M$503,(_calc!$E$575-500))))=0,"","Vendor contact: "&amp;IF(LEN(INDEX('Vendor COIs'!$M$4:$M$503,(_calc!$E$575-500)))=0,"",INDEX('Vendor COIs'!$M$4:$M$503,(_calc!$E$575-500)))&amp;". ")&amp;IF(LEN(IF(LEN(INDEX('Vendor COIs'!$P$4:$P$503,(_calc!$E$575-500)))=0,"",INDEX('Vendor COIs'!$P$4:$P$503,(_calc!$E$575-500))))=0,"",IF(LEN(INDEX('Vendor COIs'!$P$4:$P$503,(_calc!$E$575-500)))=0,"",INDEX('Vendor COIs'!$P$4:$P$503,(_calc!$E$575-500)))))))</f>
        <v/>
      </c>
      <c r="G573" s="46">
        <f>IF(_calc!$E$575="","",IF(_calc!$E$575&lt;=500,IF(LEN(INDEX('Our policies'!$R$4:$R$503,_calc!$E$575))=0,"",INDEX('Our policies'!$R$4:$R$503,_calc!$E$575)),IF(LEN(INDEX('Vendor COIs'!$O$4:$O$503,(_calc!$E$575-500)))=0,"",INDEX('Vendor COIs'!$O$4:$O$503,(_calc!$E$575-500)))))</f>
        <v/>
      </c>
      <c r="H573" s="46">
        <f>IF(_calc!$E$575="","",IF(_calc!$E$575&lt;=500,IF(LEN(INDEX('Our policies'!$G$4:$G$503,_calc!$E$575))=0,"",INDEX('Our policies'!$G$4:$G$503,_calc!$E$575)),""))</f>
        <v/>
      </c>
      <c r="I573" s="46">
        <f>IF(_calc!$E$575="","",IF(_calc!$E$575&lt;=500,IF(LEN(INDEX('Our policies'!$H$4:$H$503,_calc!$E$575))=0,"",INDEX('Our policies'!$H$4:$H$503,_calc!$E$575)),""))</f>
        <v/>
      </c>
      <c r="K573" s="46">
        <f>IF(_calc!$E$575="","",IF(_calc!$E$575&lt;=500,IF(LEN(INDEX('Our policies'!$P$4:$P$503,_calc!$E$575))=0,"",INDEX('Our policies'!$P$4:$P$503,_calc!$E$575)),IF(LEN(INDEX('Vendor COIs'!$N$4:$N$503,(_calc!$E$575-500)))=0,"",INDEX('Vendor COIs'!$N$4:$N$503,(_calc!$E$575-500)))))</f>
        <v/>
      </c>
    </row>
    <row r="574">
      <c r="A574" s="46">
        <f>IF(_calc!$E$576="","",IF(_calc!$E$576&lt;=500,IF(LEN(INDEX('Our policies'!$A$4:$A$503,_calc!$E$576))=0,"",INDEX('Our policies'!$A$4:$A$503,_calc!$E$576)),"COI – "&amp;IF(LEN(INDEX('Vendor COIs'!$A$4:$A$503,(_calc!$E$576-500)))=0,"",INDEX('Vendor COIs'!$A$4:$A$503,(_calc!$E$576-500)))&amp;" – "&amp;IF(LEN(INDEX('Vendor COIs'!$B$4:$B$503,(_calc!$E$576-500)))=0,"",INDEX('Vendor COIs'!$B$4:$B$503,(_calc!$E$576-500)))))</f>
        <v/>
      </c>
      <c r="B574" s="46">
        <f>IF(_calc!$E$576="","",IF(_calc!$E$576&lt;=500,IF(ISNUMBER(INDEX('Our policies'!$J$4:$J$503,_calc!$E$576)),TEXT(INDEX('Our policies'!$J$4:$J$503,_calc!$E$576),"yyyy-mm-dd"),""),IF(ISNUMBER(INDEX('Vendor COIs'!$H$4:$H$503,(_calc!$E$576-500))),TEXT(INDEX('Vendor COIs'!$H$4:$H$503,(_calc!$E$576-500)),"yyyy-mm-dd"),"")))</f>
        <v/>
      </c>
      <c r="C574" s="46">
        <f>IF(_calc!$E$576="","",IF(_calc!$E$576&lt;=500,"Insurance","Certificate of insurance"))</f>
        <v/>
      </c>
      <c r="D574" s="46">
        <f>IF(_calc!$E$576="","",IF(_calc!$E$576&lt;=500,IF(ISNUMBER(INDEX('Our policies'!$I$4:$I$503,_calc!$E$576)),TEXT(INDEX('Our policies'!$I$4:$I$503,_calc!$E$576),"yyyy-mm-dd"),""),""))</f>
        <v/>
      </c>
      <c r="E574" s="46">
        <f>IF(_calc!$E$576="","",IF(_calc!$E$576&lt;=500,IF(LEN(INDEX('Our policies'!$Q$4:$Q$503,_calc!$E$576))=0,"",INDEX('Our policies'!$Q$4:$Q$503,_calc!$E$576)),"Medium"))</f>
        <v/>
      </c>
      <c r="F574" s="46">
        <f>IF(_calc!$E$576="","",IF(_calc!$E$576&lt;=500,TRIM(IF(LEN(IF(LEN(INDEX('Our policies'!$B$4:$B$503,_calc!$E$576))=0,"",INDEX('Our policies'!$B$4:$B$503,_calc!$E$576)))=0,"","Cover: "&amp;IF(LEN(INDEX('Our policies'!$B$4:$B$503,_calc!$E$576))=0,"",INDEX('Our policies'!$B$4:$B$503,_calc!$E$576))&amp;". ")&amp;IF(LEN(IF(LEN(INDEX('Our policies'!$C$4:$C$503,_calc!$E$576))=0,"",INDEX('Our policies'!$C$4:$C$503,_calc!$E$576)))=0,"","Insurer: "&amp;IF(LEN(INDEX('Our policies'!$C$4:$C$503,_calc!$E$576))=0,"",INDEX('Our policies'!$C$4:$C$503,_calc!$E$576))&amp;". ")&amp;IF(LEN(IF(LEN(INDEX('Our policies'!$D$4:$D$503,_calc!$E$576))=0,"",INDEX('Our policies'!$D$4:$D$503,_calc!$E$576)))=0,"","Broker: "&amp;IF(LEN(INDEX('Our policies'!$D$4:$D$503,_calc!$E$576))=0,"",INDEX('Our policies'!$D$4:$D$503,_calc!$E$576))&amp;". ")&amp;IF(LEN(IF(LEN(INDEX('Our policies'!$E$4:$E$503,_calc!$E$576))=0,"",INDEX('Our policies'!$E$4:$E$503,_calc!$E$576)))=0,"","Policy no.: "&amp;IF(LEN(INDEX('Our policies'!$E$4:$E$503,_calc!$E$576))=0,"",INDEX('Our policies'!$E$4:$E$503,_calc!$E$576))&amp;". ")&amp;IF(LEN(IF(LEN(INDEX('Our policies'!$S$4:$S$503,_calc!$E$576))=0,"",INDEX('Our policies'!$S$4:$S$503,_calc!$E$576)))=0,"",IF(LEN(INDEX('Our policies'!$S$4:$S$503,_calc!$E$576))=0,"",INDEX('Our policies'!$S$4:$S$503,_calc!$E$576)))),TRIM(IF(LEN(IF(LEN(INDEX('Vendor COIs'!$C$4:$C$503,(_calc!$E$576-500)))=0,"",INDEX('Vendor COIs'!$C$4:$C$503,(_calc!$E$576-500))))=0,"","Insurer: "&amp;IF(LEN(INDEX('Vendor COIs'!$C$4:$C$503,(_calc!$E$576-500)))=0,"",INDEX('Vendor COIs'!$C$4:$C$503,(_calc!$E$576-500)))&amp;". ")&amp;IF(LEN(IF(LEN(INDEX('Vendor COIs'!$D$4:$D$503,(_calc!$E$576-500)))=0,"",INDEX('Vendor COIs'!$D$4:$D$503,(_calc!$E$576-500))))=0,"","Policy no.: "&amp;IF(LEN(INDEX('Vendor COIs'!$D$4:$D$503,(_calc!$E$576-500)))=0,"",INDEX('Vendor COIs'!$D$4:$D$503,(_calc!$E$576-500)))&amp;". ")&amp;IF(LEN(IF(LEN(INDEX('Vendor COIs'!$F$4:$F$503,(_calc!$E$576-500)))=0,"",INDEX('Vendor COIs'!$F$4:$F$503,(_calc!$E$576-500))))=0,"","Meets minimum: "&amp;IF(LEN(INDEX('Vendor COIs'!$F$4:$F$503,(_calc!$E$576-500)))=0,"",INDEX('Vendor COIs'!$F$4:$F$503,(_calc!$E$576-500)))&amp;". ")&amp;IF(LEN(IF(LEN(INDEX('Vendor COIs'!$G$4:$G$503,(_calc!$E$576-500)))=0,"",INDEX('Vendor COIs'!$G$4:$G$503,(_calc!$E$576-500))))=0,"","Additional insured: "&amp;IF(LEN(INDEX('Vendor COIs'!$G$4:$G$503,(_calc!$E$576-500)))=0,"",INDEX('Vendor COIs'!$G$4:$G$503,(_calc!$E$576-500)))&amp;". ")&amp;IF(LEN(IF(LEN(INDEX('Vendor COIs'!$M$4:$M$503,(_calc!$E$576-500)))=0,"",INDEX('Vendor COIs'!$M$4:$M$503,(_calc!$E$576-500))))=0,"","Vendor contact: "&amp;IF(LEN(INDEX('Vendor COIs'!$M$4:$M$503,(_calc!$E$576-500)))=0,"",INDEX('Vendor COIs'!$M$4:$M$503,(_calc!$E$576-500)))&amp;". ")&amp;IF(LEN(IF(LEN(INDEX('Vendor COIs'!$P$4:$P$503,(_calc!$E$576-500)))=0,"",INDEX('Vendor COIs'!$P$4:$P$503,(_calc!$E$576-500))))=0,"",IF(LEN(INDEX('Vendor COIs'!$P$4:$P$503,(_calc!$E$576-500)))=0,"",INDEX('Vendor COIs'!$P$4:$P$503,(_calc!$E$576-500)))))))</f>
        <v/>
      </c>
      <c r="G574" s="46">
        <f>IF(_calc!$E$576="","",IF(_calc!$E$576&lt;=500,IF(LEN(INDEX('Our policies'!$R$4:$R$503,_calc!$E$576))=0,"",INDEX('Our policies'!$R$4:$R$503,_calc!$E$576)),IF(LEN(INDEX('Vendor COIs'!$O$4:$O$503,(_calc!$E$576-500)))=0,"",INDEX('Vendor COIs'!$O$4:$O$503,(_calc!$E$576-500)))))</f>
        <v/>
      </c>
      <c r="H574" s="46">
        <f>IF(_calc!$E$576="","",IF(_calc!$E$576&lt;=500,IF(LEN(INDEX('Our policies'!$G$4:$G$503,_calc!$E$576))=0,"",INDEX('Our policies'!$G$4:$G$503,_calc!$E$576)),""))</f>
        <v/>
      </c>
      <c r="I574" s="46">
        <f>IF(_calc!$E$576="","",IF(_calc!$E$576&lt;=500,IF(LEN(INDEX('Our policies'!$H$4:$H$503,_calc!$E$576))=0,"",INDEX('Our policies'!$H$4:$H$503,_calc!$E$576)),""))</f>
        <v/>
      </c>
      <c r="K574" s="46">
        <f>IF(_calc!$E$576="","",IF(_calc!$E$576&lt;=500,IF(LEN(INDEX('Our policies'!$P$4:$P$503,_calc!$E$576))=0,"",INDEX('Our policies'!$P$4:$P$503,_calc!$E$576)),IF(LEN(INDEX('Vendor COIs'!$N$4:$N$503,(_calc!$E$576-500)))=0,"",INDEX('Vendor COIs'!$N$4:$N$503,(_calc!$E$576-500)))))</f>
        <v/>
      </c>
    </row>
    <row r="575">
      <c r="A575" s="46">
        <f>IF(_calc!$E$577="","",IF(_calc!$E$577&lt;=500,IF(LEN(INDEX('Our policies'!$A$4:$A$503,_calc!$E$577))=0,"",INDEX('Our policies'!$A$4:$A$503,_calc!$E$577)),"COI – "&amp;IF(LEN(INDEX('Vendor COIs'!$A$4:$A$503,(_calc!$E$577-500)))=0,"",INDEX('Vendor COIs'!$A$4:$A$503,(_calc!$E$577-500)))&amp;" – "&amp;IF(LEN(INDEX('Vendor COIs'!$B$4:$B$503,(_calc!$E$577-500)))=0,"",INDEX('Vendor COIs'!$B$4:$B$503,(_calc!$E$577-500)))))</f>
        <v/>
      </c>
      <c r="B575" s="46">
        <f>IF(_calc!$E$577="","",IF(_calc!$E$577&lt;=500,IF(ISNUMBER(INDEX('Our policies'!$J$4:$J$503,_calc!$E$577)),TEXT(INDEX('Our policies'!$J$4:$J$503,_calc!$E$577),"yyyy-mm-dd"),""),IF(ISNUMBER(INDEX('Vendor COIs'!$H$4:$H$503,(_calc!$E$577-500))),TEXT(INDEX('Vendor COIs'!$H$4:$H$503,(_calc!$E$577-500)),"yyyy-mm-dd"),"")))</f>
        <v/>
      </c>
      <c r="C575" s="46">
        <f>IF(_calc!$E$577="","",IF(_calc!$E$577&lt;=500,"Insurance","Certificate of insurance"))</f>
        <v/>
      </c>
      <c r="D575" s="46">
        <f>IF(_calc!$E$577="","",IF(_calc!$E$577&lt;=500,IF(ISNUMBER(INDEX('Our policies'!$I$4:$I$503,_calc!$E$577)),TEXT(INDEX('Our policies'!$I$4:$I$503,_calc!$E$577),"yyyy-mm-dd"),""),""))</f>
        <v/>
      </c>
      <c r="E575" s="46">
        <f>IF(_calc!$E$577="","",IF(_calc!$E$577&lt;=500,IF(LEN(INDEX('Our policies'!$Q$4:$Q$503,_calc!$E$577))=0,"",INDEX('Our policies'!$Q$4:$Q$503,_calc!$E$577)),"Medium"))</f>
        <v/>
      </c>
      <c r="F575" s="46">
        <f>IF(_calc!$E$577="","",IF(_calc!$E$577&lt;=500,TRIM(IF(LEN(IF(LEN(INDEX('Our policies'!$B$4:$B$503,_calc!$E$577))=0,"",INDEX('Our policies'!$B$4:$B$503,_calc!$E$577)))=0,"","Cover: "&amp;IF(LEN(INDEX('Our policies'!$B$4:$B$503,_calc!$E$577))=0,"",INDEX('Our policies'!$B$4:$B$503,_calc!$E$577))&amp;". ")&amp;IF(LEN(IF(LEN(INDEX('Our policies'!$C$4:$C$503,_calc!$E$577))=0,"",INDEX('Our policies'!$C$4:$C$503,_calc!$E$577)))=0,"","Insurer: "&amp;IF(LEN(INDEX('Our policies'!$C$4:$C$503,_calc!$E$577))=0,"",INDEX('Our policies'!$C$4:$C$503,_calc!$E$577))&amp;". ")&amp;IF(LEN(IF(LEN(INDEX('Our policies'!$D$4:$D$503,_calc!$E$577))=0,"",INDEX('Our policies'!$D$4:$D$503,_calc!$E$577)))=0,"","Broker: "&amp;IF(LEN(INDEX('Our policies'!$D$4:$D$503,_calc!$E$577))=0,"",INDEX('Our policies'!$D$4:$D$503,_calc!$E$577))&amp;". ")&amp;IF(LEN(IF(LEN(INDEX('Our policies'!$E$4:$E$503,_calc!$E$577))=0,"",INDEX('Our policies'!$E$4:$E$503,_calc!$E$577)))=0,"","Policy no.: "&amp;IF(LEN(INDEX('Our policies'!$E$4:$E$503,_calc!$E$577))=0,"",INDEX('Our policies'!$E$4:$E$503,_calc!$E$577))&amp;". ")&amp;IF(LEN(IF(LEN(INDEX('Our policies'!$S$4:$S$503,_calc!$E$577))=0,"",INDEX('Our policies'!$S$4:$S$503,_calc!$E$577)))=0,"",IF(LEN(INDEX('Our policies'!$S$4:$S$503,_calc!$E$577))=0,"",INDEX('Our policies'!$S$4:$S$503,_calc!$E$577)))),TRIM(IF(LEN(IF(LEN(INDEX('Vendor COIs'!$C$4:$C$503,(_calc!$E$577-500)))=0,"",INDEX('Vendor COIs'!$C$4:$C$503,(_calc!$E$577-500))))=0,"","Insurer: "&amp;IF(LEN(INDEX('Vendor COIs'!$C$4:$C$503,(_calc!$E$577-500)))=0,"",INDEX('Vendor COIs'!$C$4:$C$503,(_calc!$E$577-500)))&amp;". ")&amp;IF(LEN(IF(LEN(INDEX('Vendor COIs'!$D$4:$D$503,(_calc!$E$577-500)))=0,"",INDEX('Vendor COIs'!$D$4:$D$503,(_calc!$E$577-500))))=0,"","Policy no.: "&amp;IF(LEN(INDEX('Vendor COIs'!$D$4:$D$503,(_calc!$E$577-500)))=0,"",INDEX('Vendor COIs'!$D$4:$D$503,(_calc!$E$577-500)))&amp;". ")&amp;IF(LEN(IF(LEN(INDEX('Vendor COIs'!$F$4:$F$503,(_calc!$E$577-500)))=0,"",INDEX('Vendor COIs'!$F$4:$F$503,(_calc!$E$577-500))))=0,"","Meets minimum: "&amp;IF(LEN(INDEX('Vendor COIs'!$F$4:$F$503,(_calc!$E$577-500)))=0,"",INDEX('Vendor COIs'!$F$4:$F$503,(_calc!$E$577-500)))&amp;". ")&amp;IF(LEN(IF(LEN(INDEX('Vendor COIs'!$G$4:$G$503,(_calc!$E$577-500)))=0,"",INDEX('Vendor COIs'!$G$4:$G$503,(_calc!$E$577-500))))=0,"","Additional insured: "&amp;IF(LEN(INDEX('Vendor COIs'!$G$4:$G$503,(_calc!$E$577-500)))=0,"",INDEX('Vendor COIs'!$G$4:$G$503,(_calc!$E$577-500)))&amp;". ")&amp;IF(LEN(IF(LEN(INDEX('Vendor COIs'!$M$4:$M$503,(_calc!$E$577-500)))=0,"",INDEX('Vendor COIs'!$M$4:$M$503,(_calc!$E$577-500))))=0,"","Vendor contact: "&amp;IF(LEN(INDEX('Vendor COIs'!$M$4:$M$503,(_calc!$E$577-500)))=0,"",INDEX('Vendor COIs'!$M$4:$M$503,(_calc!$E$577-500)))&amp;". ")&amp;IF(LEN(IF(LEN(INDEX('Vendor COIs'!$P$4:$P$503,(_calc!$E$577-500)))=0,"",INDEX('Vendor COIs'!$P$4:$P$503,(_calc!$E$577-500))))=0,"",IF(LEN(INDEX('Vendor COIs'!$P$4:$P$503,(_calc!$E$577-500)))=0,"",INDEX('Vendor COIs'!$P$4:$P$503,(_calc!$E$577-500)))))))</f>
        <v/>
      </c>
      <c r="G575" s="46">
        <f>IF(_calc!$E$577="","",IF(_calc!$E$577&lt;=500,IF(LEN(INDEX('Our policies'!$R$4:$R$503,_calc!$E$577))=0,"",INDEX('Our policies'!$R$4:$R$503,_calc!$E$577)),IF(LEN(INDEX('Vendor COIs'!$O$4:$O$503,(_calc!$E$577-500)))=0,"",INDEX('Vendor COIs'!$O$4:$O$503,(_calc!$E$577-500)))))</f>
        <v/>
      </c>
      <c r="H575" s="46">
        <f>IF(_calc!$E$577="","",IF(_calc!$E$577&lt;=500,IF(LEN(INDEX('Our policies'!$G$4:$G$503,_calc!$E$577))=0,"",INDEX('Our policies'!$G$4:$G$503,_calc!$E$577)),""))</f>
        <v/>
      </c>
      <c r="I575" s="46">
        <f>IF(_calc!$E$577="","",IF(_calc!$E$577&lt;=500,IF(LEN(INDEX('Our policies'!$H$4:$H$503,_calc!$E$577))=0,"",INDEX('Our policies'!$H$4:$H$503,_calc!$E$577)),""))</f>
        <v/>
      </c>
      <c r="K575" s="46">
        <f>IF(_calc!$E$577="","",IF(_calc!$E$577&lt;=500,IF(LEN(INDEX('Our policies'!$P$4:$P$503,_calc!$E$577))=0,"",INDEX('Our policies'!$P$4:$P$503,_calc!$E$577)),IF(LEN(INDEX('Vendor COIs'!$N$4:$N$503,(_calc!$E$577-500)))=0,"",INDEX('Vendor COIs'!$N$4:$N$503,(_calc!$E$577-500)))))</f>
        <v/>
      </c>
    </row>
    <row r="576">
      <c r="A576" s="46">
        <f>IF(_calc!$E$578="","",IF(_calc!$E$578&lt;=500,IF(LEN(INDEX('Our policies'!$A$4:$A$503,_calc!$E$578))=0,"",INDEX('Our policies'!$A$4:$A$503,_calc!$E$578)),"COI – "&amp;IF(LEN(INDEX('Vendor COIs'!$A$4:$A$503,(_calc!$E$578-500)))=0,"",INDEX('Vendor COIs'!$A$4:$A$503,(_calc!$E$578-500)))&amp;" – "&amp;IF(LEN(INDEX('Vendor COIs'!$B$4:$B$503,(_calc!$E$578-500)))=0,"",INDEX('Vendor COIs'!$B$4:$B$503,(_calc!$E$578-500)))))</f>
        <v/>
      </c>
      <c r="B576" s="46">
        <f>IF(_calc!$E$578="","",IF(_calc!$E$578&lt;=500,IF(ISNUMBER(INDEX('Our policies'!$J$4:$J$503,_calc!$E$578)),TEXT(INDEX('Our policies'!$J$4:$J$503,_calc!$E$578),"yyyy-mm-dd"),""),IF(ISNUMBER(INDEX('Vendor COIs'!$H$4:$H$503,(_calc!$E$578-500))),TEXT(INDEX('Vendor COIs'!$H$4:$H$503,(_calc!$E$578-500)),"yyyy-mm-dd"),"")))</f>
        <v/>
      </c>
      <c r="C576" s="46">
        <f>IF(_calc!$E$578="","",IF(_calc!$E$578&lt;=500,"Insurance","Certificate of insurance"))</f>
        <v/>
      </c>
      <c r="D576" s="46">
        <f>IF(_calc!$E$578="","",IF(_calc!$E$578&lt;=500,IF(ISNUMBER(INDEX('Our policies'!$I$4:$I$503,_calc!$E$578)),TEXT(INDEX('Our policies'!$I$4:$I$503,_calc!$E$578),"yyyy-mm-dd"),""),""))</f>
        <v/>
      </c>
      <c r="E576" s="46">
        <f>IF(_calc!$E$578="","",IF(_calc!$E$578&lt;=500,IF(LEN(INDEX('Our policies'!$Q$4:$Q$503,_calc!$E$578))=0,"",INDEX('Our policies'!$Q$4:$Q$503,_calc!$E$578)),"Medium"))</f>
        <v/>
      </c>
      <c r="F576" s="46">
        <f>IF(_calc!$E$578="","",IF(_calc!$E$578&lt;=500,TRIM(IF(LEN(IF(LEN(INDEX('Our policies'!$B$4:$B$503,_calc!$E$578))=0,"",INDEX('Our policies'!$B$4:$B$503,_calc!$E$578)))=0,"","Cover: "&amp;IF(LEN(INDEX('Our policies'!$B$4:$B$503,_calc!$E$578))=0,"",INDEX('Our policies'!$B$4:$B$503,_calc!$E$578))&amp;". ")&amp;IF(LEN(IF(LEN(INDEX('Our policies'!$C$4:$C$503,_calc!$E$578))=0,"",INDEX('Our policies'!$C$4:$C$503,_calc!$E$578)))=0,"","Insurer: "&amp;IF(LEN(INDEX('Our policies'!$C$4:$C$503,_calc!$E$578))=0,"",INDEX('Our policies'!$C$4:$C$503,_calc!$E$578))&amp;". ")&amp;IF(LEN(IF(LEN(INDEX('Our policies'!$D$4:$D$503,_calc!$E$578))=0,"",INDEX('Our policies'!$D$4:$D$503,_calc!$E$578)))=0,"","Broker: "&amp;IF(LEN(INDEX('Our policies'!$D$4:$D$503,_calc!$E$578))=0,"",INDEX('Our policies'!$D$4:$D$503,_calc!$E$578))&amp;". ")&amp;IF(LEN(IF(LEN(INDEX('Our policies'!$E$4:$E$503,_calc!$E$578))=0,"",INDEX('Our policies'!$E$4:$E$503,_calc!$E$578)))=0,"","Policy no.: "&amp;IF(LEN(INDEX('Our policies'!$E$4:$E$503,_calc!$E$578))=0,"",INDEX('Our policies'!$E$4:$E$503,_calc!$E$578))&amp;". ")&amp;IF(LEN(IF(LEN(INDEX('Our policies'!$S$4:$S$503,_calc!$E$578))=0,"",INDEX('Our policies'!$S$4:$S$503,_calc!$E$578)))=0,"",IF(LEN(INDEX('Our policies'!$S$4:$S$503,_calc!$E$578))=0,"",INDEX('Our policies'!$S$4:$S$503,_calc!$E$578)))),TRIM(IF(LEN(IF(LEN(INDEX('Vendor COIs'!$C$4:$C$503,(_calc!$E$578-500)))=0,"",INDEX('Vendor COIs'!$C$4:$C$503,(_calc!$E$578-500))))=0,"","Insurer: "&amp;IF(LEN(INDEX('Vendor COIs'!$C$4:$C$503,(_calc!$E$578-500)))=0,"",INDEX('Vendor COIs'!$C$4:$C$503,(_calc!$E$578-500)))&amp;". ")&amp;IF(LEN(IF(LEN(INDEX('Vendor COIs'!$D$4:$D$503,(_calc!$E$578-500)))=0,"",INDEX('Vendor COIs'!$D$4:$D$503,(_calc!$E$578-500))))=0,"","Policy no.: "&amp;IF(LEN(INDEX('Vendor COIs'!$D$4:$D$503,(_calc!$E$578-500)))=0,"",INDEX('Vendor COIs'!$D$4:$D$503,(_calc!$E$578-500)))&amp;". ")&amp;IF(LEN(IF(LEN(INDEX('Vendor COIs'!$F$4:$F$503,(_calc!$E$578-500)))=0,"",INDEX('Vendor COIs'!$F$4:$F$503,(_calc!$E$578-500))))=0,"","Meets minimum: "&amp;IF(LEN(INDEX('Vendor COIs'!$F$4:$F$503,(_calc!$E$578-500)))=0,"",INDEX('Vendor COIs'!$F$4:$F$503,(_calc!$E$578-500)))&amp;". ")&amp;IF(LEN(IF(LEN(INDEX('Vendor COIs'!$G$4:$G$503,(_calc!$E$578-500)))=0,"",INDEX('Vendor COIs'!$G$4:$G$503,(_calc!$E$578-500))))=0,"","Additional insured: "&amp;IF(LEN(INDEX('Vendor COIs'!$G$4:$G$503,(_calc!$E$578-500)))=0,"",INDEX('Vendor COIs'!$G$4:$G$503,(_calc!$E$578-500)))&amp;". ")&amp;IF(LEN(IF(LEN(INDEX('Vendor COIs'!$M$4:$M$503,(_calc!$E$578-500)))=0,"",INDEX('Vendor COIs'!$M$4:$M$503,(_calc!$E$578-500))))=0,"","Vendor contact: "&amp;IF(LEN(INDEX('Vendor COIs'!$M$4:$M$503,(_calc!$E$578-500)))=0,"",INDEX('Vendor COIs'!$M$4:$M$503,(_calc!$E$578-500)))&amp;". ")&amp;IF(LEN(IF(LEN(INDEX('Vendor COIs'!$P$4:$P$503,(_calc!$E$578-500)))=0,"",INDEX('Vendor COIs'!$P$4:$P$503,(_calc!$E$578-500))))=0,"",IF(LEN(INDEX('Vendor COIs'!$P$4:$P$503,(_calc!$E$578-500)))=0,"",INDEX('Vendor COIs'!$P$4:$P$503,(_calc!$E$578-500)))))))</f>
        <v/>
      </c>
      <c r="G576" s="46">
        <f>IF(_calc!$E$578="","",IF(_calc!$E$578&lt;=500,IF(LEN(INDEX('Our policies'!$R$4:$R$503,_calc!$E$578))=0,"",INDEX('Our policies'!$R$4:$R$503,_calc!$E$578)),IF(LEN(INDEX('Vendor COIs'!$O$4:$O$503,(_calc!$E$578-500)))=0,"",INDEX('Vendor COIs'!$O$4:$O$503,(_calc!$E$578-500)))))</f>
        <v/>
      </c>
      <c r="H576" s="46">
        <f>IF(_calc!$E$578="","",IF(_calc!$E$578&lt;=500,IF(LEN(INDEX('Our policies'!$G$4:$G$503,_calc!$E$578))=0,"",INDEX('Our policies'!$G$4:$G$503,_calc!$E$578)),""))</f>
        <v/>
      </c>
      <c r="I576" s="46">
        <f>IF(_calc!$E$578="","",IF(_calc!$E$578&lt;=500,IF(LEN(INDEX('Our policies'!$H$4:$H$503,_calc!$E$578))=0,"",INDEX('Our policies'!$H$4:$H$503,_calc!$E$578)),""))</f>
        <v/>
      </c>
      <c r="K576" s="46">
        <f>IF(_calc!$E$578="","",IF(_calc!$E$578&lt;=500,IF(LEN(INDEX('Our policies'!$P$4:$P$503,_calc!$E$578))=0,"",INDEX('Our policies'!$P$4:$P$503,_calc!$E$578)),IF(LEN(INDEX('Vendor COIs'!$N$4:$N$503,(_calc!$E$578-500)))=0,"",INDEX('Vendor COIs'!$N$4:$N$503,(_calc!$E$578-500)))))</f>
        <v/>
      </c>
    </row>
    <row r="577">
      <c r="A577" s="46">
        <f>IF(_calc!$E$579="","",IF(_calc!$E$579&lt;=500,IF(LEN(INDEX('Our policies'!$A$4:$A$503,_calc!$E$579))=0,"",INDEX('Our policies'!$A$4:$A$503,_calc!$E$579)),"COI – "&amp;IF(LEN(INDEX('Vendor COIs'!$A$4:$A$503,(_calc!$E$579-500)))=0,"",INDEX('Vendor COIs'!$A$4:$A$503,(_calc!$E$579-500)))&amp;" – "&amp;IF(LEN(INDEX('Vendor COIs'!$B$4:$B$503,(_calc!$E$579-500)))=0,"",INDEX('Vendor COIs'!$B$4:$B$503,(_calc!$E$579-500)))))</f>
        <v/>
      </c>
      <c r="B577" s="46">
        <f>IF(_calc!$E$579="","",IF(_calc!$E$579&lt;=500,IF(ISNUMBER(INDEX('Our policies'!$J$4:$J$503,_calc!$E$579)),TEXT(INDEX('Our policies'!$J$4:$J$503,_calc!$E$579),"yyyy-mm-dd"),""),IF(ISNUMBER(INDEX('Vendor COIs'!$H$4:$H$503,(_calc!$E$579-500))),TEXT(INDEX('Vendor COIs'!$H$4:$H$503,(_calc!$E$579-500)),"yyyy-mm-dd"),"")))</f>
        <v/>
      </c>
      <c r="C577" s="46">
        <f>IF(_calc!$E$579="","",IF(_calc!$E$579&lt;=500,"Insurance","Certificate of insurance"))</f>
        <v/>
      </c>
      <c r="D577" s="46">
        <f>IF(_calc!$E$579="","",IF(_calc!$E$579&lt;=500,IF(ISNUMBER(INDEX('Our policies'!$I$4:$I$503,_calc!$E$579)),TEXT(INDEX('Our policies'!$I$4:$I$503,_calc!$E$579),"yyyy-mm-dd"),""),""))</f>
        <v/>
      </c>
      <c r="E577" s="46">
        <f>IF(_calc!$E$579="","",IF(_calc!$E$579&lt;=500,IF(LEN(INDEX('Our policies'!$Q$4:$Q$503,_calc!$E$579))=0,"",INDEX('Our policies'!$Q$4:$Q$503,_calc!$E$579)),"Medium"))</f>
        <v/>
      </c>
      <c r="F577" s="46">
        <f>IF(_calc!$E$579="","",IF(_calc!$E$579&lt;=500,TRIM(IF(LEN(IF(LEN(INDEX('Our policies'!$B$4:$B$503,_calc!$E$579))=0,"",INDEX('Our policies'!$B$4:$B$503,_calc!$E$579)))=0,"","Cover: "&amp;IF(LEN(INDEX('Our policies'!$B$4:$B$503,_calc!$E$579))=0,"",INDEX('Our policies'!$B$4:$B$503,_calc!$E$579))&amp;". ")&amp;IF(LEN(IF(LEN(INDEX('Our policies'!$C$4:$C$503,_calc!$E$579))=0,"",INDEX('Our policies'!$C$4:$C$503,_calc!$E$579)))=0,"","Insurer: "&amp;IF(LEN(INDEX('Our policies'!$C$4:$C$503,_calc!$E$579))=0,"",INDEX('Our policies'!$C$4:$C$503,_calc!$E$579))&amp;". ")&amp;IF(LEN(IF(LEN(INDEX('Our policies'!$D$4:$D$503,_calc!$E$579))=0,"",INDEX('Our policies'!$D$4:$D$503,_calc!$E$579)))=0,"","Broker: "&amp;IF(LEN(INDEX('Our policies'!$D$4:$D$503,_calc!$E$579))=0,"",INDEX('Our policies'!$D$4:$D$503,_calc!$E$579))&amp;". ")&amp;IF(LEN(IF(LEN(INDEX('Our policies'!$E$4:$E$503,_calc!$E$579))=0,"",INDEX('Our policies'!$E$4:$E$503,_calc!$E$579)))=0,"","Policy no.: "&amp;IF(LEN(INDEX('Our policies'!$E$4:$E$503,_calc!$E$579))=0,"",INDEX('Our policies'!$E$4:$E$503,_calc!$E$579))&amp;". ")&amp;IF(LEN(IF(LEN(INDEX('Our policies'!$S$4:$S$503,_calc!$E$579))=0,"",INDEX('Our policies'!$S$4:$S$503,_calc!$E$579)))=0,"",IF(LEN(INDEX('Our policies'!$S$4:$S$503,_calc!$E$579))=0,"",INDEX('Our policies'!$S$4:$S$503,_calc!$E$579)))),TRIM(IF(LEN(IF(LEN(INDEX('Vendor COIs'!$C$4:$C$503,(_calc!$E$579-500)))=0,"",INDEX('Vendor COIs'!$C$4:$C$503,(_calc!$E$579-500))))=0,"","Insurer: "&amp;IF(LEN(INDEX('Vendor COIs'!$C$4:$C$503,(_calc!$E$579-500)))=0,"",INDEX('Vendor COIs'!$C$4:$C$503,(_calc!$E$579-500)))&amp;". ")&amp;IF(LEN(IF(LEN(INDEX('Vendor COIs'!$D$4:$D$503,(_calc!$E$579-500)))=0,"",INDEX('Vendor COIs'!$D$4:$D$503,(_calc!$E$579-500))))=0,"","Policy no.: "&amp;IF(LEN(INDEX('Vendor COIs'!$D$4:$D$503,(_calc!$E$579-500)))=0,"",INDEX('Vendor COIs'!$D$4:$D$503,(_calc!$E$579-500)))&amp;". ")&amp;IF(LEN(IF(LEN(INDEX('Vendor COIs'!$F$4:$F$503,(_calc!$E$579-500)))=0,"",INDEX('Vendor COIs'!$F$4:$F$503,(_calc!$E$579-500))))=0,"","Meets minimum: "&amp;IF(LEN(INDEX('Vendor COIs'!$F$4:$F$503,(_calc!$E$579-500)))=0,"",INDEX('Vendor COIs'!$F$4:$F$503,(_calc!$E$579-500)))&amp;". ")&amp;IF(LEN(IF(LEN(INDEX('Vendor COIs'!$G$4:$G$503,(_calc!$E$579-500)))=0,"",INDEX('Vendor COIs'!$G$4:$G$503,(_calc!$E$579-500))))=0,"","Additional insured: "&amp;IF(LEN(INDEX('Vendor COIs'!$G$4:$G$503,(_calc!$E$579-500)))=0,"",INDEX('Vendor COIs'!$G$4:$G$503,(_calc!$E$579-500)))&amp;". ")&amp;IF(LEN(IF(LEN(INDEX('Vendor COIs'!$M$4:$M$503,(_calc!$E$579-500)))=0,"",INDEX('Vendor COIs'!$M$4:$M$503,(_calc!$E$579-500))))=0,"","Vendor contact: "&amp;IF(LEN(INDEX('Vendor COIs'!$M$4:$M$503,(_calc!$E$579-500)))=0,"",INDEX('Vendor COIs'!$M$4:$M$503,(_calc!$E$579-500)))&amp;". ")&amp;IF(LEN(IF(LEN(INDEX('Vendor COIs'!$P$4:$P$503,(_calc!$E$579-500)))=0,"",INDEX('Vendor COIs'!$P$4:$P$503,(_calc!$E$579-500))))=0,"",IF(LEN(INDEX('Vendor COIs'!$P$4:$P$503,(_calc!$E$579-500)))=0,"",INDEX('Vendor COIs'!$P$4:$P$503,(_calc!$E$579-500)))))))</f>
        <v/>
      </c>
      <c r="G577" s="46">
        <f>IF(_calc!$E$579="","",IF(_calc!$E$579&lt;=500,IF(LEN(INDEX('Our policies'!$R$4:$R$503,_calc!$E$579))=0,"",INDEX('Our policies'!$R$4:$R$503,_calc!$E$579)),IF(LEN(INDEX('Vendor COIs'!$O$4:$O$503,(_calc!$E$579-500)))=0,"",INDEX('Vendor COIs'!$O$4:$O$503,(_calc!$E$579-500)))))</f>
        <v/>
      </c>
      <c r="H577" s="46">
        <f>IF(_calc!$E$579="","",IF(_calc!$E$579&lt;=500,IF(LEN(INDEX('Our policies'!$G$4:$G$503,_calc!$E$579))=0,"",INDEX('Our policies'!$G$4:$G$503,_calc!$E$579)),""))</f>
        <v/>
      </c>
      <c r="I577" s="46">
        <f>IF(_calc!$E$579="","",IF(_calc!$E$579&lt;=500,IF(LEN(INDEX('Our policies'!$H$4:$H$503,_calc!$E$579))=0,"",INDEX('Our policies'!$H$4:$H$503,_calc!$E$579)),""))</f>
        <v/>
      </c>
      <c r="K577" s="46">
        <f>IF(_calc!$E$579="","",IF(_calc!$E$579&lt;=500,IF(LEN(INDEX('Our policies'!$P$4:$P$503,_calc!$E$579))=0,"",INDEX('Our policies'!$P$4:$P$503,_calc!$E$579)),IF(LEN(INDEX('Vendor COIs'!$N$4:$N$503,(_calc!$E$579-500)))=0,"",INDEX('Vendor COIs'!$N$4:$N$503,(_calc!$E$579-500)))))</f>
        <v/>
      </c>
    </row>
    <row r="578">
      <c r="A578" s="46">
        <f>IF(_calc!$E$580="","",IF(_calc!$E$580&lt;=500,IF(LEN(INDEX('Our policies'!$A$4:$A$503,_calc!$E$580))=0,"",INDEX('Our policies'!$A$4:$A$503,_calc!$E$580)),"COI – "&amp;IF(LEN(INDEX('Vendor COIs'!$A$4:$A$503,(_calc!$E$580-500)))=0,"",INDEX('Vendor COIs'!$A$4:$A$503,(_calc!$E$580-500)))&amp;" – "&amp;IF(LEN(INDEX('Vendor COIs'!$B$4:$B$503,(_calc!$E$580-500)))=0,"",INDEX('Vendor COIs'!$B$4:$B$503,(_calc!$E$580-500)))))</f>
        <v/>
      </c>
      <c r="B578" s="46">
        <f>IF(_calc!$E$580="","",IF(_calc!$E$580&lt;=500,IF(ISNUMBER(INDEX('Our policies'!$J$4:$J$503,_calc!$E$580)),TEXT(INDEX('Our policies'!$J$4:$J$503,_calc!$E$580),"yyyy-mm-dd"),""),IF(ISNUMBER(INDEX('Vendor COIs'!$H$4:$H$503,(_calc!$E$580-500))),TEXT(INDEX('Vendor COIs'!$H$4:$H$503,(_calc!$E$580-500)),"yyyy-mm-dd"),"")))</f>
        <v/>
      </c>
      <c r="C578" s="46">
        <f>IF(_calc!$E$580="","",IF(_calc!$E$580&lt;=500,"Insurance","Certificate of insurance"))</f>
        <v/>
      </c>
      <c r="D578" s="46">
        <f>IF(_calc!$E$580="","",IF(_calc!$E$580&lt;=500,IF(ISNUMBER(INDEX('Our policies'!$I$4:$I$503,_calc!$E$580)),TEXT(INDEX('Our policies'!$I$4:$I$503,_calc!$E$580),"yyyy-mm-dd"),""),""))</f>
        <v/>
      </c>
      <c r="E578" s="46">
        <f>IF(_calc!$E$580="","",IF(_calc!$E$580&lt;=500,IF(LEN(INDEX('Our policies'!$Q$4:$Q$503,_calc!$E$580))=0,"",INDEX('Our policies'!$Q$4:$Q$503,_calc!$E$580)),"Medium"))</f>
        <v/>
      </c>
      <c r="F578" s="46">
        <f>IF(_calc!$E$580="","",IF(_calc!$E$580&lt;=500,TRIM(IF(LEN(IF(LEN(INDEX('Our policies'!$B$4:$B$503,_calc!$E$580))=0,"",INDEX('Our policies'!$B$4:$B$503,_calc!$E$580)))=0,"","Cover: "&amp;IF(LEN(INDEX('Our policies'!$B$4:$B$503,_calc!$E$580))=0,"",INDEX('Our policies'!$B$4:$B$503,_calc!$E$580))&amp;". ")&amp;IF(LEN(IF(LEN(INDEX('Our policies'!$C$4:$C$503,_calc!$E$580))=0,"",INDEX('Our policies'!$C$4:$C$503,_calc!$E$580)))=0,"","Insurer: "&amp;IF(LEN(INDEX('Our policies'!$C$4:$C$503,_calc!$E$580))=0,"",INDEX('Our policies'!$C$4:$C$503,_calc!$E$580))&amp;". ")&amp;IF(LEN(IF(LEN(INDEX('Our policies'!$D$4:$D$503,_calc!$E$580))=0,"",INDEX('Our policies'!$D$4:$D$503,_calc!$E$580)))=0,"","Broker: "&amp;IF(LEN(INDEX('Our policies'!$D$4:$D$503,_calc!$E$580))=0,"",INDEX('Our policies'!$D$4:$D$503,_calc!$E$580))&amp;". ")&amp;IF(LEN(IF(LEN(INDEX('Our policies'!$E$4:$E$503,_calc!$E$580))=0,"",INDEX('Our policies'!$E$4:$E$503,_calc!$E$580)))=0,"","Policy no.: "&amp;IF(LEN(INDEX('Our policies'!$E$4:$E$503,_calc!$E$580))=0,"",INDEX('Our policies'!$E$4:$E$503,_calc!$E$580))&amp;". ")&amp;IF(LEN(IF(LEN(INDEX('Our policies'!$S$4:$S$503,_calc!$E$580))=0,"",INDEX('Our policies'!$S$4:$S$503,_calc!$E$580)))=0,"",IF(LEN(INDEX('Our policies'!$S$4:$S$503,_calc!$E$580))=0,"",INDEX('Our policies'!$S$4:$S$503,_calc!$E$580)))),TRIM(IF(LEN(IF(LEN(INDEX('Vendor COIs'!$C$4:$C$503,(_calc!$E$580-500)))=0,"",INDEX('Vendor COIs'!$C$4:$C$503,(_calc!$E$580-500))))=0,"","Insurer: "&amp;IF(LEN(INDEX('Vendor COIs'!$C$4:$C$503,(_calc!$E$580-500)))=0,"",INDEX('Vendor COIs'!$C$4:$C$503,(_calc!$E$580-500)))&amp;". ")&amp;IF(LEN(IF(LEN(INDEX('Vendor COIs'!$D$4:$D$503,(_calc!$E$580-500)))=0,"",INDEX('Vendor COIs'!$D$4:$D$503,(_calc!$E$580-500))))=0,"","Policy no.: "&amp;IF(LEN(INDEX('Vendor COIs'!$D$4:$D$503,(_calc!$E$580-500)))=0,"",INDEX('Vendor COIs'!$D$4:$D$503,(_calc!$E$580-500)))&amp;". ")&amp;IF(LEN(IF(LEN(INDEX('Vendor COIs'!$F$4:$F$503,(_calc!$E$580-500)))=0,"",INDEX('Vendor COIs'!$F$4:$F$503,(_calc!$E$580-500))))=0,"","Meets minimum: "&amp;IF(LEN(INDEX('Vendor COIs'!$F$4:$F$503,(_calc!$E$580-500)))=0,"",INDEX('Vendor COIs'!$F$4:$F$503,(_calc!$E$580-500)))&amp;". ")&amp;IF(LEN(IF(LEN(INDEX('Vendor COIs'!$G$4:$G$503,(_calc!$E$580-500)))=0,"",INDEX('Vendor COIs'!$G$4:$G$503,(_calc!$E$580-500))))=0,"","Additional insured: "&amp;IF(LEN(INDEX('Vendor COIs'!$G$4:$G$503,(_calc!$E$580-500)))=0,"",INDEX('Vendor COIs'!$G$4:$G$503,(_calc!$E$580-500)))&amp;". ")&amp;IF(LEN(IF(LEN(INDEX('Vendor COIs'!$M$4:$M$503,(_calc!$E$580-500)))=0,"",INDEX('Vendor COIs'!$M$4:$M$503,(_calc!$E$580-500))))=0,"","Vendor contact: "&amp;IF(LEN(INDEX('Vendor COIs'!$M$4:$M$503,(_calc!$E$580-500)))=0,"",INDEX('Vendor COIs'!$M$4:$M$503,(_calc!$E$580-500)))&amp;". ")&amp;IF(LEN(IF(LEN(INDEX('Vendor COIs'!$P$4:$P$503,(_calc!$E$580-500)))=0,"",INDEX('Vendor COIs'!$P$4:$P$503,(_calc!$E$580-500))))=0,"",IF(LEN(INDEX('Vendor COIs'!$P$4:$P$503,(_calc!$E$580-500)))=0,"",INDEX('Vendor COIs'!$P$4:$P$503,(_calc!$E$580-500)))))))</f>
        <v/>
      </c>
      <c r="G578" s="46">
        <f>IF(_calc!$E$580="","",IF(_calc!$E$580&lt;=500,IF(LEN(INDEX('Our policies'!$R$4:$R$503,_calc!$E$580))=0,"",INDEX('Our policies'!$R$4:$R$503,_calc!$E$580)),IF(LEN(INDEX('Vendor COIs'!$O$4:$O$503,(_calc!$E$580-500)))=0,"",INDEX('Vendor COIs'!$O$4:$O$503,(_calc!$E$580-500)))))</f>
        <v/>
      </c>
      <c r="H578" s="46">
        <f>IF(_calc!$E$580="","",IF(_calc!$E$580&lt;=500,IF(LEN(INDEX('Our policies'!$G$4:$G$503,_calc!$E$580))=0,"",INDEX('Our policies'!$G$4:$G$503,_calc!$E$580)),""))</f>
        <v/>
      </c>
      <c r="I578" s="46">
        <f>IF(_calc!$E$580="","",IF(_calc!$E$580&lt;=500,IF(LEN(INDEX('Our policies'!$H$4:$H$503,_calc!$E$580))=0,"",INDEX('Our policies'!$H$4:$H$503,_calc!$E$580)),""))</f>
        <v/>
      </c>
      <c r="K578" s="46">
        <f>IF(_calc!$E$580="","",IF(_calc!$E$580&lt;=500,IF(LEN(INDEX('Our policies'!$P$4:$P$503,_calc!$E$580))=0,"",INDEX('Our policies'!$P$4:$P$503,_calc!$E$580)),IF(LEN(INDEX('Vendor COIs'!$N$4:$N$503,(_calc!$E$580-500)))=0,"",INDEX('Vendor COIs'!$N$4:$N$503,(_calc!$E$580-500)))))</f>
        <v/>
      </c>
    </row>
    <row r="579">
      <c r="A579" s="46">
        <f>IF(_calc!$E$581="","",IF(_calc!$E$581&lt;=500,IF(LEN(INDEX('Our policies'!$A$4:$A$503,_calc!$E$581))=0,"",INDEX('Our policies'!$A$4:$A$503,_calc!$E$581)),"COI – "&amp;IF(LEN(INDEX('Vendor COIs'!$A$4:$A$503,(_calc!$E$581-500)))=0,"",INDEX('Vendor COIs'!$A$4:$A$503,(_calc!$E$581-500)))&amp;" – "&amp;IF(LEN(INDEX('Vendor COIs'!$B$4:$B$503,(_calc!$E$581-500)))=0,"",INDEX('Vendor COIs'!$B$4:$B$503,(_calc!$E$581-500)))))</f>
        <v/>
      </c>
      <c r="B579" s="46">
        <f>IF(_calc!$E$581="","",IF(_calc!$E$581&lt;=500,IF(ISNUMBER(INDEX('Our policies'!$J$4:$J$503,_calc!$E$581)),TEXT(INDEX('Our policies'!$J$4:$J$503,_calc!$E$581),"yyyy-mm-dd"),""),IF(ISNUMBER(INDEX('Vendor COIs'!$H$4:$H$503,(_calc!$E$581-500))),TEXT(INDEX('Vendor COIs'!$H$4:$H$503,(_calc!$E$581-500)),"yyyy-mm-dd"),"")))</f>
        <v/>
      </c>
      <c r="C579" s="46">
        <f>IF(_calc!$E$581="","",IF(_calc!$E$581&lt;=500,"Insurance","Certificate of insurance"))</f>
        <v/>
      </c>
      <c r="D579" s="46">
        <f>IF(_calc!$E$581="","",IF(_calc!$E$581&lt;=500,IF(ISNUMBER(INDEX('Our policies'!$I$4:$I$503,_calc!$E$581)),TEXT(INDEX('Our policies'!$I$4:$I$503,_calc!$E$581),"yyyy-mm-dd"),""),""))</f>
        <v/>
      </c>
      <c r="E579" s="46">
        <f>IF(_calc!$E$581="","",IF(_calc!$E$581&lt;=500,IF(LEN(INDEX('Our policies'!$Q$4:$Q$503,_calc!$E$581))=0,"",INDEX('Our policies'!$Q$4:$Q$503,_calc!$E$581)),"Medium"))</f>
        <v/>
      </c>
      <c r="F579" s="46">
        <f>IF(_calc!$E$581="","",IF(_calc!$E$581&lt;=500,TRIM(IF(LEN(IF(LEN(INDEX('Our policies'!$B$4:$B$503,_calc!$E$581))=0,"",INDEX('Our policies'!$B$4:$B$503,_calc!$E$581)))=0,"","Cover: "&amp;IF(LEN(INDEX('Our policies'!$B$4:$B$503,_calc!$E$581))=0,"",INDEX('Our policies'!$B$4:$B$503,_calc!$E$581))&amp;". ")&amp;IF(LEN(IF(LEN(INDEX('Our policies'!$C$4:$C$503,_calc!$E$581))=0,"",INDEX('Our policies'!$C$4:$C$503,_calc!$E$581)))=0,"","Insurer: "&amp;IF(LEN(INDEX('Our policies'!$C$4:$C$503,_calc!$E$581))=0,"",INDEX('Our policies'!$C$4:$C$503,_calc!$E$581))&amp;". ")&amp;IF(LEN(IF(LEN(INDEX('Our policies'!$D$4:$D$503,_calc!$E$581))=0,"",INDEX('Our policies'!$D$4:$D$503,_calc!$E$581)))=0,"","Broker: "&amp;IF(LEN(INDEX('Our policies'!$D$4:$D$503,_calc!$E$581))=0,"",INDEX('Our policies'!$D$4:$D$503,_calc!$E$581))&amp;". ")&amp;IF(LEN(IF(LEN(INDEX('Our policies'!$E$4:$E$503,_calc!$E$581))=0,"",INDEX('Our policies'!$E$4:$E$503,_calc!$E$581)))=0,"","Policy no.: "&amp;IF(LEN(INDEX('Our policies'!$E$4:$E$503,_calc!$E$581))=0,"",INDEX('Our policies'!$E$4:$E$503,_calc!$E$581))&amp;". ")&amp;IF(LEN(IF(LEN(INDEX('Our policies'!$S$4:$S$503,_calc!$E$581))=0,"",INDEX('Our policies'!$S$4:$S$503,_calc!$E$581)))=0,"",IF(LEN(INDEX('Our policies'!$S$4:$S$503,_calc!$E$581))=0,"",INDEX('Our policies'!$S$4:$S$503,_calc!$E$581)))),TRIM(IF(LEN(IF(LEN(INDEX('Vendor COIs'!$C$4:$C$503,(_calc!$E$581-500)))=0,"",INDEX('Vendor COIs'!$C$4:$C$503,(_calc!$E$581-500))))=0,"","Insurer: "&amp;IF(LEN(INDEX('Vendor COIs'!$C$4:$C$503,(_calc!$E$581-500)))=0,"",INDEX('Vendor COIs'!$C$4:$C$503,(_calc!$E$581-500)))&amp;". ")&amp;IF(LEN(IF(LEN(INDEX('Vendor COIs'!$D$4:$D$503,(_calc!$E$581-500)))=0,"",INDEX('Vendor COIs'!$D$4:$D$503,(_calc!$E$581-500))))=0,"","Policy no.: "&amp;IF(LEN(INDEX('Vendor COIs'!$D$4:$D$503,(_calc!$E$581-500)))=0,"",INDEX('Vendor COIs'!$D$4:$D$503,(_calc!$E$581-500)))&amp;". ")&amp;IF(LEN(IF(LEN(INDEX('Vendor COIs'!$F$4:$F$503,(_calc!$E$581-500)))=0,"",INDEX('Vendor COIs'!$F$4:$F$503,(_calc!$E$581-500))))=0,"","Meets minimum: "&amp;IF(LEN(INDEX('Vendor COIs'!$F$4:$F$503,(_calc!$E$581-500)))=0,"",INDEX('Vendor COIs'!$F$4:$F$503,(_calc!$E$581-500)))&amp;". ")&amp;IF(LEN(IF(LEN(INDEX('Vendor COIs'!$G$4:$G$503,(_calc!$E$581-500)))=0,"",INDEX('Vendor COIs'!$G$4:$G$503,(_calc!$E$581-500))))=0,"","Additional insured: "&amp;IF(LEN(INDEX('Vendor COIs'!$G$4:$G$503,(_calc!$E$581-500)))=0,"",INDEX('Vendor COIs'!$G$4:$G$503,(_calc!$E$581-500)))&amp;". ")&amp;IF(LEN(IF(LEN(INDEX('Vendor COIs'!$M$4:$M$503,(_calc!$E$581-500)))=0,"",INDEX('Vendor COIs'!$M$4:$M$503,(_calc!$E$581-500))))=0,"","Vendor contact: "&amp;IF(LEN(INDEX('Vendor COIs'!$M$4:$M$503,(_calc!$E$581-500)))=0,"",INDEX('Vendor COIs'!$M$4:$M$503,(_calc!$E$581-500)))&amp;". ")&amp;IF(LEN(IF(LEN(INDEX('Vendor COIs'!$P$4:$P$503,(_calc!$E$581-500)))=0,"",INDEX('Vendor COIs'!$P$4:$P$503,(_calc!$E$581-500))))=0,"",IF(LEN(INDEX('Vendor COIs'!$P$4:$P$503,(_calc!$E$581-500)))=0,"",INDEX('Vendor COIs'!$P$4:$P$503,(_calc!$E$581-500)))))))</f>
        <v/>
      </c>
      <c r="G579" s="46">
        <f>IF(_calc!$E$581="","",IF(_calc!$E$581&lt;=500,IF(LEN(INDEX('Our policies'!$R$4:$R$503,_calc!$E$581))=0,"",INDEX('Our policies'!$R$4:$R$503,_calc!$E$581)),IF(LEN(INDEX('Vendor COIs'!$O$4:$O$503,(_calc!$E$581-500)))=0,"",INDEX('Vendor COIs'!$O$4:$O$503,(_calc!$E$581-500)))))</f>
        <v/>
      </c>
      <c r="H579" s="46">
        <f>IF(_calc!$E$581="","",IF(_calc!$E$581&lt;=500,IF(LEN(INDEX('Our policies'!$G$4:$G$503,_calc!$E$581))=0,"",INDEX('Our policies'!$G$4:$G$503,_calc!$E$581)),""))</f>
        <v/>
      </c>
      <c r="I579" s="46">
        <f>IF(_calc!$E$581="","",IF(_calc!$E$581&lt;=500,IF(LEN(INDEX('Our policies'!$H$4:$H$503,_calc!$E$581))=0,"",INDEX('Our policies'!$H$4:$H$503,_calc!$E$581)),""))</f>
        <v/>
      </c>
      <c r="K579" s="46">
        <f>IF(_calc!$E$581="","",IF(_calc!$E$581&lt;=500,IF(LEN(INDEX('Our policies'!$P$4:$P$503,_calc!$E$581))=0,"",INDEX('Our policies'!$P$4:$P$503,_calc!$E$581)),IF(LEN(INDEX('Vendor COIs'!$N$4:$N$503,(_calc!$E$581-500)))=0,"",INDEX('Vendor COIs'!$N$4:$N$503,(_calc!$E$581-500)))))</f>
        <v/>
      </c>
    </row>
    <row r="580">
      <c r="A580" s="46">
        <f>IF(_calc!$E$582="","",IF(_calc!$E$582&lt;=500,IF(LEN(INDEX('Our policies'!$A$4:$A$503,_calc!$E$582))=0,"",INDEX('Our policies'!$A$4:$A$503,_calc!$E$582)),"COI – "&amp;IF(LEN(INDEX('Vendor COIs'!$A$4:$A$503,(_calc!$E$582-500)))=0,"",INDEX('Vendor COIs'!$A$4:$A$503,(_calc!$E$582-500)))&amp;" – "&amp;IF(LEN(INDEX('Vendor COIs'!$B$4:$B$503,(_calc!$E$582-500)))=0,"",INDEX('Vendor COIs'!$B$4:$B$503,(_calc!$E$582-500)))))</f>
        <v/>
      </c>
      <c r="B580" s="46">
        <f>IF(_calc!$E$582="","",IF(_calc!$E$582&lt;=500,IF(ISNUMBER(INDEX('Our policies'!$J$4:$J$503,_calc!$E$582)),TEXT(INDEX('Our policies'!$J$4:$J$503,_calc!$E$582),"yyyy-mm-dd"),""),IF(ISNUMBER(INDEX('Vendor COIs'!$H$4:$H$503,(_calc!$E$582-500))),TEXT(INDEX('Vendor COIs'!$H$4:$H$503,(_calc!$E$582-500)),"yyyy-mm-dd"),"")))</f>
        <v/>
      </c>
      <c r="C580" s="46">
        <f>IF(_calc!$E$582="","",IF(_calc!$E$582&lt;=500,"Insurance","Certificate of insurance"))</f>
        <v/>
      </c>
      <c r="D580" s="46">
        <f>IF(_calc!$E$582="","",IF(_calc!$E$582&lt;=500,IF(ISNUMBER(INDEX('Our policies'!$I$4:$I$503,_calc!$E$582)),TEXT(INDEX('Our policies'!$I$4:$I$503,_calc!$E$582),"yyyy-mm-dd"),""),""))</f>
        <v/>
      </c>
      <c r="E580" s="46">
        <f>IF(_calc!$E$582="","",IF(_calc!$E$582&lt;=500,IF(LEN(INDEX('Our policies'!$Q$4:$Q$503,_calc!$E$582))=0,"",INDEX('Our policies'!$Q$4:$Q$503,_calc!$E$582)),"Medium"))</f>
        <v/>
      </c>
      <c r="F580" s="46">
        <f>IF(_calc!$E$582="","",IF(_calc!$E$582&lt;=500,TRIM(IF(LEN(IF(LEN(INDEX('Our policies'!$B$4:$B$503,_calc!$E$582))=0,"",INDEX('Our policies'!$B$4:$B$503,_calc!$E$582)))=0,"","Cover: "&amp;IF(LEN(INDEX('Our policies'!$B$4:$B$503,_calc!$E$582))=0,"",INDEX('Our policies'!$B$4:$B$503,_calc!$E$582))&amp;". ")&amp;IF(LEN(IF(LEN(INDEX('Our policies'!$C$4:$C$503,_calc!$E$582))=0,"",INDEX('Our policies'!$C$4:$C$503,_calc!$E$582)))=0,"","Insurer: "&amp;IF(LEN(INDEX('Our policies'!$C$4:$C$503,_calc!$E$582))=0,"",INDEX('Our policies'!$C$4:$C$503,_calc!$E$582))&amp;". ")&amp;IF(LEN(IF(LEN(INDEX('Our policies'!$D$4:$D$503,_calc!$E$582))=0,"",INDEX('Our policies'!$D$4:$D$503,_calc!$E$582)))=0,"","Broker: "&amp;IF(LEN(INDEX('Our policies'!$D$4:$D$503,_calc!$E$582))=0,"",INDEX('Our policies'!$D$4:$D$503,_calc!$E$582))&amp;". ")&amp;IF(LEN(IF(LEN(INDEX('Our policies'!$E$4:$E$503,_calc!$E$582))=0,"",INDEX('Our policies'!$E$4:$E$503,_calc!$E$582)))=0,"","Policy no.: "&amp;IF(LEN(INDEX('Our policies'!$E$4:$E$503,_calc!$E$582))=0,"",INDEX('Our policies'!$E$4:$E$503,_calc!$E$582))&amp;". ")&amp;IF(LEN(IF(LEN(INDEX('Our policies'!$S$4:$S$503,_calc!$E$582))=0,"",INDEX('Our policies'!$S$4:$S$503,_calc!$E$582)))=0,"",IF(LEN(INDEX('Our policies'!$S$4:$S$503,_calc!$E$582))=0,"",INDEX('Our policies'!$S$4:$S$503,_calc!$E$582)))),TRIM(IF(LEN(IF(LEN(INDEX('Vendor COIs'!$C$4:$C$503,(_calc!$E$582-500)))=0,"",INDEX('Vendor COIs'!$C$4:$C$503,(_calc!$E$582-500))))=0,"","Insurer: "&amp;IF(LEN(INDEX('Vendor COIs'!$C$4:$C$503,(_calc!$E$582-500)))=0,"",INDEX('Vendor COIs'!$C$4:$C$503,(_calc!$E$582-500)))&amp;". ")&amp;IF(LEN(IF(LEN(INDEX('Vendor COIs'!$D$4:$D$503,(_calc!$E$582-500)))=0,"",INDEX('Vendor COIs'!$D$4:$D$503,(_calc!$E$582-500))))=0,"","Policy no.: "&amp;IF(LEN(INDEX('Vendor COIs'!$D$4:$D$503,(_calc!$E$582-500)))=0,"",INDEX('Vendor COIs'!$D$4:$D$503,(_calc!$E$582-500)))&amp;". ")&amp;IF(LEN(IF(LEN(INDEX('Vendor COIs'!$F$4:$F$503,(_calc!$E$582-500)))=0,"",INDEX('Vendor COIs'!$F$4:$F$503,(_calc!$E$582-500))))=0,"","Meets minimum: "&amp;IF(LEN(INDEX('Vendor COIs'!$F$4:$F$503,(_calc!$E$582-500)))=0,"",INDEX('Vendor COIs'!$F$4:$F$503,(_calc!$E$582-500)))&amp;". ")&amp;IF(LEN(IF(LEN(INDEX('Vendor COIs'!$G$4:$G$503,(_calc!$E$582-500)))=0,"",INDEX('Vendor COIs'!$G$4:$G$503,(_calc!$E$582-500))))=0,"","Additional insured: "&amp;IF(LEN(INDEX('Vendor COIs'!$G$4:$G$503,(_calc!$E$582-500)))=0,"",INDEX('Vendor COIs'!$G$4:$G$503,(_calc!$E$582-500)))&amp;". ")&amp;IF(LEN(IF(LEN(INDEX('Vendor COIs'!$M$4:$M$503,(_calc!$E$582-500)))=0,"",INDEX('Vendor COIs'!$M$4:$M$503,(_calc!$E$582-500))))=0,"","Vendor contact: "&amp;IF(LEN(INDEX('Vendor COIs'!$M$4:$M$503,(_calc!$E$582-500)))=0,"",INDEX('Vendor COIs'!$M$4:$M$503,(_calc!$E$582-500)))&amp;". ")&amp;IF(LEN(IF(LEN(INDEX('Vendor COIs'!$P$4:$P$503,(_calc!$E$582-500)))=0,"",INDEX('Vendor COIs'!$P$4:$P$503,(_calc!$E$582-500))))=0,"",IF(LEN(INDEX('Vendor COIs'!$P$4:$P$503,(_calc!$E$582-500)))=0,"",INDEX('Vendor COIs'!$P$4:$P$503,(_calc!$E$582-500)))))))</f>
        <v/>
      </c>
      <c r="G580" s="46">
        <f>IF(_calc!$E$582="","",IF(_calc!$E$582&lt;=500,IF(LEN(INDEX('Our policies'!$R$4:$R$503,_calc!$E$582))=0,"",INDEX('Our policies'!$R$4:$R$503,_calc!$E$582)),IF(LEN(INDEX('Vendor COIs'!$O$4:$O$503,(_calc!$E$582-500)))=0,"",INDEX('Vendor COIs'!$O$4:$O$503,(_calc!$E$582-500)))))</f>
        <v/>
      </c>
      <c r="H580" s="46">
        <f>IF(_calc!$E$582="","",IF(_calc!$E$582&lt;=500,IF(LEN(INDEX('Our policies'!$G$4:$G$503,_calc!$E$582))=0,"",INDEX('Our policies'!$G$4:$G$503,_calc!$E$582)),""))</f>
        <v/>
      </c>
      <c r="I580" s="46">
        <f>IF(_calc!$E$582="","",IF(_calc!$E$582&lt;=500,IF(LEN(INDEX('Our policies'!$H$4:$H$503,_calc!$E$582))=0,"",INDEX('Our policies'!$H$4:$H$503,_calc!$E$582)),""))</f>
        <v/>
      </c>
      <c r="K580" s="46">
        <f>IF(_calc!$E$582="","",IF(_calc!$E$582&lt;=500,IF(LEN(INDEX('Our policies'!$P$4:$P$503,_calc!$E$582))=0,"",INDEX('Our policies'!$P$4:$P$503,_calc!$E$582)),IF(LEN(INDEX('Vendor COIs'!$N$4:$N$503,(_calc!$E$582-500)))=0,"",INDEX('Vendor COIs'!$N$4:$N$503,(_calc!$E$582-500)))))</f>
        <v/>
      </c>
    </row>
    <row r="581">
      <c r="A581" s="46">
        <f>IF(_calc!$E$583="","",IF(_calc!$E$583&lt;=500,IF(LEN(INDEX('Our policies'!$A$4:$A$503,_calc!$E$583))=0,"",INDEX('Our policies'!$A$4:$A$503,_calc!$E$583)),"COI – "&amp;IF(LEN(INDEX('Vendor COIs'!$A$4:$A$503,(_calc!$E$583-500)))=0,"",INDEX('Vendor COIs'!$A$4:$A$503,(_calc!$E$583-500)))&amp;" – "&amp;IF(LEN(INDEX('Vendor COIs'!$B$4:$B$503,(_calc!$E$583-500)))=0,"",INDEX('Vendor COIs'!$B$4:$B$503,(_calc!$E$583-500)))))</f>
        <v/>
      </c>
      <c r="B581" s="46">
        <f>IF(_calc!$E$583="","",IF(_calc!$E$583&lt;=500,IF(ISNUMBER(INDEX('Our policies'!$J$4:$J$503,_calc!$E$583)),TEXT(INDEX('Our policies'!$J$4:$J$503,_calc!$E$583),"yyyy-mm-dd"),""),IF(ISNUMBER(INDEX('Vendor COIs'!$H$4:$H$503,(_calc!$E$583-500))),TEXT(INDEX('Vendor COIs'!$H$4:$H$503,(_calc!$E$583-500)),"yyyy-mm-dd"),"")))</f>
        <v/>
      </c>
      <c r="C581" s="46">
        <f>IF(_calc!$E$583="","",IF(_calc!$E$583&lt;=500,"Insurance","Certificate of insurance"))</f>
        <v/>
      </c>
      <c r="D581" s="46">
        <f>IF(_calc!$E$583="","",IF(_calc!$E$583&lt;=500,IF(ISNUMBER(INDEX('Our policies'!$I$4:$I$503,_calc!$E$583)),TEXT(INDEX('Our policies'!$I$4:$I$503,_calc!$E$583),"yyyy-mm-dd"),""),""))</f>
        <v/>
      </c>
      <c r="E581" s="46">
        <f>IF(_calc!$E$583="","",IF(_calc!$E$583&lt;=500,IF(LEN(INDEX('Our policies'!$Q$4:$Q$503,_calc!$E$583))=0,"",INDEX('Our policies'!$Q$4:$Q$503,_calc!$E$583)),"Medium"))</f>
        <v/>
      </c>
      <c r="F581" s="46">
        <f>IF(_calc!$E$583="","",IF(_calc!$E$583&lt;=500,TRIM(IF(LEN(IF(LEN(INDEX('Our policies'!$B$4:$B$503,_calc!$E$583))=0,"",INDEX('Our policies'!$B$4:$B$503,_calc!$E$583)))=0,"","Cover: "&amp;IF(LEN(INDEX('Our policies'!$B$4:$B$503,_calc!$E$583))=0,"",INDEX('Our policies'!$B$4:$B$503,_calc!$E$583))&amp;". ")&amp;IF(LEN(IF(LEN(INDEX('Our policies'!$C$4:$C$503,_calc!$E$583))=0,"",INDEX('Our policies'!$C$4:$C$503,_calc!$E$583)))=0,"","Insurer: "&amp;IF(LEN(INDEX('Our policies'!$C$4:$C$503,_calc!$E$583))=0,"",INDEX('Our policies'!$C$4:$C$503,_calc!$E$583))&amp;". ")&amp;IF(LEN(IF(LEN(INDEX('Our policies'!$D$4:$D$503,_calc!$E$583))=0,"",INDEX('Our policies'!$D$4:$D$503,_calc!$E$583)))=0,"","Broker: "&amp;IF(LEN(INDEX('Our policies'!$D$4:$D$503,_calc!$E$583))=0,"",INDEX('Our policies'!$D$4:$D$503,_calc!$E$583))&amp;". ")&amp;IF(LEN(IF(LEN(INDEX('Our policies'!$E$4:$E$503,_calc!$E$583))=0,"",INDEX('Our policies'!$E$4:$E$503,_calc!$E$583)))=0,"","Policy no.: "&amp;IF(LEN(INDEX('Our policies'!$E$4:$E$503,_calc!$E$583))=0,"",INDEX('Our policies'!$E$4:$E$503,_calc!$E$583))&amp;". ")&amp;IF(LEN(IF(LEN(INDEX('Our policies'!$S$4:$S$503,_calc!$E$583))=0,"",INDEX('Our policies'!$S$4:$S$503,_calc!$E$583)))=0,"",IF(LEN(INDEX('Our policies'!$S$4:$S$503,_calc!$E$583))=0,"",INDEX('Our policies'!$S$4:$S$503,_calc!$E$583)))),TRIM(IF(LEN(IF(LEN(INDEX('Vendor COIs'!$C$4:$C$503,(_calc!$E$583-500)))=0,"",INDEX('Vendor COIs'!$C$4:$C$503,(_calc!$E$583-500))))=0,"","Insurer: "&amp;IF(LEN(INDEX('Vendor COIs'!$C$4:$C$503,(_calc!$E$583-500)))=0,"",INDEX('Vendor COIs'!$C$4:$C$503,(_calc!$E$583-500)))&amp;". ")&amp;IF(LEN(IF(LEN(INDEX('Vendor COIs'!$D$4:$D$503,(_calc!$E$583-500)))=0,"",INDEX('Vendor COIs'!$D$4:$D$503,(_calc!$E$583-500))))=0,"","Policy no.: "&amp;IF(LEN(INDEX('Vendor COIs'!$D$4:$D$503,(_calc!$E$583-500)))=0,"",INDEX('Vendor COIs'!$D$4:$D$503,(_calc!$E$583-500)))&amp;". ")&amp;IF(LEN(IF(LEN(INDEX('Vendor COIs'!$F$4:$F$503,(_calc!$E$583-500)))=0,"",INDEX('Vendor COIs'!$F$4:$F$503,(_calc!$E$583-500))))=0,"","Meets minimum: "&amp;IF(LEN(INDEX('Vendor COIs'!$F$4:$F$503,(_calc!$E$583-500)))=0,"",INDEX('Vendor COIs'!$F$4:$F$503,(_calc!$E$583-500)))&amp;". ")&amp;IF(LEN(IF(LEN(INDEX('Vendor COIs'!$G$4:$G$503,(_calc!$E$583-500)))=0,"",INDEX('Vendor COIs'!$G$4:$G$503,(_calc!$E$583-500))))=0,"","Additional insured: "&amp;IF(LEN(INDEX('Vendor COIs'!$G$4:$G$503,(_calc!$E$583-500)))=0,"",INDEX('Vendor COIs'!$G$4:$G$503,(_calc!$E$583-500)))&amp;". ")&amp;IF(LEN(IF(LEN(INDEX('Vendor COIs'!$M$4:$M$503,(_calc!$E$583-500)))=0,"",INDEX('Vendor COIs'!$M$4:$M$503,(_calc!$E$583-500))))=0,"","Vendor contact: "&amp;IF(LEN(INDEX('Vendor COIs'!$M$4:$M$503,(_calc!$E$583-500)))=0,"",INDEX('Vendor COIs'!$M$4:$M$503,(_calc!$E$583-500)))&amp;". ")&amp;IF(LEN(IF(LEN(INDEX('Vendor COIs'!$P$4:$P$503,(_calc!$E$583-500)))=0,"",INDEX('Vendor COIs'!$P$4:$P$503,(_calc!$E$583-500))))=0,"",IF(LEN(INDEX('Vendor COIs'!$P$4:$P$503,(_calc!$E$583-500)))=0,"",INDEX('Vendor COIs'!$P$4:$P$503,(_calc!$E$583-500)))))))</f>
        <v/>
      </c>
      <c r="G581" s="46">
        <f>IF(_calc!$E$583="","",IF(_calc!$E$583&lt;=500,IF(LEN(INDEX('Our policies'!$R$4:$R$503,_calc!$E$583))=0,"",INDEX('Our policies'!$R$4:$R$503,_calc!$E$583)),IF(LEN(INDEX('Vendor COIs'!$O$4:$O$503,(_calc!$E$583-500)))=0,"",INDEX('Vendor COIs'!$O$4:$O$503,(_calc!$E$583-500)))))</f>
        <v/>
      </c>
      <c r="H581" s="46">
        <f>IF(_calc!$E$583="","",IF(_calc!$E$583&lt;=500,IF(LEN(INDEX('Our policies'!$G$4:$G$503,_calc!$E$583))=0,"",INDEX('Our policies'!$G$4:$G$503,_calc!$E$583)),""))</f>
        <v/>
      </c>
      <c r="I581" s="46">
        <f>IF(_calc!$E$583="","",IF(_calc!$E$583&lt;=500,IF(LEN(INDEX('Our policies'!$H$4:$H$503,_calc!$E$583))=0,"",INDEX('Our policies'!$H$4:$H$503,_calc!$E$583)),""))</f>
        <v/>
      </c>
      <c r="K581" s="46">
        <f>IF(_calc!$E$583="","",IF(_calc!$E$583&lt;=500,IF(LEN(INDEX('Our policies'!$P$4:$P$503,_calc!$E$583))=0,"",INDEX('Our policies'!$P$4:$P$503,_calc!$E$583)),IF(LEN(INDEX('Vendor COIs'!$N$4:$N$503,(_calc!$E$583-500)))=0,"",INDEX('Vendor COIs'!$N$4:$N$503,(_calc!$E$583-500)))))</f>
        <v/>
      </c>
    </row>
    <row r="582">
      <c r="A582" s="46">
        <f>IF(_calc!$E$584="","",IF(_calc!$E$584&lt;=500,IF(LEN(INDEX('Our policies'!$A$4:$A$503,_calc!$E$584))=0,"",INDEX('Our policies'!$A$4:$A$503,_calc!$E$584)),"COI – "&amp;IF(LEN(INDEX('Vendor COIs'!$A$4:$A$503,(_calc!$E$584-500)))=0,"",INDEX('Vendor COIs'!$A$4:$A$503,(_calc!$E$584-500)))&amp;" – "&amp;IF(LEN(INDEX('Vendor COIs'!$B$4:$B$503,(_calc!$E$584-500)))=0,"",INDEX('Vendor COIs'!$B$4:$B$503,(_calc!$E$584-500)))))</f>
        <v/>
      </c>
      <c r="B582" s="46">
        <f>IF(_calc!$E$584="","",IF(_calc!$E$584&lt;=500,IF(ISNUMBER(INDEX('Our policies'!$J$4:$J$503,_calc!$E$584)),TEXT(INDEX('Our policies'!$J$4:$J$503,_calc!$E$584),"yyyy-mm-dd"),""),IF(ISNUMBER(INDEX('Vendor COIs'!$H$4:$H$503,(_calc!$E$584-500))),TEXT(INDEX('Vendor COIs'!$H$4:$H$503,(_calc!$E$584-500)),"yyyy-mm-dd"),"")))</f>
        <v/>
      </c>
      <c r="C582" s="46">
        <f>IF(_calc!$E$584="","",IF(_calc!$E$584&lt;=500,"Insurance","Certificate of insurance"))</f>
        <v/>
      </c>
      <c r="D582" s="46">
        <f>IF(_calc!$E$584="","",IF(_calc!$E$584&lt;=500,IF(ISNUMBER(INDEX('Our policies'!$I$4:$I$503,_calc!$E$584)),TEXT(INDEX('Our policies'!$I$4:$I$503,_calc!$E$584),"yyyy-mm-dd"),""),""))</f>
        <v/>
      </c>
      <c r="E582" s="46">
        <f>IF(_calc!$E$584="","",IF(_calc!$E$584&lt;=500,IF(LEN(INDEX('Our policies'!$Q$4:$Q$503,_calc!$E$584))=0,"",INDEX('Our policies'!$Q$4:$Q$503,_calc!$E$584)),"Medium"))</f>
        <v/>
      </c>
      <c r="F582" s="46">
        <f>IF(_calc!$E$584="","",IF(_calc!$E$584&lt;=500,TRIM(IF(LEN(IF(LEN(INDEX('Our policies'!$B$4:$B$503,_calc!$E$584))=0,"",INDEX('Our policies'!$B$4:$B$503,_calc!$E$584)))=0,"","Cover: "&amp;IF(LEN(INDEX('Our policies'!$B$4:$B$503,_calc!$E$584))=0,"",INDEX('Our policies'!$B$4:$B$503,_calc!$E$584))&amp;". ")&amp;IF(LEN(IF(LEN(INDEX('Our policies'!$C$4:$C$503,_calc!$E$584))=0,"",INDEX('Our policies'!$C$4:$C$503,_calc!$E$584)))=0,"","Insurer: "&amp;IF(LEN(INDEX('Our policies'!$C$4:$C$503,_calc!$E$584))=0,"",INDEX('Our policies'!$C$4:$C$503,_calc!$E$584))&amp;". ")&amp;IF(LEN(IF(LEN(INDEX('Our policies'!$D$4:$D$503,_calc!$E$584))=0,"",INDEX('Our policies'!$D$4:$D$503,_calc!$E$584)))=0,"","Broker: "&amp;IF(LEN(INDEX('Our policies'!$D$4:$D$503,_calc!$E$584))=0,"",INDEX('Our policies'!$D$4:$D$503,_calc!$E$584))&amp;". ")&amp;IF(LEN(IF(LEN(INDEX('Our policies'!$E$4:$E$503,_calc!$E$584))=0,"",INDEX('Our policies'!$E$4:$E$503,_calc!$E$584)))=0,"","Policy no.: "&amp;IF(LEN(INDEX('Our policies'!$E$4:$E$503,_calc!$E$584))=0,"",INDEX('Our policies'!$E$4:$E$503,_calc!$E$584))&amp;". ")&amp;IF(LEN(IF(LEN(INDEX('Our policies'!$S$4:$S$503,_calc!$E$584))=0,"",INDEX('Our policies'!$S$4:$S$503,_calc!$E$584)))=0,"",IF(LEN(INDEX('Our policies'!$S$4:$S$503,_calc!$E$584))=0,"",INDEX('Our policies'!$S$4:$S$503,_calc!$E$584)))),TRIM(IF(LEN(IF(LEN(INDEX('Vendor COIs'!$C$4:$C$503,(_calc!$E$584-500)))=0,"",INDEX('Vendor COIs'!$C$4:$C$503,(_calc!$E$584-500))))=0,"","Insurer: "&amp;IF(LEN(INDEX('Vendor COIs'!$C$4:$C$503,(_calc!$E$584-500)))=0,"",INDEX('Vendor COIs'!$C$4:$C$503,(_calc!$E$584-500)))&amp;". ")&amp;IF(LEN(IF(LEN(INDEX('Vendor COIs'!$D$4:$D$503,(_calc!$E$584-500)))=0,"",INDEX('Vendor COIs'!$D$4:$D$503,(_calc!$E$584-500))))=0,"","Policy no.: "&amp;IF(LEN(INDEX('Vendor COIs'!$D$4:$D$503,(_calc!$E$584-500)))=0,"",INDEX('Vendor COIs'!$D$4:$D$503,(_calc!$E$584-500)))&amp;". ")&amp;IF(LEN(IF(LEN(INDEX('Vendor COIs'!$F$4:$F$503,(_calc!$E$584-500)))=0,"",INDEX('Vendor COIs'!$F$4:$F$503,(_calc!$E$584-500))))=0,"","Meets minimum: "&amp;IF(LEN(INDEX('Vendor COIs'!$F$4:$F$503,(_calc!$E$584-500)))=0,"",INDEX('Vendor COIs'!$F$4:$F$503,(_calc!$E$584-500)))&amp;". ")&amp;IF(LEN(IF(LEN(INDEX('Vendor COIs'!$G$4:$G$503,(_calc!$E$584-500)))=0,"",INDEX('Vendor COIs'!$G$4:$G$503,(_calc!$E$584-500))))=0,"","Additional insured: "&amp;IF(LEN(INDEX('Vendor COIs'!$G$4:$G$503,(_calc!$E$584-500)))=0,"",INDEX('Vendor COIs'!$G$4:$G$503,(_calc!$E$584-500)))&amp;". ")&amp;IF(LEN(IF(LEN(INDEX('Vendor COIs'!$M$4:$M$503,(_calc!$E$584-500)))=0,"",INDEX('Vendor COIs'!$M$4:$M$503,(_calc!$E$584-500))))=0,"","Vendor contact: "&amp;IF(LEN(INDEX('Vendor COIs'!$M$4:$M$503,(_calc!$E$584-500)))=0,"",INDEX('Vendor COIs'!$M$4:$M$503,(_calc!$E$584-500)))&amp;". ")&amp;IF(LEN(IF(LEN(INDEX('Vendor COIs'!$P$4:$P$503,(_calc!$E$584-500)))=0,"",INDEX('Vendor COIs'!$P$4:$P$503,(_calc!$E$584-500))))=0,"",IF(LEN(INDEX('Vendor COIs'!$P$4:$P$503,(_calc!$E$584-500)))=0,"",INDEX('Vendor COIs'!$P$4:$P$503,(_calc!$E$584-500)))))))</f>
        <v/>
      </c>
      <c r="G582" s="46">
        <f>IF(_calc!$E$584="","",IF(_calc!$E$584&lt;=500,IF(LEN(INDEX('Our policies'!$R$4:$R$503,_calc!$E$584))=0,"",INDEX('Our policies'!$R$4:$R$503,_calc!$E$584)),IF(LEN(INDEX('Vendor COIs'!$O$4:$O$503,(_calc!$E$584-500)))=0,"",INDEX('Vendor COIs'!$O$4:$O$503,(_calc!$E$584-500)))))</f>
        <v/>
      </c>
      <c r="H582" s="46">
        <f>IF(_calc!$E$584="","",IF(_calc!$E$584&lt;=500,IF(LEN(INDEX('Our policies'!$G$4:$G$503,_calc!$E$584))=0,"",INDEX('Our policies'!$G$4:$G$503,_calc!$E$584)),""))</f>
        <v/>
      </c>
      <c r="I582" s="46">
        <f>IF(_calc!$E$584="","",IF(_calc!$E$584&lt;=500,IF(LEN(INDEX('Our policies'!$H$4:$H$503,_calc!$E$584))=0,"",INDEX('Our policies'!$H$4:$H$503,_calc!$E$584)),""))</f>
        <v/>
      </c>
      <c r="K582" s="46">
        <f>IF(_calc!$E$584="","",IF(_calc!$E$584&lt;=500,IF(LEN(INDEX('Our policies'!$P$4:$P$503,_calc!$E$584))=0,"",INDEX('Our policies'!$P$4:$P$503,_calc!$E$584)),IF(LEN(INDEX('Vendor COIs'!$N$4:$N$503,(_calc!$E$584-500)))=0,"",INDEX('Vendor COIs'!$N$4:$N$503,(_calc!$E$584-500)))))</f>
        <v/>
      </c>
    </row>
    <row r="583">
      <c r="A583" s="46">
        <f>IF(_calc!$E$585="","",IF(_calc!$E$585&lt;=500,IF(LEN(INDEX('Our policies'!$A$4:$A$503,_calc!$E$585))=0,"",INDEX('Our policies'!$A$4:$A$503,_calc!$E$585)),"COI – "&amp;IF(LEN(INDEX('Vendor COIs'!$A$4:$A$503,(_calc!$E$585-500)))=0,"",INDEX('Vendor COIs'!$A$4:$A$503,(_calc!$E$585-500)))&amp;" – "&amp;IF(LEN(INDEX('Vendor COIs'!$B$4:$B$503,(_calc!$E$585-500)))=0,"",INDEX('Vendor COIs'!$B$4:$B$503,(_calc!$E$585-500)))))</f>
        <v/>
      </c>
      <c r="B583" s="46">
        <f>IF(_calc!$E$585="","",IF(_calc!$E$585&lt;=500,IF(ISNUMBER(INDEX('Our policies'!$J$4:$J$503,_calc!$E$585)),TEXT(INDEX('Our policies'!$J$4:$J$503,_calc!$E$585),"yyyy-mm-dd"),""),IF(ISNUMBER(INDEX('Vendor COIs'!$H$4:$H$503,(_calc!$E$585-500))),TEXT(INDEX('Vendor COIs'!$H$4:$H$503,(_calc!$E$585-500)),"yyyy-mm-dd"),"")))</f>
        <v/>
      </c>
      <c r="C583" s="46">
        <f>IF(_calc!$E$585="","",IF(_calc!$E$585&lt;=500,"Insurance","Certificate of insurance"))</f>
        <v/>
      </c>
      <c r="D583" s="46">
        <f>IF(_calc!$E$585="","",IF(_calc!$E$585&lt;=500,IF(ISNUMBER(INDEX('Our policies'!$I$4:$I$503,_calc!$E$585)),TEXT(INDEX('Our policies'!$I$4:$I$503,_calc!$E$585),"yyyy-mm-dd"),""),""))</f>
        <v/>
      </c>
      <c r="E583" s="46">
        <f>IF(_calc!$E$585="","",IF(_calc!$E$585&lt;=500,IF(LEN(INDEX('Our policies'!$Q$4:$Q$503,_calc!$E$585))=0,"",INDEX('Our policies'!$Q$4:$Q$503,_calc!$E$585)),"Medium"))</f>
        <v/>
      </c>
      <c r="F583" s="46">
        <f>IF(_calc!$E$585="","",IF(_calc!$E$585&lt;=500,TRIM(IF(LEN(IF(LEN(INDEX('Our policies'!$B$4:$B$503,_calc!$E$585))=0,"",INDEX('Our policies'!$B$4:$B$503,_calc!$E$585)))=0,"","Cover: "&amp;IF(LEN(INDEX('Our policies'!$B$4:$B$503,_calc!$E$585))=0,"",INDEX('Our policies'!$B$4:$B$503,_calc!$E$585))&amp;". ")&amp;IF(LEN(IF(LEN(INDEX('Our policies'!$C$4:$C$503,_calc!$E$585))=0,"",INDEX('Our policies'!$C$4:$C$503,_calc!$E$585)))=0,"","Insurer: "&amp;IF(LEN(INDEX('Our policies'!$C$4:$C$503,_calc!$E$585))=0,"",INDEX('Our policies'!$C$4:$C$503,_calc!$E$585))&amp;". ")&amp;IF(LEN(IF(LEN(INDEX('Our policies'!$D$4:$D$503,_calc!$E$585))=0,"",INDEX('Our policies'!$D$4:$D$503,_calc!$E$585)))=0,"","Broker: "&amp;IF(LEN(INDEX('Our policies'!$D$4:$D$503,_calc!$E$585))=0,"",INDEX('Our policies'!$D$4:$D$503,_calc!$E$585))&amp;". ")&amp;IF(LEN(IF(LEN(INDEX('Our policies'!$E$4:$E$503,_calc!$E$585))=0,"",INDEX('Our policies'!$E$4:$E$503,_calc!$E$585)))=0,"","Policy no.: "&amp;IF(LEN(INDEX('Our policies'!$E$4:$E$503,_calc!$E$585))=0,"",INDEX('Our policies'!$E$4:$E$503,_calc!$E$585))&amp;". ")&amp;IF(LEN(IF(LEN(INDEX('Our policies'!$S$4:$S$503,_calc!$E$585))=0,"",INDEX('Our policies'!$S$4:$S$503,_calc!$E$585)))=0,"",IF(LEN(INDEX('Our policies'!$S$4:$S$503,_calc!$E$585))=0,"",INDEX('Our policies'!$S$4:$S$503,_calc!$E$585)))),TRIM(IF(LEN(IF(LEN(INDEX('Vendor COIs'!$C$4:$C$503,(_calc!$E$585-500)))=0,"",INDEX('Vendor COIs'!$C$4:$C$503,(_calc!$E$585-500))))=0,"","Insurer: "&amp;IF(LEN(INDEX('Vendor COIs'!$C$4:$C$503,(_calc!$E$585-500)))=0,"",INDEX('Vendor COIs'!$C$4:$C$503,(_calc!$E$585-500)))&amp;". ")&amp;IF(LEN(IF(LEN(INDEX('Vendor COIs'!$D$4:$D$503,(_calc!$E$585-500)))=0,"",INDEX('Vendor COIs'!$D$4:$D$503,(_calc!$E$585-500))))=0,"","Policy no.: "&amp;IF(LEN(INDEX('Vendor COIs'!$D$4:$D$503,(_calc!$E$585-500)))=0,"",INDEX('Vendor COIs'!$D$4:$D$503,(_calc!$E$585-500)))&amp;". ")&amp;IF(LEN(IF(LEN(INDEX('Vendor COIs'!$F$4:$F$503,(_calc!$E$585-500)))=0,"",INDEX('Vendor COIs'!$F$4:$F$503,(_calc!$E$585-500))))=0,"","Meets minimum: "&amp;IF(LEN(INDEX('Vendor COIs'!$F$4:$F$503,(_calc!$E$585-500)))=0,"",INDEX('Vendor COIs'!$F$4:$F$503,(_calc!$E$585-500)))&amp;". ")&amp;IF(LEN(IF(LEN(INDEX('Vendor COIs'!$G$4:$G$503,(_calc!$E$585-500)))=0,"",INDEX('Vendor COIs'!$G$4:$G$503,(_calc!$E$585-500))))=0,"","Additional insured: "&amp;IF(LEN(INDEX('Vendor COIs'!$G$4:$G$503,(_calc!$E$585-500)))=0,"",INDEX('Vendor COIs'!$G$4:$G$503,(_calc!$E$585-500)))&amp;". ")&amp;IF(LEN(IF(LEN(INDEX('Vendor COIs'!$M$4:$M$503,(_calc!$E$585-500)))=0,"",INDEX('Vendor COIs'!$M$4:$M$503,(_calc!$E$585-500))))=0,"","Vendor contact: "&amp;IF(LEN(INDEX('Vendor COIs'!$M$4:$M$503,(_calc!$E$585-500)))=0,"",INDEX('Vendor COIs'!$M$4:$M$503,(_calc!$E$585-500)))&amp;". ")&amp;IF(LEN(IF(LEN(INDEX('Vendor COIs'!$P$4:$P$503,(_calc!$E$585-500)))=0,"",INDEX('Vendor COIs'!$P$4:$P$503,(_calc!$E$585-500))))=0,"",IF(LEN(INDEX('Vendor COIs'!$P$4:$P$503,(_calc!$E$585-500)))=0,"",INDEX('Vendor COIs'!$P$4:$P$503,(_calc!$E$585-500)))))))</f>
        <v/>
      </c>
      <c r="G583" s="46">
        <f>IF(_calc!$E$585="","",IF(_calc!$E$585&lt;=500,IF(LEN(INDEX('Our policies'!$R$4:$R$503,_calc!$E$585))=0,"",INDEX('Our policies'!$R$4:$R$503,_calc!$E$585)),IF(LEN(INDEX('Vendor COIs'!$O$4:$O$503,(_calc!$E$585-500)))=0,"",INDEX('Vendor COIs'!$O$4:$O$503,(_calc!$E$585-500)))))</f>
        <v/>
      </c>
      <c r="H583" s="46">
        <f>IF(_calc!$E$585="","",IF(_calc!$E$585&lt;=500,IF(LEN(INDEX('Our policies'!$G$4:$G$503,_calc!$E$585))=0,"",INDEX('Our policies'!$G$4:$G$503,_calc!$E$585)),""))</f>
        <v/>
      </c>
      <c r="I583" s="46">
        <f>IF(_calc!$E$585="","",IF(_calc!$E$585&lt;=500,IF(LEN(INDEX('Our policies'!$H$4:$H$503,_calc!$E$585))=0,"",INDEX('Our policies'!$H$4:$H$503,_calc!$E$585)),""))</f>
        <v/>
      </c>
      <c r="K583" s="46">
        <f>IF(_calc!$E$585="","",IF(_calc!$E$585&lt;=500,IF(LEN(INDEX('Our policies'!$P$4:$P$503,_calc!$E$585))=0,"",INDEX('Our policies'!$P$4:$P$503,_calc!$E$585)),IF(LEN(INDEX('Vendor COIs'!$N$4:$N$503,(_calc!$E$585-500)))=0,"",INDEX('Vendor COIs'!$N$4:$N$503,(_calc!$E$585-500)))))</f>
        <v/>
      </c>
    </row>
    <row r="584">
      <c r="A584" s="46">
        <f>IF(_calc!$E$586="","",IF(_calc!$E$586&lt;=500,IF(LEN(INDEX('Our policies'!$A$4:$A$503,_calc!$E$586))=0,"",INDEX('Our policies'!$A$4:$A$503,_calc!$E$586)),"COI – "&amp;IF(LEN(INDEX('Vendor COIs'!$A$4:$A$503,(_calc!$E$586-500)))=0,"",INDEX('Vendor COIs'!$A$4:$A$503,(_calc!$E$586-500)))&amp;" – "&amp;IF(LEN(INDEX('Vendor COIs'!$B$4:$B$503,(_calc!$E$586-500)))=0,"",INDEX('Vendor COIs'!$B$4:$B$503,(_calc!$E$586-500)))))</f>
        <v/>
      </c>
      <c r="B584" s="46">
        <f>IF(_calc!$E$586="","",IF(_calc!$E$586&lt;=500,IF(ISNUMBER(INDEX('Our policies'!$J$4:$J$503,_calc!$E$586)),TEXT(INDEX('Our policies'!$J$4:$J$503,_calc!$E$586),"yyyy-mm-dd"),""),IF(ISNUMBER(INDEX('Vendor COIs'!$H$4:$H$503,(_calc!$E$586-500))),TEXT(INDEX('Vendor COIs'!$H$4:$H$503,(_calc!$E$586-500)),"yyyy-mm-dd"),"")))</f>
        <v/>
      </c>
      <c r="C584" s="46">
        <f>IF(_calc!$E$586="","",IF(_calc!$E$586&lt;=500,"Insurance","Certificate of insurance"))</f>
        <v/>
      </c>
      <c r="D584" s="46">
        <f>IF(_calc!$E$586="","",IF(_calc!$E$586&lt;=500,IF(ISNUMBER(INDEX('Our policies'!$I$4:$I$503,_calc!$E$586)),TEXT(INDEX('Our policies'!$I$4:$I$503,_calc!$E$586),"yyyy-mm-dd"),""),""))</f>
        <v/>
      </c>
      <c r="E584" s="46">
        <f>IF(_calc!$E$586="","",IF(_calc!$E$586&lt;=500,IF(LEN(INDEX('Our policies'!$Q$4:$Q$503,_calc!$E$586))=0,"",INDEX('Our policies'!$Q$4:$Q$503,_calc!$E$586)),"Medium"))</f>
        <v/>
      </c>
      <c r="F584" s="46">
        <f>IF(_calc!$E$586="","",IF(_calc!$E$586&lt;=500,TRIM(IF(LEN(IF(LEN(INDEX('Our policies'!$B$4:$B$503,_calc!$E$586))=0,"",INDEX('Our policies'!$B$4:$B$503,_calc!$E$586)))=0,"","Cover: "&amp;IF(LEN(INDEX('Our policies'!$B$4:$B$503,_calc!$E$586))=0,"",INDEX('Our policies'!$B$4:$B$503,_calc!$E$586))&amp;". ")&amp;IF(LEN(IF(LEN(INDEX('Our policies'!$C$4:$C$503,_calc!$E$586))=0,"",INDEX('Our policies'!$C$4:$C$503,_calc!$E$586)))=0,"","Insurer: "&amp;IF(LEN(INDEX('Our policies'!$C$4:$C$503,_calc!$E$586))=0,"",INDEX('Our policies'!$C$4:$C$503,_calc!$E$586))&amp;". ")&amp;IF(LEN(IF(LEN(INDEX('Our policies'!$D$4:$D$503,_calc!$E$586))=0,"",INDEX('Our policies'!$D$4:$D$503,_calc!$E$586)))=0,"","Broker: "&amp;IF(LEN(INDEX('Our policies'!$D$4:$D$503,_calc!$E$586))=0,"",INDEX('Our policies'!$D$4:$D$503,_calc!$E$586))&amp;". ")&amp;IF(LEN(IF(LEN(INDEX('Our policies'!$E$4:$E$503,_calc!$E$586))=0,"",INDEX('Our policies'!$E$4:$E$503,_calc!$E$586)))=0,"","Policy no.: "&amp;IF(LEN(INDEX('Our policies'!$E$4:$E$503,_calc!$E$586))=0,"",INDEX('Our policies'!$E$4:$E$503,_calc!$E$586))&amp;". ")&amp;IF(LEN(IF(LEN(INDEX('Our policies'!$S$4:$S$503,_calc!$E$586))=0,"",INDEX('Our policies'!$S$4:$S$503,_calc!$E$586)))=0,"",IF(LEN(INDEX('Our policies'!$S$4:$S$503,_calc!$E$586))=0,"",INDEX('Our policies'!$S$4:$S$503,_calc!$E$586)))),TRIM(IF(LEN(IF(LEN(INDEX('Vendor COIs'!$C$4:$C$503,(_calc!$E$586-500)))=0,"",INDEX('Vendor COIs'!$C$4:$C$503,(_calc!$E$586-500))))=0,"","Insurer: "&amp;IF(LEN(INDEX('Vendor COIs'!$C$4:$C$503,(_calc!$E$586-500)))=0,"",INDEX('Vendor COIs'!$C$4:$C$503,(_calc!$E$586-500)))&amp;". ")&amp;IF(LEN(IF(LEN(INDEX('Vendor COIs'!$D$4:$D$503,(_calc!$E$586-500)))=0,"",INDEX('Vendor COIs'!$D$4:$D$503,(_calc!$E$586-500))))=0,"","Policy no.: "&amp;IF(LEN(INDEX('Vendor COIs'!$D$4:$D$503,(_calc!$E$586-500)))=0,"",INDEX('Vendor COIs'!$D$4:$D$503,(_calc!$E$586-500)))&amp;". ")&amp;IF(LEN(IF(LEN(INDEX('Vendor COIs'!$F$4:$F$503,(_calc!$E$586-500)))=0,"",INDEX('Vendor COIs'!$F$4:$F$503,(_calc!$E$586-500))))=0,"","Meets minimum: "&amp;IF(LEN(INDEX('Vendor COIs'!$F$4:$F$503,(_calc!$E$586-500)))=0,"",INDEX('Vendor COIs'!$F$4:$F$503,(_calc!$E$586-500)))&amp;". ")&amp;IF(LEN(IF(LEN(INDEX('Vendor COIs'!$G$4:$G$503,(_calc!$E$586-500)))=0,"",INDEX('Vendor COIs'!$G$4:$G$503,(_calc!$E$586-500))))=0,"","Additional insured: "&amp;IF(LEN(INDEX('Vendor COIs'!$G$4:$G$503,(_calc!$E$586-500)))=0,"",INDEX('Vendor COIs'!$G$4:$G$503,(_calc!$E$586-500)))&amp;". ")&amp;IF(LEN(IF(LEN(INDEX('Vendor COIs'!$M$4:$M$503,(_calc!$E$586-500)))=0,"",INDEX('Vendor COIs'!$M$4:$M$503,(_calc!$E$586-500))))=0,"","Vendor contact: "&amp;IF(LEN(INDEX('Vendor COIs'!$M$4:$M$503,(_calc!$E$586-500)))=0,"",INDEX('Vendor COIs'!$M$4:$M$503,(_calc!$E$586-500)))&amp;". ")&amp;IF(LEN(IF(LEN(INDEX('Vendor COIs'!$P$4:$P$503,(_calc!$E$586-500)))=0,"",INDEX('Vendor COIs'!$P$4:$P$503,(_calc!$E$586-500))))=0,"",IF(LEN(INDEX('Vendor COIs'!$P$4:$P$503,(_calc!$E$586-500)))=0,"",INDEX('Vendor COIs'!$P$4:$P$503,(_calc!$E$586-500)))))))</f>
        <v/>
      </c>
      <c r="G584" s="46">
        <f>IF(_calc!$E$586="","",IF(_calc!$E$586&lt;=500,IF(LEN(INDEX('Our policies'!$R$4:$R$503,_calc!$E$586))=0,"",INDEX('Our policies'!$R$4:$R$503,_calc!$E$586)),IF(LEN(INDEX('Vendor COIs'!$O$4:$O$503,(_calc!$E$586-500)))=0,"",INDEX('Vendor COIs'!$O$4:$O$503,(_calc!$E$586-500)))))</f>
        <v/>
      </c>
      <c r="H584" s="46">
        <f>IF(_calc!$E$586="","",IF(_calc!$E$586&lt;=500,IF(LEN(INDEX('Our policies'!$G$4:$G$503,_calc!$E$586))=0,"",INDEX('Our policies'!$G$4:$G$503,_calc!$E$586)),""))</f>
        <v/>
      </c>
      <c r="I584" s="46">
        <f>IF(_calc!$E$586="","",IF(_calc!$E$586&lt;=500,IF(LEN(INDEX('Our policies'!$H$4:$H$503,_calc!$E$586))=0,"",INDEX('Our policies'!$H$4:$H$503,_calc!$E$586)),""))</f>
        <v/>
      </c>
      <c r="K584" s="46">
        <f>IF(_calc!$E$586="","",IF(_calc!$E$586&lt;=500,IF(LEN(INDEX('Our policies'!$P$4:$P$503,_calc!$E$586))=0,"",INDEX('Our policies'!$P$4:$P$503,_calc!$E$586)),IF(LEN(INDEX('Vendor COIs'!$N$4:$N$503,(_calc!$E$586-500)))=0,"",INDEX('Vendor COIs'!$N$4:$N$503,(_calc!$E$586-500)))))</f>
        <v/>
      </c>
    </row>
    <row r="585">
      <c r="A585" s="46">
        <f>IF(_calc!$E$587="","",IF(_calc!$E$587&lt;=500,IF(LEN(INDEX('Our policies'!$A$4:$A$503,_calc!$E$587))=0,"",INDEX('Our policies'!$A$4:$A$503,_calc!$E$587)),"COI – "&amp;IF(LEN(INDEX('Vendor COIs'!$A$4:$A$503,(_calc!$E$587-500)))=0,"",INDEX('Vendor COIs'!$A$4:$A$503,(_calc!$E$587-500)))&amp;" – "&amp;IF(LEN(INDEX('Vendor COIs'!$B$4:$B$503,(_calc!$E$587-500)))=0,"",INDEX('Vendor COIs'!$B$4:$B$503,(_calc!$E$587-500)))))</f>
        <v/>
      </c>
      <c r="B585" s="46">
        <f>IF(_calc!$E$587="","",IF(_calc!$E$587&lt;=500,IF(ISNUMBER(INDEX('Our policies'!$J$4:$J$503,_calc!$E$587)),TEXT(INDEX('Our policies'!$J$4:$J$503,_calc!$E$587),"yyyy-mm-dd"),""),IF(ISNUMBER(INDEX('Vendor COIs'!$H$4:$H$503,(_calc!$E$587-500))),TEXT(INDEX('Vendor COIs'!$H$4:$H$503,(_calc!$E$587-500)),"yyyy-mm-dd"),"")))</f>
        <v/>
      </c>
      <c r="C585" s="46">
        <f>IF(_calc!$E$587="","",IF(_calc!$E$587&lt;=500,"Insurance","Certificate of insurance"))</f>
        <v/>
      </c>
      <c r="D585" s="46">
        <f>IF(_calc!$E$587="","",IF(_calc!$E$587&lt;=500,IF(ISNUMBER(INDEX('Our policies'!$I$4:$I$503,_calc!$E$587)),TEXT(INDEX('Our policies'!$I$4:$I$503,_calc!$E$587),"yyyy-mm-dd"),""),""))</f>
        <v/>
      </c>
      <c r="E585" s="46">
        <f>IF(_calc!$E$587="","",IF(_calc!$E$587&lt;=500,IF(LEN(INDEX('Our policies'!$Q$4:$Q$503,_calc!$E$587))=0,"",INDEX('Our policies'!$Q$4:$Q$503,_calc!$E$587)),"Medium"))</f>
        <v/>
      </c>
      <c r="F585" s="46">
        <f>IF(_calc!$E$587="","",IF(_calc!$E$587&lt;=500,TRIM(IF(LEN(IF(LEN(INDEX('Our policies'!$B$4:$B$503,_calc!$E$587))=0,"",INDEX('Our policies'!$B$4:$B$503,_calc!$E$587)))=0,"","Cover: "&amp;IF(LEN(INDEX('Our policies'!$B$4:$B$503,_calc!$E$587))=0,"",INDEX('Our policies'!$B$4:$B$503,_calc!$E$587))&amp;". ")&amp;IF(LEN(IF(LEN(INDEX('Our policies'!$C$4:$C$503,_calc!$E$587))=0,"",INDEX('Our policies'!$C$4:$C$503,_calc!$E$587)))=0,"","Insurer: "&amp;IF(LEN(INDEX('Our policies'!$C$4:$C$503,_calc!$E$587))=0,"",INDEX('Our policies'!$C$4:$C$503,_calc!$E$587))&amp;". ")&amp;IF(LEN(IF(LEN(INDEX('Our policies'!$D$4:$D$503,_calc!$E$587))=0,"",INDEX('Our policies'!$D$4:$D$503,_calc!$E$587)))=0,"","Broker: "&amp;IF(LEN(INDEX('Our policies'!$D$4:$D$503,_calc!$E$587))=0,"",INDEX('Our policies'!$D$4:$D$503,_calc!$E$587))&amp;". ")&amp;IF(LEN(IF(LEN(INDEX('Our policies'!$E$4:$E$503,_calc!$E$587))=0,"",INDEX('Our policies'!$E$4:$E$503,_calc!$E$587)))=0,"","Policy no.: "&amp;IF(LEN(INDEX('Our policies'!$E$4:$E$503,_calc!$E$587))=0,"",INDEX('Our policies'!$E$4:$E$503,_calc!$E$587))&amp;". ")&amp;IF(LEN(IF(LEN(INDEX('Our policies'!$S$4:$S$503,_calc!$E$587))=0,"",INDEX('Our policies'!$S$4:$S$503,_calc!$E$587)))=0,"",IF(LEN(INDEX('Our policies'!$S$4:$S$503,_calc!$E$587))=0,"",INDEX('Our policies'!$S$4:$S$503,_calc!$E$587)))),TRIM(IF(LEN(IF(LEN(INDEX('Vendor COIs'!$C$4:$C$503,(_calc!$E$587-500)))=0,"",INDEX('Vendor COIs'!$C$4:$C$503,(_calc!$E$587-500))))=0,"","Insurer: "&amp;IF(LEN(INDEX('Vendor COIs'!$C$4:$C$503,(_calc!$E$587-500)))=0,"",INDEX('Vendor COIs'!$C$4:$C$503,(_calc!$E$587-500)))&amp;". ")&amp;IF(LEN(IF(LEN(INDEX('Vendor COIs'!$D$4:$D$503,(_calc!$E$587-500)))=0,"",INDEX('Vendor COIs'!$D$4:$D$503,(_calc!$E$587-500))))=0,"","Policy no.: "&amp;IF(LEN(INDEX('Vendor COIs'!$D$4:$D$503,(_calc!$E$587-500)))=0,"",INDEX('Vendor COIs'!$D$4:$D$503,(_calc!$E$587-500)))&amp;". ")&amp;IF(LEN(IF(LEN(INDEX('Vendor COIs'!$F$4:$F$503,(_calc!$E$587-500)))=0,"",INDEX('Vendor COIs'!$F$4:$F$503,(_calc!$E$587-500))))=0,"","Meets minimum: "&amp;IF(LEN(INDEX('Vendor COIs'!$F$4:$F$503,(_calc!$E$587-500)))=0,"",INDEX('Vendor COIs'!$F$4:$F$503,(_calc!$E$587-500)))&amp;". ")&amp;IF(LEN(IF(LEN(INDEX('Vendor COIs'!$G$4:$G$503,(_calc!$E$587-500)))=0,"",INDEX('Vendor COIs'!$G$4:$G$503,(_calc!$E$587-500))))=0,"","Additional insured: "&amp;IF(LEN(INDEX('Vendor COIs'!$G$4:$G$503,(_calc!$E$587-500)))=0,"",INDEX('Vendor COIs'!$G$4:$G$503,(_calc!$E$587-500)))&amp;". ")&amp;IF(LEN(IF(LEN(INDEX('Vendor COIs'!$M$4:$M$503,(_calc!$E$587-500)))=0,"",INDEX('Vendor COIs'!$M$4:$M$503,(_calc!$E$587-500))))=0,"","Vendor contact: "&amp;IF(LEN(INDEX('Vendor COIs'!$M$4:$M$503,(_calc!$E$587-500)))=0,"",INDEX('Vendor COIs'!$M$4:$M$503,(_calc!$E$587-500)))&amp;". ")&amp;IF(LEN(IF(LEN(INDEX('Vendor COIs'!$P$4:$P$503,(_calc!$E$587-500)))=0,"",INDEX('Vendor COIs'!$P$4:$P$503,(_calc!$E$587-500))))=0,"",IF(LEN(INDEX('Vendor COIs'!$P$4:$P$503,(_calc!$E$587-500)))=0,"",INDEX('Vendor COIs'!$P$4:$P$503,(_calc!$E$587-500)))))))</f>
        <v/>
      </c>
      <c r="G585" s="46">
        <f>IF(_calc!$E$587="","",IF(_calc!$E$587&lt;=500,IF(LEN(INDEX('Our policies'!$R$4:$R$503,_calc!$E$587))=0,"",INDEX('Our policies'!$R$4:$R$503,_calc!$E$587)),IF(LEN(INDEX('Vendor COIs'!$O$4:$O$503,(_calc!$E$587-500)))=0,"",INDEX('Vendor COIs'!$O$4:$O$503,(_calc!$E$587-500)))))</f>
        <v/>
      </c>
      <c r="H585" s="46">
        <f>IF(_calc!$E$587="","",IF(_calc!$E$587&lt;=500,IF(LEN(INDEX('Our policies'!$G$4:$G$503,_calc!$E$587))=0,"",INDEX('Our policies'!$G$4:$G$503,_calc!$E$587)),""))</f>
        <v/>
      </c>
      <c r="I585" s="46">
        <f>IF(_calc!$E$587="","",IF(_calc!$E$587&lt;=500,IF(LEN(INDEX('Our policies'!$H$4:$H$503,_calc!$E$587))=0,"",INDEX('Our policies'!$H$4:$H$503,_calc!$E$587)),""))</f>
        <v/>
      </c>
      <c r="K585" s="46">
        <f>IF(_calc!$E$587="","",IF(_calc!$E$587&lt;=500,IF(LEN(INDEX('Our policies'!$P$4:$P$503,_calc!$E$587))=0,"",INDEX('Our policies'!$P$4:$P$503,_calc!$E$587)),IF(LEN(INDEX('Vendor COIs'!$N$4:$N$503,(_calc!$E$587-500)))=0,"",INDEX('Vendor COIs'!$N$4:$N$503,(_calc!$E$587-500)))))</f>
        <v/>
      </c>
    </row>
    <row r="586">
      <c r="A586" s="46">
        <f>IF(_calc!$E$588="","",IF(_calc!$E$588&lt;=500,IF(LEN(INDEX('Our policies'!$A$4:$A$503,_calc!$E$588))=0,"",INDEX('Our policies'!$A$4:$A$503,_calc!$E$588)),"COI – "&amp;IF(LEN(INDEX('Vendor COIs'!$A$4:$A$503,(_calc!$E$588-500)))=0,"",INDEX('Vendor COIs'!$A$4:$A$503,(_calc!$E$588-500)))&amp;" – "&amp;IF(LEN(INDEX('Vendor COIs'!$B$4:$B$503,(_calc!$E$588-500)))=0,"",INDEX('Vendor COIs'!$B$4:$B$503,(_calc!$E$588-500)))))</f>
        <v/>
      </c>
      <c r="B586" s="46">
        <f>IF(_calc!$E$588="","",IF(_calc!$E$588&lt;=500,IF(ISNUMBER(INDEX('Our policies'!$J$4:$J$503,_calc!$E$588)),TEXT(INDEX('Our policies'!$J$4:$J$503,_calc!$E$588),"yyyy-mm-dd"),""),IF(ISNUMBER(INDEX('Vendor COIs'!$H$4:$H$503,(_calc!$E$588-500))),TEXT(INDEX('Vendor COIs'!$H$4:$H$503,(_calc!$E$588-500)),"yyyy-mm-dd"),"")))</f>
        <v/>
      </c>
      <c r="C586" s="46">
        <f>IF(_calc!$E$588="","",IF(_calc!$E$588&lt;=500,"Insurance","Certificate of insurance"))</f>
        <v/>
      </c>
      <c r="D586" s="46">
        <f>IF(_calc!$E$588="","",IF(_calc!$E$588&lt;=500,IF(ISNUMBER(INDEX('Our policies'!$I$4:$I$503,_calc!$E$588)),TEXT(INDEX('Our policies'!$I$4:$I$503,_calc!$E$588),"yyyy-mm-dd"),""),""))</f>
        <v/>
      </c>
      <c r="E586" s="46">
        <f>IF(_calc!$E$588="","",IF(_calc!$E$588&lt;=500,IF(LEN(INDEX('Our policies'!$Q$4:$Q$503,_calc!$E$588))=0,"",INDEX('Our policies'!$Q$4:$Q$503,_calc!$E$588)),"Medium"))</f>
        <v/>
      </c>
      <c r="F586" s="46">
        <f>IF(_calc!$E$588="","",IF(_calc!$E$588&lt;=500,TRIM(IF(LEN(IF(LEN(INDEX('Our policies'!$B$4:$B$503,_calc!$E$588))=0,"",INDEX('Our policies'!$B$4:$B$503,_calc!$E$588)))=0,"","Cover: "&amp;IF(LEN(INDEX('Our policies'!$B$4:$B$503,_calc!$E$588))=0,"",INDEX('Our policies'!$B$4:$B$503,_calc!$E$588))&amp;". ")&amp;IF(LEN(IF(LEN(INDEX('Our policies'!$C$4:$C$503,_calc!$E$588))=0,"",INDEX('Our policies'!$C$4:$C$503,_calc!$E$588)))=0,"","Insurer: "&amp;IF(LEN(INDEX('Our policies'!$C$4:$C$503,_calc!$E$588))=0,"",INDEX('Our policies'!$C$4:$C$503,_calc!$E$588))&amp;". ")&amp;IF(LEN(IF(LEN(INDEX('Our policies'!$D$4:$D$503,_calc!$E$588))=0,"",INDEX('Our policies'!$D$4:$D$503,_calc!$E$588)))=0,"","Broker: "&amp;IF(LEN(INDEX('Our policies'!$D$4:$D$503,_calc!$E$588))=0,"",INDEX('Our policies'!$D$4:$D$503,_calc!$E$588))&amp;". ")&amp;IF(LEN(IF(LEN(INDEX('Our policies'!$E$4:$E$503,_calc!$E$588))=0,"",INDEX('Our policies'!$E$4:$E$503,_calc!$E$588)))=0,"","Policy no.: "&amp;IF(LEN(INDEX('Our policies'!$E$4:$E$503,_calc!$E$588))=0,"",INDEX('Our policies'!$E$4:$E$503,_calc!$E$588))&amp;". ")&amp;IF(LEN(IF(LEN(INDEX('Our policies'!$S$4:$S$503,_calc!$E$588))=0,"",INDEX('Our policies'!$S$4:$S$503,_calc!$E$588)))=0,"",IF(LEN(INDEX('Our policies'!$S$4:$S$503,_calc!$E$588))=0,"",INDEX('Our policies'!$S$4:$S$503,_calc!$E$588)))),TRIM(IF(LEN(IF(LEN(INDEX('Vendor COIs'!$C$4:$C$503,(_calc!$E$588-500)))=0,"",INDEX('Vendor COIs'!$C$4:$C$503,(_calc!$E$588-500))))=0,"","Insurer: "&amp;IF(LEN(INDEX('Vendor COIs'!$C$4:$C$503,(_calc!$E$588-500)))=0,"",INDEX('Vendor COIs'!$C$4:$C$503,(_calc!$E$588-500)))&amp;". ")&amp;IF(LEN(IF(LEN(INDEX('Vendor COIs'!$D$4:$D$503,(_calc!$E$588-500)))=0,"",INDEX('Vendor COIs'!$D$4:$D$503,(_calc!$E$588-500))))=0,"","Policy no.: "&amp;IF(LEN(INDEX('Vendor COIs'!$D$4:$D$503,(_calc!$E$588-500)))=0,"",INDEX('Vendor COIs'!$D$4:$D$503,(_calc!$E$588-500)))&amp;". ")&amp;IF(LEN(IF(LEN(INDEX('Vendor COIs'!$F$4:$F$503,(_calc!$E$588-500)))=0,"",INDEX('Vendor COIs'!$F$4:$F$503,(_calc!$E$588-500))))=0,"","Meets minimum: "&amp;IF(LEN(INDEX('Vendor COIs'!$F$4:$F$503,(_calc!$E$588-500)))=0,"",INDEX('Vendor COIs'!$F$4:$F$503,(_calc!$E$588-500)))&amp;". ")&amp;IF(LEN(IF(LEN(INDEX('Vendor COIs'!$G$4:$G$503,(_calc!$E$588-500)))=0,"",INDEX('Vendor COIs'!$G$4:$G$503,(_calc!$E$588-500))))=0,"","Additional insured: "&amp;IF(LEN(INDEX('Vendor COIs'!$G$4:$G$503,(_calc!$E$588-500)))=0,"",INDEX('Vendor COIs'!$G$4:$G$503,(_calc!$E$588-500)))&amp;". ")&amp;IF(LEN(IF(LEN(INDEX('Vendor COIs'!$M$4:$M$503,(_calc!$E$588-500)))=0,"",INDEX('Vendor COIs'!$M$4:$M$503,(_calc!$E$588-500))))=0,"","Vendor contact: "&amp;IF(LEN(INDEX('Vendor COIs'!$M$4:$M$503,(_calc!$E$588-500)))=0,"",INDEX('Vendor COIs'!$M$4:$M$503,(_calc!$E$588-500)))&amp;". ")&amp;IF(LEN(IF(LEN(INDEX('Vendor COIs'!$P$4:$P$503,(_calc!$E$588-500)))=0,"",INDEX('Vendor COIs'!$P$4:$P$503,(_calc!$E$588-500))))=0,"",IF(LEN(INDEX('Vendor COIs'!$P$4:$P$503,(_calc!$E$588-500)))=0,"",INDEX('Vendor COIs'!$P$4:$P$503,(_calc!$E$588-500)))))))</f>
        <v/>
      </c>
      <c r="G586" s="46">
        <f>IF(_calc!$E$588="","",IF(_calc!$E$588&lt;=500,IF(LEN(INDEX('Our policies'!$R$4:$R$503,_calc!$E$588))=0,"",INDEX('Our policies'!$R$4:$R$503,_calc!$E$588)),IF(LEN(INDEX('Vendor COIs'!$O$4:$O$503,(_calc!$E$588-500)))=0,"",INDEX('Vendor COIs'!$O$4:$O$503,(_calc!$E$588-500)))))</f>
        <v/>
      </c>
      <c r="H586" s="46">
        <f>IF(_calc!$E$588="","",IF(_calc!$E$588&lt;=500,IF(LEN(INDEX('Our policies'!$G$4:$G$503,_calc!$E$588))=0,"",INDEX('Our policies'!$G$4:$G$503,_calc!$E$588)),""))</f>
        <v/>
      </c>
      <c r="I586" s="46">
        <f>IF(_calc!$E$588="","",IF(_calc!$E$588&lt;=500,IF(LEN(INDEX('Our policies'!$H$4:$H$503,_calc!$E$588))=0,"",INDEX('Our policies'!$H$4:$H$503,_calc!$E$588)),""))</f>
        <v/>
      </c>
      <c r="K586" s="46">
        <f>IF(_calc!$E$588="","",IF(_calc!$E$588&lt;=500,IF(LEN(INDEX('Our policies'!$P$4:$P$503,_calc!$E$588))=0,"",INDEX('Our policies'!$P$4:$P$503,_calc!$E$588)),IF(LEN(INDEX('Vendor COIs'!$N$4:$N$503,(_calc!$E$588-500)))=0,"",INDEX('Vendor COIs'!$N$4:$N$503,(_calc!$E$588-500)))))</f>
        <v/>
      </c>
    </row>
    <row r="587">
      <c r="A587" s="46">
        <f>IF(_calc!$E$589="","",IF(_calc!$E$589&lt;=500,IF(LEN(INDEX('Our policies'!$A$4:$A$503,_calc!$E$589))=0,"",INDEX('Our policies'!$A$4:$A$503,_calc!$E$589)),"COI – "&amp;IF(LEN(INDEX('Vendor COIs'!$A$4:$A$503,(_calc!$E$589-500)))=0,"",INDEX('Vendor COIs'!$A$4:$A$503,(_calc!$E$589-500)))&amp;" – "&amp;IF(LEN(INDEX('Vendor COIs'!$B$4:$B$503,(_calc!$E$589-500)))=0,"",INDEX('Vendor COIs'!$B$4:$B$503,(_calc!$E$589-500)))))</f>
        <v/>
      </c>
      <c r="B587" s="46">
        <f>IF(_calc!$E$589="","",IF(_calc!$E$589&lt;=500,IF(ISNUMBER(INDEX('Our policies'!$J$4:$J$503,_calc!$E$589)),TEXT(INDEX('Our policies'!$J$4:$J$503,_calc!$E$589),"yyyy-mm-dd"),""),IF(ISNUMBER(INDEX('Vendor COIs'!$H$4:$H$503,(_calc!$E$589-500))),TEXT(INDEX('Vendor COIs'!$H$4:$H$503,(_calc!$E$589-500)),"yyyy-mm-dd"),"")))</f>
        <v/>
      </c>
      <c r="C587" s="46">
        <f>IF(_calc!$E$589="","",IF(_calc!$E$589&lt;=500,"Insurance","Certificate of insurance"))</f>
        <v/>
      </c>
      <c r="D587" s="46">
        <f>IF(_calc!$E$589="","",IF(_calc!$E$589&lt;=500,IF(ISNUMBER(INDEX('Our policies'!$I$4:$I$503,_calc!$E$589)),TEXT(INDEX('Our policies'!$I$4:$I$503,_calc!$E$589),"yyyy-mm-dd"),""),""))</f>
        <v/>
      </c>
      <c r="E587" s="46">
        <f>IF(_calc!$E$589="","",IF(_calc!$E$589&lt;=500,IF(LEN(INDEX('Our policies'!$Q$4:$Q$503,_calc!$E$589))=0,"",INDEX('Our policies'!$Q$4:$Q$503,_calc!$E$589)),"Medium"))</f>
        <v/>
      </c>
      <c r="F587" s="46">
        <f>IF(_calc!$E$589="","",IF(_calc!$E$589&lt;=500,TRIM(IF(LEN(IF(LEN(INDEX('Our policies'!$B$4:$B$503,_calc!$E$589))=0,"",INDEX('Our policies'!$B$4:$B$503,_calc!$E$589)))=0,"","Cover: "&amp;IF(LEN(INDEX('Our policies'!$B$4:$B$503,_calc!$E$589))=0,"",INDEX('Our policies'!$B$4:$B$503,_calc!$E$589))&amp;". ")&amp;IF(LEN(IF(LEN(INDEX('Our policies'!$C$4:$C$503,_calc!$E$589))=0,"",INDEX('Our policies'!$C$4:$C$503,_calc!$E$589)))=0,"","Insurer: "&amp;IF(LEN(INDEX('Our policies'!$C$4:$C$503,_calc!$E$589))=0,"",INDEX('Our policies'!$C$4:$C$503,_calc!$E$589))&amp;". ")&amp;IF(LEN(IF(LEN(INDEX('Our policies'!$D$4:$D$503,_calc!$E$589))=0,"",INDEX('Our policies'!$D$4:$D$503,_calc!$E$589)))=0,"","Broker: "&amp;IF(LEN(INDEX('Our policies'!$D$4:$D$503,_calc!$E$589))=0,"",INDEX('Our policies'!$D$4:$D$503,_calc!$E$589))&amp;". ")&amp;IF(LEN(IF(LEN(INDEX('Our policies'!$E$4:$E$503,_calc!$E$589))=0,"",INDEX('Our policies'!$E$4:$E$503,_calc!$E$589)))=0,"","Policy no.: "&amp;IF(LEN(INDEX('Our policies'!$E$4:$E$503,_calc!$E$589))=0,"",INDEX('Our policies'!$E$4:$E$503,_calc!$E$589))&amp;". ")&amp;IF(LEN(IF(LEN(INDEX('Our policies'!$S$4:$S$503,_calc!$E$589))=0,"",INDEX('Our policies'!$S$4:$S$503,_calc!$E$589)))=0,"",IF(LEN(INDEX('Our policies'!$S$4:$S$503,_calc!$E$589))=0,"",INDEX('Our policies'!$S$4:$S$503,_calc!$E$589)))),TRIM(IF(LEN(IF(LEN(INDEX('Vendor COIs'!$C$4:$C$503,(_calc!$E$589-500)))=0,"",INDEX('Vendor COIs'!$C$4:$C$503,(_calc!$E$589-500))))=0,"","Insurer: "&amp;IF(LEN(INDEX('Vendor COIs'!$C$4:$C$503,(_calc!$E$589-500)))=0,"",INDEX('Vendor COIs'!$C$4:$C$503,(_calc!$E$589-500)))&amp;". ")&amp;IF(LEN(IF(LEN(INDEX('Vendor COIs'!$D$4:$D$503,(_calc!$E$589-500)))=0,"",INDEX('Vendor COIs'!$D$4:$D$503,(_calc!$E$589-500))))=0,"","Policy no.: "&amp;IF(LEN(INDEX('Vendor COIs'!$D$4:$D$503,(_calc!$E$589-500)))=0,"",INDEX('Vendor COIs'!$D$4:$D$503,(_calc!$E$589-500)))&amp;". ")&amp;IF(LEN(IF(LEN(INDEX('Vendor COIs'!$F$4:$F$503,(_calc!$E$589-500)))=0,"",INDEX('Vendor COIs'!$F$4:$F$503,(_calc!$E$589-500))))=0,"","Meets minimum: "&amp;IF(LEN(INDEX('Vendor COIs'!$F$4:$F$503,(_calc!$E$589-500)))=0,"",INDEX('Vendor COIs'!$F$4:$F$503,(_calc!$E$589-500)))&amp;". ")&amp;IF(LEN(IF(LEN(INDEX('Vendor COIs'!$G$4:$G$503,(_calc!$E$589-500)))=0,"",INDEX('Vendor COIs'!$G$4:$G$503,(_calc!$E$589-500))))=0,"","Additional insured: "&amp;IF(LEN(INDEX('Vendor COIs'!$G$4:$G$503,(_calc!$E$589-500)))=0,"",INDEX('Vendor COIs'!$G$4:$G$503,(_calc!$E$589-500)))&amp;". ")&amp;IF(LEN(IF(LEN(INDEX('Vendor COIs'!$M$4:$M$503,(_calc!$E$589-500)))=0,"",INDEX('Vendor COIs'!$M$4:$M$503,(_calc!$E$589-500))))=0,"","Vendor contact: "&amp;IF(LEN(INDEX('Vendor COIs'!$M$4:$M$503,(_calc!$E$589-500)))=0,"",INDEX('Vendor COIs'!$M$4:$M$503,(_calc!$E$589-500)))&amp;". ")&amp;IF(LEN(IF(LEN(INDEX('Vendor COIs'!$P$4:$P$503,(_calc!$E$589-500)))=0,"",INDEX('Vendor COIs'!$P$4:$P$503,(_calc!$E$589-500))))=0,"",IF(LEN(INDEX('Vendor COIs'!$P$4:$P$503,(_calc!$E$589-500)))=0,"",INDEX('Vendor COIs'!$P$4:$P$503,(_calc!$E$589-500)))))))</f>
        <v/>
      </c>
      <c r="G587" s="46">
        <f>IF(_calc!$E$589="","",IF(_calc!$E$589&lt;=500,IF(LEN(INDEX('Our policies'!$R$4:$R$503,_calc!$E$589))=0,"",INDEX('Our policies'!$R$4:$R$503,_calc!$E$589)),IF(LEN(INDEX('Vendor COIs'!$O$4:$O$503,(_calc!$E$589-500)))=0,"",INDEX('Vendor COIs'!$O$4:$O$503,(_calc!$E$589-500)))))</f>
        <v/>
      </c>
      <c r="H587" s="46">
        <f>IF(_calc!$E$589="","",IF(_calc!$E$589&lt;=500,IF(LEN(INDEX('Our policies'!$G$4:$G$503,_calc!$E$589))=0,"",INDEX('Our policies'!$G$4:$G$503,_calc!$E$589)),""))</f>
        <v/>
      </c>
      <c r="I587" s="46">
        <f>IF(_calc!$E$589="","",IF(_calc!$E$589&lt;=500,IF(LEN(INDEX('Our policies'!$H$4:$H$503,_calc!$E$589))=0,"",INDEX('Our policies'!$H$4:$H$503,_calc!$E$589)),""))</f>
        <v/>
      </c>
      <c r="K587" s="46">
        <f>IF(_calc!$E$589="","",IF(_calc!$E$589&lt;=500,IF(LEN(INDEX('Our policies'!$P$4:$P$503,_calc!$E$589))=0,"",INDEX('Our policies'!$P$4:$P$503,_calc!$E$589)),IF(LEN(INDEX('Vendor COIs'!$N$4:$N$503,(_calc!$E$589-500)))=0,"",INDEX('Vendor COIs'!$N$4:$N$503,(_calc!$E$589-500)))))</f>
        <v/>
      </c>
    </row>
    <row r="588">
      <c r="A588" s="46">
        <f>IF(_calc!$E$590="","",IF(_calc!$E$590&lt;=500,IF(LEN(INDEX('Our policies'!$A$4:$A$503,_calc!$E$590))=0,"",INDEX('Our policies'!$A$4:$A$503,_calc!$E$590)),"COI – "&amp;IF(LEN(INDEX('Vendor COIs'!$A$4:$A$503,(_calc!$E$590-500)))=0,"",INDEX('Vendor COIs'!$A$4:$A$503,(_calc!$E$590-500)))&amp;" – "&amp;IF(LEN(INDEX('Vendor COIs'!$B$4:$B$503,(_calc!$E$590-500)))=0,"",INDEX('Vendor COIs'!$B$4:$B$503,(_calc!$E$590-500)))))</f>
        <v/>
      </c>
      <c r="B588" s="46">
        <f>IF(_calc!$E$590="","",IF(_calc!$E$590&lt;=500,IF(ISNUMBER(INDEX('Our policies'!$J$4:$J$503,_calc!$E$590)),TEXT(INDEX('Our policies'!$J$4:$J$503,_calc!$E$590),"yyyy-mm-dd"),""),IF(ISNUMBER(INDEX('Vendor COIs'!$H$4:$H$503,(_calc!$E$590-500))),TEXT(INDEX('Vendor COIs'!$H$4:$H$503,(_calc!$E$590-500)),"yyyy-mm-dd"),"")))</f>
        <v/>
      </c>
      <c r="C588" s="46">
        <f>IF(_calc!$E$590="","",IF(_calc!$E$590&lt;=500,"Insurance","Certificate of insurance"))</f>
        <v/>
      </c>
      <c r="D588" s="46">
        <f>IF(_calc!$E$590="","",IF(_calc!$E$590&lt;=500,IF(ISNUMBER(INDEX('Our policies'!$I$4:$I$503,_calc!$E$590)),TEXT(INDEX('Our policies'!$I$4:$I$503,_calc!$E$590),"yyyy-mm-dd"),""),""))</f>
        <v/>
      </c>
      <c r="E588" s="46">
        <f>IF(_calc!$E$590="","",IF(_calc!$E$590&lt;=500,IF(LEN(INDEX('Our policies'!$Q$4:$Q$503,_calc!$E$590))=0,"",INDEX('Our policies'!$Q$4:$Q$503,_calc!$E$590)),"Medium"))</f>
        <v/>
      </c>
      <c r="F588" s="46">
        <f>IF(_calc!$E$590="","",IF(_calc!$E$590&lt;=500,TRIM(IF(LEN(IF(LEN(INDEX('Our policies'!$B$4:$B$503,_calc!$E$590))=0,"",INDEX('Our policies'!$B$4:$B$503,_calc!$E$590)))=0,"","Cover: "&amp;IF(LEN(INDEX('Our policies'!$B$4:$B$503,_calc!$E$590))=0,"",INDEX('Our policies'!$B$4:$B$503,_calc!$E$590))&amp;". ")&amp;IF(LEN(IF(LEN(INDEX('Our policies'!$C$4:$C$503,_calc!$E$590))=0,"",INDEX('Our policies'!$C$4:$C$503,_calc!$E$590)))=0,"","Insurer: "&amp;IF(LEN(INDEX('Our policies'!$C$4:$C$503,_calc!$E$590))=0,"",INDEX('Our policies'!$C$4:$C$503,_calc!$E$590))&amp;". ")&amp;IF(LEN(IF(LEN(INDEX('Our policies'!$D$4:$D$503,_calc!$E$590))=0,"",INDEX('Our policies'!$D$4:$D$503,_calc!$E$590)))=0,"","Broker: "&amp;IF(LEN(INDEX('Our policies'!$D$4:$D$503,_calc!$E$590))=0,"",INDEX('Our policies'!$D$4:$D$503,_calc!$E$590))&amp;". ")&amp;IF(LEN(IF(LEN(INDEX('Our policies'!$E$4:$E$503,_calc!$E$590))=0,"",INDEX('Our policies'!$E$4:$E$503,_calc!$E$590)))=0,"","Policy no.: "&amp;IF(LEN(INDEX('Our policies'!$E$4:$E$503,_calc!$E$590))=0,"",INDEX('Our policies'!$E$4:$E$503,_calc!$E$590))&amp;". ")&amp;IF(LEN(IF(LEN(INDEX('Our policies'!$S$4:$S$503,_calc!$E$590))=0,"",INDEX('Our policies'!$S$4:$S$503,_calc!$E$590)))=0,"",IF(LEN(INDEX('Our policies'!$S$4:$S$503,_calc!$E$590))=0,"",INDEX('Our policies'!$S$4:$S$503,_calc!$E$590)))),TRIM(IF(LEN(IF(LEN(INDEX('Vendor COIs'!$C$4:$C$503,(_calc!$E$590-500)))=0,"",INDEX('Vendor COIs'!$C$4:$C$503,(_calc!$E$590-500))))=0,"","Insurer: "&amp;IF(LEN(INDEX('Vendor COIs'!$C$4:$C$503,(_calc!$E$590-500)))=0,"",INDEX('Vendor COIs'!$C$4:$C$503,(_calc!$E$590-500)))&amp;". ")&amp;IF(LEN(IF(LEN(INDEX('Vendor COIs'!$D$4:$D$503,(_calc!$E$590-500)))=0,"",INDEX('Vendor COIs'!$D$4:$D$503,(_calc!$E$590-500))))=0,"","Policy no.: "&amp;IF(LEN(INDEX('Vendor COIs'!$D$4:$D$503,(_calc!$E$590-500)))=0,"",INDEX('Vendor COIs'!$D$4:$D$503,(_calc!$E$590-500)))&amp;". ")&amp;IF(LEN(IF(LEN(INDEX('Vendor COIs'!$F$4:$F$503,(_calc!$E$590-500)))=0,"",INDEX('Vendor COIs'!$F$4:$F$503,(_calc!$E$590-500))))=0,"","Meets minimum: "&amp;IF(LEN(INDEX('Vendor COIs'!$F$4:$F$503,(_calc!$E$590-500)))=0,"",INDEX('Vendor COIs'!$F$4:$F$503,(_calc!$E$590-500)))&amp;". ")&amp;IF(LEN(IF(LEN(INDEX('Vendor COIs'!$G$4:$G$503,(_calc!$E$590-500)))=0,"",INDEX('Vendor COIs'!$G$4:$G$503,(_calc!$E$590-500))))=0,"","Additional insured: "&amp;IF(LEN(INDEX('Vendor COIs'!$G$4:$G$503,(_calc!$E$590-500)))=0,"",INDEX('Vendor COIs'!$G$4:$G$503,(_calc!$E$590-500)))&amp;". ")&amp;IF(LEN(IF(LEN(INDEX('Vendor COIs'!$M$4:$M$503,(_calc!$E$590-500)))=0,"",INDEX('Vendor COIs'!$M$4:$M$503,(_calc!$E$590-500))))=0,"","Vendor contact: "&amp;IF(LEN(INDEX('Vendor COIs'!$M$4:$M$503,(_calc!$E$590-500)))=0,"",INDEX('Vendor COIs'!$M$4:$M$503,(_calc!$E$590-500)))&amp;". ")&amp;IF(LEN(IF(LEN(INDEX('Vendor COIs'!$P$4:$P$503,(_calc!$E$590-500)))=0,"",INDEX('Vendor COIs'!$P$4:$P$503,(_calc!$E$590-500))))=0,"",IF(LEN(INDEX('Vendor COIs'!$P$4:$P$503,(_calc!$E$590-500)))=0,"",INDEX('Vendor COIs'!$P$4:$P$503,(_calc!$E$590-500)))))))</f>
        <v/>
      </c>
      <c r="G588" s="46">
        <f>IF(_calc!$E$590="","",IF(_calc!$E$590&lt;=500,IF(LEN(INDEX('Our policies'!$R$4:$R$503,_calc!$E$590))=0,"",INDEX('Our policies'!$R$4:$R$503,_calc!$E$590)),IF(LEN(INDEX('Vendor COIs'!$O$4:$O$503,(_calc!$E$590-500)))=0,"",INDEX('Vendor COIs'!$O$4:$O$503,(_calc!$E$590-500)))))</f>
        <v/>
      </c>
      <c r="H588" s="46">
        <f>IF(_calc!$E$590="","",IF(_calc!$E$590&lt;=500,IF(LEN(INDEX('Our policies'!$G$4:$G$503,_calc!$E$590))=0,"",INDEX('Our policies'!$G$4:$G$503,_calc!$E$590)),""))</f>
        <v/>
      </c>
      <c r="I588" s="46">
        <f>IF(_calc!$E$590="","",IF(_calc!$E$590&lt;=500,IF(LEN(INDEX('Our policies'!$H$4:$H$503,_calc!$E$590))=0,"",INDEX('Our policies'!$H$4:$H$503,_calc!$E$590)),""))</f>
        <v/>
      </c>
      <c r="K588" s="46">
        <f>IF(_calc!$E$590="","",IF(_calc!$E$590&lt;=500,IF(LEN(INDEX('Our policies'!$P$4:$P$503,_calc!$E$590))=0,"",INDEX('Our policies'!$P$4:$P$503,_calc!$E$590)),IF(LEN(INDEX('Vendor COIs'!$N$4:$N$503,(_calc!$E$590-500)))=0,"",INDEX('Vendor COIs'!$N$4:$N$503,(_calc!$E$590-500)))))</f>
        <v/>
      </c>
    </row>
    <row r="589">
      <c r="A589" s="46">
        <f>IF(_calc!$E$591="","",IF(_calc!$E$591&lt;=500,IF(LEN(INDEX('Our policies'!$A$4:$A$503,_calc!$E$591))=0,"",INDEX('Our policies'!$A$4:$A$503,_calc!$E$591)),"COI – "&amp;IF(LEN(INDEX('Vendor COIs'!$A$4:$A$503,(_calc!$E$591-500)))=0,"",INDEX('Vendor COIs'!$A$4:$A$503,(_calc!$E$591-500)))&amp;" – "&amp;IF(LEN(INDEX('Vendor COIs'!$B$4:$B$503,(_calc!$E$591-500)))=0,"",INDEX('Vendor COIs'!$B$4:$B$503,(_calc!$E$591-500)))))</f>
        <v/>
      </c>
      <c r="B589" s="46">
        <f>IF(_calc!$E$591="","",IF(_calc!$E$591&lt;=500,IF(ISNUMBER(INDEX('Our policies'!$J$4:$J$503,_calc!$E$591)),TEXT(INDEX('Our policies'!$J$4:$J$503,_calc!$E$591),"yyyy-mm-dd"),""),IF(ISNUMBER(INDEX('Vendor COIs'!$H$4:$H$503,(_calc!$E$591-500))),TEXT(INDEX('Vendor COIs'!$H$4:$H$503,(_calc!$E$591-500)),"yyyy-mm-dd"),"")))</f>
        <v/>
      </c>
      <c r="C589" s="46">
        <f>IF(_calc!$E$591="","",IF(_calc!$E$591&lt;=500,"Insurance","Certificate of insurance"))</f>
        <v/>
      </c>
      <c r="D589" s="46">
        <f>IF(_calc!$E$591="","",IF(_calc!$E$591&lt;=500,IF(ISNUMBER(INDEX('Our policies'!$I$4:$I$503,_calc!$E$591)),TEXT(INDEX('Our policies'!$I$4:$I$503,_calc!$E$591),"yyyy-mm-dd"),""),""))</f>
        <v/>
      </c>
      <c r="E589" s="46">
        <f>IF(_calc!$E$591="","",IF(_calc!$E$591&lt;=500,IF(LEN(INDEX('Our policies'!$Q$4:$Q$503,_calc!$E$591))=0,"",INDEX('Our policies'!$Q$4:$Q$503,_calc!$E$591)),"Medium"))</f>
        <v/>
      </c>
      <c r="F589" s="46">
        <f>IF(_calc!$E$591="","",IF(_calc!$E$591&lt;=500,TRIM(IF(LEN(IF(LEN(INDEX('Our policies'!$B$4:$B$503,_calc!$E$591))=0,"",INDEX('Our policies'!$B$4:$B$503,_calc!$E$591)))=0,"","Cover: "&amp;IF(LEN(INDEX('Our policies'!$B$4:$B$503,_calc!$E$591))=0,"",INDEX('Our policies'!$B$4:$B$503,_calc!$E$591))&amp;". ")&amp;IF(LEN(IF(LEN(INDEX('Our policies'!$C$4:$C$503,_calc!$E$591))=0,"",INDEX('Our policies'!$C$4:$C$503,_calc!$E$591)))=0,"","Insurer: "&amp;IF(LEN(INDEX('Our policies'!$C$4:$C$503,_calc!$E$591))=0,"",INDEX('Our policies'!$C$4:$C$503,_calc!$E$591))&amp;". ")&amp;IF(LEN(IF(LEN(INDEX('Our policies'!$D$4:$D$503,_calc!$E$591))=0,"",INDEX('Our policies'!$D$4:$D$503,_calc!$E$591)))=0,"","Broker: "&amp;IF(LEN(INDEX('Our policies'!$D$4:$D$503,_calc!$E$591))=0,"",INDEX('Our policies'!$D$4:$D$503,_calc!$E$591))&amp;". ")&amp;IF(LEN(IF(LEN(INDEX('Our policies'!$E$4:$E$503,_calc!$E$591))=0,"",INDEX('Our policies'!$E$4:$E$503,_calc!$E$591)))=0,"","Policy no.: "&amp;IF(LEN(INDEX('Our policies'!$E$4:$E$503,_calc!$E$591))=0,"",INDEX('Our policies'!$E$4:$E$503,_calc!$E$591))&amp;". ")&amp;IF(LEN(IF(LEN(INDEX('Our policies'!$S$4:$S$503,_calc!$E$591))=0,"",INDEX('Our policies'!$S$4:$S$503,_calc!$E$591)))=0,"",IF(LEN(INDEX('Our policies'!$S$4:$S$503,_calc!$E$591))=0,"",INDEX('Our policies'!$S$4:$S$503,_calc!$E$591)))),TRIM(IF(LEN(IF(LEN(INDEX('Vendor COIs'!$C$4:$C$503,(_calc!$E$591-500)))=0,"",INDEX('Vendor COIs'!$C$4:$C$503,(_calc!$E$591-500))))=0,"","Insurer: "&amp;IF(LEN(INDEX('Vendor COIs'!$C$4:$C$503,(_calc!$E$591-500)))=0,"",INDEX('Vendor COIs'!$C$4:$C$503,(_calc!$E$591-500)))&amp;". ")&amp;IF(LEN(IF(LEN(INDEX('Vendor COIs'!$D$4:$D$503,(_calc!$E$591-500)))=0,"",INDEX('Vendor COIs'!$D$4:$D$503,(_calc!$E$591-500))))=0,"","Policy no.: "&amp;IF(LEN(INDEX('Vendor COIs'!$D$4:$D$503,(_calc!$E$591-500)))=0,"",INDEX('Vendor COIs'!$D$4:$D$503,(_calc!$E$591-500)))&amp;". ")&amp;IF(LEN(IF(LEN(INDEX('Vendor COIs'!$F$4:$F$503,(_calc!$E$591-500)))=0,"",INDEX('Vendor COIs'!$F$4:$F$503,(_calc!$E$591-500))))=0,"","Meets minimum: "&amp;IF(LEN(INDEX('Vendor COIs'!$F$4:$F$503,(_calc!$E$591-500)))=0,"",INDEX('Vendor COIs'!$F$4:$F$503,(_calc!$E$591-500)))&amp;". ")&amp;IF(LEN(IF(LEN(INDEX('Vendor COIs'!$G$4:$G$503,(_calc!$E$591-500)))=0,"",INDEX('Vendor COIs'!$G$4:$G$503,(_calc!$E$591-500))))=0,"","Additional insured: "&amp;IF(LEN(INDEX('Vendor COIs'!$G$4:$G$503,(_calc!$E$591-500)))=0,"",INDEX('Vendor COIs'!$G$4:$G$503,(_calc!$E$591-500)))&amp;". ")&amp;IF(LEN(IF(LEN(INDEX('Vendor COIs'!$M$4:$M$503,(_calc!$E$591-500)))=0,"",INDEX('Vendor COIs'!$M$4:$M$503,(_calc!$E$591-500))))=0,"","Vendor contact: "&amp;IF(LEN(INDEX('Vendor COIs'!$M$4:$M$503,(_calc!$E$591-500)))=0,"",INDEX('Vendor COIs'!$M$4:$M$503,(_calc!$E$591-500)))&amp;". ")&amp;IF(LEN(IF(LEN(INDEX('Vendor COIs'!$P$4:$P$503,(_calc!$E$591-500)))=0,"",INDEX('Vendor COIs'!$P$4:$P$503,(_calc!$E$591-500))))=0,"",IF(LEN(INDEX('Vendor COIs'!$P$4:$P$503,(_calc!$E$591-500)))=0,"",INDEX('Vendor COIs'!$P$4:$P$503,(_calc!$E$591-500)))))))</f>
        <v/>
      </c>
      <c r="G589" s="46">
        <f>IF(_calc!$E$591="","",IF(_calc!$E$591&lt;=500,IF(LEN(INDEX('Our policies'!$R$4:$R$503,_calc!$E$591))=0,"",INDEX('Our policies'!$R$4:$R$503,_calc!$E$591)),IF(LEN(INDEX('Vendor COIs'!$O$4:$O$503,(_calc!$E$591-500)))=0,"",INDEX('Vendor COIs'!$O$4:$O$503,(_calc!$E$591-500)))))</f>
        <v/>
      </c>
      <c r="H589" s="46">
        <f>IF(_calc!$E$591="","",IF(_calc!$E$591&lt;=500,IF(LEN(INDEX('Our policies'!$G$4:$G$503,_calc!$E$591))=0,"",INDEX('Our policies'!$G$4:$G$503,_calc!$E$591)),""))</f>
        <v/>
      </c>
      <c r="I589" s="46">
        <f>IF(_calc!$E$591="","",IF(_calc!$E$591&lt;=500,IF(LEN(INDEX('Our policies'!$H$4:$H$503,_calc!$E$591))=0,"",INDEX('Our policies'!$H$4:$H$503,_calc!$E$591)),""))</f>
        <v/>
      </c>
      <c r="K589" s="46">
        <f>IF(_calc!$E$591="","",IF(_calc!$E$591&lt;=500,IF(LEN(INDEX('Our policies'!$P$4:$P$503,_calc!$E$591))=0,"",INDEX('Our policies'!$P$4:$P$503,_calc!$E$591)),IF(LEN(INDEX('Vendor COIs'!$N$4:$N$503,(_calc!$E$591-500)))=0,"",INDEX('Vendor COIs'!$N$4:$N$503,(_calc!$E$591-500)))))</f>
        <v/>
      </c>
    </row>
    <row r="590">
      <c r="A590" s="46">
        <f>IF(_calc!$E$592="","",IF(_calc!$E$592&lt;=500,IF(LEN(INDEX('Our policies'!$A$4:$A$503,_calc!$E$592))=0,"",INDEX('Our policies'!$A$4:$A$503,_calc!$E$592)),"COI – "&amp;IF(LEN(INDEX('Vendor COIs'!$A$4:$A$503,(_calc!$E$592-500)))=0,"",INDEX('Vendor COIs'!$A$4:$A$503,(_calc!$E$592-500)))&amp;" – "&amp;IF(LEN(INDEX('Vendor COIs'!$B$4:$B$503,(_calc!$E$592-500)))=0,"",INDEX('Vendor COIs'!$B$4:$B$503,(_calc!$E$592-500)))))</f>
        <v/>
      </c>
      <c r="B590" s="46">
        <f>IF(_calc!$E$592="","",IF(_calc!$E$592&lt;=500,IF(ISNUMBER(INDEX('Our policies'!$J$4:$J$503,_calc!$E$592)),TEXT(INDEX('Our policies'!$J$4:$J$503,_calc!$E$592),"yyyy-mm-dd"),""),IF(ISNUMBER(INDEX('Vendor COIs'!$H$4:$H$503,(_calc!$E$592-500))),TEXT(INDEX('Vendor COIs'!$H$4:$H$503,(_calc!$E$592-500)),"yyyy-mm-dd"),"")))</f>
        <v/>
      </c>
      <c r="C590" s="46">
        <f>IF(_calc!$E$592="","",IF(_calc!$E$592&lt;=500,"Insurance","Certificate of insurance"))</f>
        <v/>
      </c>
      <c r="D590" s="46">
        <f>IF(_calc!$E$592="","",IF(_calc!$E$592&lt;=500,IF(ISNUMBER(INDEX('Our policies'!$I$4:$I$503,_calc!$E$592)),TEXT(INDEX('Our policies'!$I$4:$I$503,_calc!$E$592),"yyyy-mm-dd"),""),""))</f>
        <v/>
      </c>
      <c r="E590" s="46">
        <f>IF(_calc!$E$592="","",IF(_calc!$E$592&lt;=500,IF(LEN(INDEX('Our policies'!$Q$4:$Q$503,_calc!$E$592))=0,"",INDEX('Our policies'!$Q$4:$Q$503,_calc!$E$592)),"Medium"))</f>
        <v/>
      </c>
      <c r="F590" s="46">
        <f>IF(_calc!$E$592="","",IF(_calc!$E$592&lt;=500,TRIM(IF(LEN(IF(LEN(INDEX('Our policies'!$B$4:$B$503,_calc!$E$592))=0,"",INDEX('Our policies'!$B$4:$B$503,_calc!$E$592)))=0,"","Cover: "&amp;IF(LEN(INDEX('Our policies'!$B$4:$B$503,_calc!$E$592))=0,"",INDEX('Our policies'!$B$4:$B$503,_calc!$E$592))&amp;". ")&amp;IF(LEN(IF(LEN(INDEX('Our policies'!$C$4:$C$503,_calc!$E$592))=0,"",INDEX('Our policies'!$C$4:$C$503,_calc!$E$592)))=0,"","Insurer: "&amp;IF(LEN(INDEX('Our policies'!$C$4:$C$503,_calc!$E$592))=0,"",INDEX('Our policies'!$C$4:$C$503,_calc!$E$592))&amp;". ")&amp;IF(LEN(IF(LEN(INDEX('Our policies'!$D$4:$D$503,_calc!$E$592))=0,"",INDEX('Our policies'!$D$4:$D$503,_calc!$E$592)))=0,"","Broker: "&amp;IF(LEN(INDEX('Our policies'!$D$4:$D$503,_calc!$E$592))=0,"",INDEX('Our policies'!$D$4:$D$503,_calc!$E$592))&amp;". ")&amp;IF(LEN(IF(LEN(INDEX('Our policies'!$E$4:$E$503,_calc!$E$592))=0,"",INDEX('Our policies'!$E$4:$E$503,_calc!$E$592)))=0,"","Policy no.: "&amp;IF(LEN(INDEX('Our policies'!$E$4:$E$503,_calc!$E$592))=0,"",INDEX('Our policies'!$E$4:$E$503,_calc!$E$592))&amp;". ")&amp;IF(LEN(IF(LEN(INDEX('Our policies'!$S$4:$S$503,_calc!$E$592))=0,"",INDEX('Our policies'!$S$4:$S$503,_calc!$E$592)))=0,"",IF(LEN(INDEX('Our policies'!$S$4:$S$503,_calc!$E$592))=0,"",INDEX('Our policies'!$S$4:$S$503,_calc!$E$592)))),TRIM(IF(LEN(IF(LEN(INDEX('Vendor COIs'!$C$4:$C$503,(_calc!$E$592-500)))=0,"",INDEX('Vendor COIs'!$C$4:$C$503,(_calc!$E$592-500))))=0,"","Insurer: "&amp;IF(LEN(INDEX('Vendor COIs'!$C$4:$C$503,(_calc!$E$592-500)))=0,"",INDEX('Vendor COIs'!$C$4:$C$503,(_calc!$E$592-500)))&amp;". ")&amp;IF(LEN(IF(LEN(INDEX('Vendor COIs'!$D$4:$D$503,(_calc!$E$592-500)))=0,"",INDEX('Vendor COIs'!$D$4:$D$503,(_calc!$E$592-500))))=0,"","Policy no.: "&amp;IF(LEN(INDEX('Vendor COIs'!$D$4:$D$503,(_calc!$E$592-500)))=0,"",INDEX('Vendor COIs'!$D$4:$D$503,(_calc!$E$592-500)))&amp;". ")&amp;IF(LEN(IF(LEN(INDEX('Vendor COIs'!$F$4:$F$503,(_calc!$E$592-500)))=0,"",INDEX('Vendor COIs'!$F$4:$F$503,(_calc!$E$592-500))))=0,"","Meets minimum: "&amp;IF(LEN(INDEX('Vendor COIs'!$F$4:$F$503,(_calc!$E$592-500)))=0,"",INDEX('Vendor COIs'!$F$4:$F$503,(_calc!$E$592-500)))&amp;". ")&amp;IF(LEN(IF(LEN(INDEX('Vendor COIs'!$G$4:$G$503,(_calc!$E$592-500)))=0,"",INDEX('Vendor COIs'!$G$4:$G$503,(_calc!$E$592-500))))=0,"","Additional insured: "&amp;IF(LEN(INDEX('Vendor COIs'!$G$4:$G$503,(_calc!$E$592-500)))=0,"",INDEX('Vendor COIs'!$G$4:$G$503,(_calc!$E$592-500)))&amp;". ")&amp;IF(LEN(IF(LEN(INDEX('Vendor COIs'!$M$4:$M$503,(_calc!$E$592-500)))=0,"",INDEX('Vendor COIs'!$M$4:$M$503,(_calc!$E$592-500))))=0,"","Vendor contact: "&amp;IF(LEN(INDEX('Vendor COIs'!$M$4:$M$503,(_calc!$E$592-500)))=0,"",INDEX('Vendor COIs'!$M$4:$M$503,(_calc!$E$592-500)))&amp;". ")&amp;IF(LEN(IF(LEN(INDEX('Vendor COIs'!$P$4:$P$503,(_calc!$E$592-500)))=0,"",INDEX('Vendor COIs'!$P$4:$P$503,(_calc!$E$592-500))))=0,"",IF(LEN(INDEX('Vendor COIs'!$P$4:$P$503,(_calc!$E$592-500)))=0,"",INDEX('Vendor COIs'!$P$4:$P$503,(_calc!$E$592-500)))))))</f>
        <v/>
      </c>
      <c r="G590" s="46">
        <f>IF(_calc!$E$592="","",IF(_calc!$E$592&lt;=500,IF(LEN(INDEX('Our policies'!$R$4:$R$503,_calc!$E$592))=0,"",INDEX('Our policies'!$R$4:$R$503,_calc!$E$592)),IF(LEN(INDEX('Vendor COIs'!$O$4:$O$503,(_calc!$E$592-500)))=0,"",INDEX('Vendor COIs'!$O$4:$O$503,(_calc!$E$592-500)))))</f>
        <v/>
      </c>
      <c r="H590" s="46">
        <f>IF(_calc!$E$592="","",IF(_calc!$E$592&lt;=500,IF(LEN(INDEX('Our policies'!$G$4:$G$503,_calc!$E$592))=0,"",INDEX('Our policies'!$G$4:$G$503,_calc!$E$592)),""))</f>
        <v/>
      </c>
      <c r="I590" s="46">
        <f>IF(_calc!$E$592="","",IF(_calc!$E$592&lt;=500,IF(LEN(INDEX('Our policies'!$H$4:$H$503,_calc!$E$592))=0,"",INDEX('Our policies'!$H$4:$H$503,_calc!$E$592)),""))</f>
        <v/>
      </c>
      <c r="K590" s="46">
        <f>IF(_calc!$E$592="","",IF(_calc!$E$592&lt;=500,IF(LEN(INDEX('Our policies'!$P$4:$P$503,_calc!$E$592))=0,"",INDEX('Our policies'!$P$4:$P$503,_calc!$E$592)),IF(LEN(INDEX('Vendor COIs'!$N$4:$N$503,(_calc!$E$592-500)))=0,"",INDEX('Vendor COIs'!$N$4:$N$503,(_calc!$E$592-500)))))</f>
        <v/>
      </c>
    </row>
    <row r="591">
      <c r="A591" s="46">
        <f>IF(_calc!$E$593="","",IF(_calc!$E$593&lt;=500,IF(LEN(INDEX('Our policies'!$A$4:$A$503,_calc!$E$593))=0,"",INDEX('Our policies'!$A$4:$A$503,_calc!$E$593)),"COI – "&amp;IF(LEN(INDEX('Vendor COIs'!$A$4:$A$503,(_calc!$E$593-500)))=0,"",INDEX('Vendor COIs'!$A$4:$A$503,(_calc!$E$593-500)))&amp;" – "&amp;IF(LEN(INDEX('Vendor COIs'!$B$4:$B$503,(_calc!$E$593-500)))=0,"",INDEX('Vendor COIs'!$B$4:$B$503,(_calc!$E$593-500)))))</f>
        <v/>
      </c>
      <c r="B591" s="46">
        <f>IF(_calc!$E$593="","",IF(_calc!$E$593&lt;=500,IF(ISNUMBER(INDEX('Our policies'!$J$4:$J$503,_calc!$E$593)),TEXT(INDEX('Our policies'!$J$4:$J$503,_calc!$E$593),"yyyy-mm-dd"),""),IF(ISNUMBER(INDEX('Vendor COIs'!$H$4:$H$503,(_calc!$E$593-500))),TEXT(INDEX('Vendor COIs'!$H$4:$H$503,(_calc!$E$593-500)),"yyyy-mm-dd"),"")))</f>
        <v/>
      </c>
      <c r="C591" s="46">
        <f>IF(_calc!$E$593="","",IF(_calc!$E$593&lt;=500,"Insurance","Certificate of insurance"))</f>
        <v/>
      </c>
      <c r="D591" s="46">
        <f>IF(_calc!$E$593="","",IF(_calc!$E$593&lt;=500,IF(ISNUMBER(INDEX('Our policies'!$I$4:$I$503,_calc!$E$593)),TEXT(INDEX('Our policies'!$I$4:$I$503,_calc!$E$593),"yyyy-mm-dd"),""),""))</f>
        <v/>
      </c>
      <c r="E591" s="46">
        <f>IF(_calc!$E$593="","",IF(_calc!$E$593&lt;=500,IF(LEN(INDEX('Our policies'!$Q$4:$Q$503,_calc!$E$593))=0,"",INDEX('Our policies'!$Q$4:$Q$503,_calc!$E$593)),"Medium"))</f>
        <v/>
      </c>
      <c r="F591" s="46">
        <f>IF(_calc!$E$593="","",IF(_calc!$E$593&lt;=500,TRIM(IF(LEN(IF(LEN(INDEX('Our policies'!$B$4:$B$503,_calc!$E$593))=0,"",INDEX('Our policies'!$B$4:$B$503,_calc!$E$593)))=0,"","Cover: "&amp;IF(LEN(INDEX('Our policies'!$B$4:$B$503,_calc!$E$593))=0,"",INDEX('Our policies'!$B$4:$B$503,_calc!$E$593))&amp;". ")&amp;IF(LEN(IF(LEN(INDEX('Our policies'!$C$4:$C$503,_calc!$E$593))=0,"",INDEX('Our policies'!$C$4:$C$503,_calc!$E$593)))=0,"","Insurer: "&amp;IF(LEN(INDEX('Our policies'!$C$4:$C$503,_calc!$E$593))=0,"",INDEX('Our policies'!$C$4:$C$503,_calc!$E$593))&amp;". ")&amp;IF(LEN(IF(LEN(INDEX('Our policies'!$D$4:$D$503,_calc!$E$593))=0,"",INDEX('Our policies'!$D$4:$D$503,_calc!$E$593)))=0,"","Broker: "&amp;IF(LEN(INDEX('Our policies'!$D$4:$D$503,_calc!$E$593))=0,"",INDEX('Our policies'!$D$4:$D$503,_calc!$E$593))&amp;". ")&amp;IF(LEN(IF(LEN(INDEX('Our policies'!$E$4:$E$503,_calc!$E$593))=0,"",INDEX('Our policies'!$E$4:$E$503,_calc!$E$593)))=0,"","Policy no.: "&amp;IF(LEN(INDEX('Our policies'!$E$4:$E$503,_calc!$E$593))=0,"",INDEX('Our policies'!$E$4:$E$503,_calc!$E$593))&amp;". ")&amp;IF(LEN(IF(LEN(INDEX('Our policies'!$S$4:$S$503,_calc!$E$593))=0,"",INDEX('Our policies'!$S$4:$S$503,_calc!$E$593)))=0,"",IF(LEN(INDEX('Our policies'!$S$4:$S$503,_calc!$E$593))=0,"",INDEX('Our policies'!$S$4:$S$503,_calc!$E$593)))),TRIM(IF(LEN(IF(LEN(INDEX('Vendor COIs'!$C$4:$C$503,(_calc!$E$593-500)))=0,"",INDEX('Vendor COIs'!$C$4:$C$503,(_calc!$E$593-500))))=0,"","Insurer: "&amp;IF(LEN(INDEX('Vendor COIs'!$C$4:$C$503,(_calc!$E$593-500)))=0,"",INDEX('Vendor COIs'!$C$4:$C$503,(_calc!$E$593-500)))&amp;". ")&amp;IF(LEN(IF(LEN(INDEX('Vendor COIs'!$D$4:$D$503,(_calc!$E$593-500)))=0,"",INDEX('Vendor COIs'!$D$4:$D$503,(_calc!$E$593-500))))=0,"","Policy no.: "&amp;IF(LEN(INDEX('Vendor COIs'!$D$4:$D$503,(_calc!$E$593-500)))=0,"",INDEX('Vendor COIs'!$D$4:$D$503,(_calc!$E$593-500)))&amp;". ")&amp;IF(LEN(IF(LEN(INDEX('Vendor COIs'!$F$4:$F$503,(_calc!$E$593-500)))=0,"",INDEX('Vendor COIs'!$F$4:$F$503,(_calc!$E$593-500))))=0,"","Meets minimum: "&amp;IF(LEN(INDEX('Vendor COIs'!$F$4:$F$503,(_calc!$E$593-500)))=0,"",INDEX('Vendor COIs'!$F$4:$F$503,(_calc!$E$593-500)))&amp;". ")&amp;IF(LEN(IF(LEN(INDEX('Vendor COIs'!$G$4:$G$503,(_calc!$E$593-500)))=0,"",INDEX('Vendor COIs'!$G$4:$G$503,(_calc!$E$593-500))))=0,"","Additional insured: "&amp;IF(LEN(INDEX('Vendor COIs'!$G$4:$G$503,(_calc!$E$593-500)))=0,"",INDEX('Vendor COIs'!$G$4:$G$503,(_calc!$E$593-500)))&amp;". ")&amp;IF(LEN(IF(LEN(INDEX('Vendor COIs'!$M$4:$M$503,(_calc!$E$593-500)))=0,"",INDEX('Vendor COIs'!$M$4:$M$503,(_calc!$E$593-500))))=0,"","Vendor contact: "&amp;IF(LEN(INDEX('Vendor COIs'!$M$4:$M$503,(_calc!$E$593-500)))=0,"",INDEX('Vendor COIs'!$M$4:$M$503,(_calc!$E$593-500)))&amp;". ")&amp;IF(LEN(IF(LEN(INDEX('Vendor COIs'!$P$4:$P$503,(_calc!$E$593-500)))=0,"",INDEX('Vendor COIs'!$P$4:$P$503,(_calc!$E$593-500))))=0,"",IF(LEN(INDEX('Vendor COIs'!$P$4:$P$503,(_calc!$E$593-500)))=0,"",INDEX('Vendor COIs'!$P$4:$P$503,(_calc!$E$593-500)))))))</f>
        <v/>
      </c>
      <c r="G591" s="46">
        <f>IF(_calc!$E$593="","",IF(_calc!$E$593&lt;=500,IF(LEN(INDEX('Our policies'!$R$4:$R$503,_calc!$E$593))=0,"",INDEX('Our policies'!$R$4:$R$503,_calc!$E$593)),IF(LEN(INDEX('Vendor COIs'!$O$4:$O$503,(_calc!$E$593-500)))=0,"",INDEX('Vendor COIs'!$O$4:$O$503,(_calc!$E$593-500)))))</f>
        <v/>
      </c>
      <c r="H591" s="46">
        <f>IF(_calc!$E$593="","",IF(_calc!$E$593&lt;=500,IF(LEN(INDEX('Our policies'!$G$4:$G$503,_calc!$E$593))=0,"",INDEX('Our policies'!$G$4:$G$503,_calc!$E$593)),""))</f>
        <v/>
      </c>
      <c r="I591" s="46">
        <f>IF(_calc!$E$593="","",IF(_calc!$E$593&lt;=500,IF(LEN(INDEX('Our policies'!$H$4:$H$503,_calc!$E$593))=0,"",INDEX('Our policies'!$H$4:$H$503,_calc!$E$593)),""))</f>
        <v/>
      </c>
      <c r="K591" s="46">
        <f>IF(_calc!$E$593="","",IF(_calc!$E$593&lt;=500,IF(LEN(INDEX('Our policies'!$P$4:$P$503,_calc!$E$593))=0,"",INDEX('Our policies'!$P$4:$P$503,_calc!$E$593)),IF(LEN(INDEX('Vendor COIs'!$N$4:$N$503,(_calc!$E$593-500)))=0,"",INDEX('Vendor COIs'!$N$4:$N$503,(_calc!$E$593-500)))))</f>
        <v/>
      </c>
    </row>
    <row r="592">
      <c r="A592" s="46">
        <f>IF(_calc!$E$594="","",IF(_calc!$E$594&lt;=500,IF(LEN(INDEX('Our policies'!$A$4:$A$503,_calc!$E$594))=0,"",INDEX('Our policies'!$A$4:$A$503,_calc!$E$594)),"COI – "&amp;IF(LEN(INDEX('Vendor COIs'!$A$4:$A$503,(_calc!$E$594-500)))=0,"",INDEX('Vendor COIs'!$A$4:$A$503,(_calc!$E$594-500)))&amp;" – "&amp;IF(LEN(INDEX('Vendor COIs'!$B$4:$B$503,(_calc!$E$594-500)))=0,"",INDEX('Vendor COIs'!$B$4:$B$503,(_calc!$E$594-500)))))</f>
        <v/>
      </c>
      <c r="B592" s="46">
        <f>IF(_calc!$E$594="","",IF(_calc!$E$594&lt;=500,IF(ISNUMBER(INDEX('Our policies'!$J$4:$J$503,_calc!$E$594)),TEXT(INDEX('Our policies'!$J$4:$J$503,_calc!$E$594),"yyyy-mm-dd"),""),IF(ISNUMBER(INDEX('Vendor COIs'!$H$4:$H$503,(_calc!$E$594-500))),TEXT(INDEX('Vendor COIs'!$H$4:$H$503,(_calc!$E$594-500)),"yyyy-mm-dd"),"")))</f>
        <v/>
      </c>
      <c r="C592" s="46">
        <f>IF(_calc!$E$594="","",IF(_calc!$E$594&lt;=500,"Insurance","Certificate of insurance"))</f>
        <v/>
      </c>
      <c r="D592" s="46">
        <f>IF(_calc!$E$594="","",IF(_calc!$E$594&lt;=500,IF(ISNUMBER(INDEX('Our policies'!$I$4:$I$503,_calc!$E$594)),TEXT(INDEX('Our policies'!$I$4:$I$503,_calc!$E$594),"yyyy-mm-dd"),""),""))</f>
        <v/>
      </c>
      <c r="E592" s="46">
        <f>IF(_calc!$E$594="","",IF(_calc!$E$594&lt;=500,IF(LEN(INDEX('Our policies'!$Q$4:$Q$503,_calc!$E$594))=0,"",INDEX('Our policies'!$Q$4:$Q$503,_calc!$E$594)),"Medium"))</f>
        <v/>
      </c>
      <c r="F592" s="46">
        <f>IF(_calc!$E$594="","",IF(_calc!$E$594&lt;=500,TRIM(IF(LEN(IF(LEN(INDEX('Our policies'!$B$4:$B$503,_calc!$E$594))=0,"",INDEX('Our policies'!$B$4:$B$503,_calc!$E$594)))=0,"","Cover: "&amp;IF(LEN(INDEX('Our policies'!$B$4:$B$503,_calc!$E$594))=0,"",INDEX('Our policies'!$B$4:$B$503,_calc!$E$594))&amp;". ")&amp;IF(LEN(IF(LEN(INDEX('Our policies'!$C$4:$C$503,_calc!$E$594))=0,"",INDEX('Our policies'!$C$4:$C$503,_calc!$E$594)))=0,"","Insurer: "&amp;IF(LEN(INDEX('Our policies'!$C$4:$C$503,_calc!$E$594))=0,"",INDEX('Our policies'!$C$4:$C$503,_calc!$E$594))&amp;". ")&amp;IF(LEN(IF(LEN(INDEX('Our policies'!$D$4:$D$503,_calc!$E$594))=0,"",INDEX('Our policies'!$D$4:$D$503,_calc!$E$594)))=0,"","Broker: "&amp;IF(LEN(INDEX('Our policies'!$D$4:$D$503,_calc!$E$594))=0,"",INDEX('Our policies'!$D$4:$D$503,_calc!$E$594))&amp;". ")&amp;IF(LEN(IF(LEN(INDEX('Our policies'!$E$4:$E$503,_calc!$E$594))=0,"",INDEX('Our policies'!$E$4:$E$503,_calc!$E$594)))=0,"","Policy no.: "&amp;IF(LEN(INDEX('Our policies'!$E$4:$E$503,_calc!$E$594))=0,"",INDEX('Our policies'!$E$4:$E$503,_calc!$E$594))&amp;". ")&amp;IF(LEN(IF(LEN(INDEX('Our policies'!$S$4:$S$503,_calc!$E$594))=0,"",INDEX('Our policies'!$S$4:$S$503,_calc!$E$594)))=0,"",IF(LEN(INDEX('Our policies'!$S$4:$S$503,_calc!$E$594))=0,"",INDEX('Our policies'!$S$4:$S$503,_calc!$E$594)))),TRIM(IF(LEN(IF(LEN(INDEX('Vendor COIs'!$C$4:$C$503,(_calc!$E$594-500)))=0,"",INDEX('Vendor COIs'!$C$4:$C$503,(_calc!$E$594-500))))=0,"","Insurer: "&amp;IF(LEN(INDEX('Vendor COIs'!$C$4:$C$503,(_calc!$E$594-500)))=0,"",INDEX('Vendor COIs'!$C$4:$C$503,(_calc!$E$594-500)))&amp;". ")&amp;IF(LEN(IF(LEN(INDEX('Vendor COIs'!$D$4:$D$503,(_calc!$E$594-500)))=0,"",INDEX('Vendor COIs'!$D$4:$D$503,(_calc!$E$594-500))))=0,"","Policy no.: "&amp;IF(LEN(INDEX('Vendor COIs'!$D$4:$D$503,(_calc!$E$594-500)))=0,"",INDEX('Vendor COIs'!$D$4:$D$503,(_calc!$E$594-500)))&amp;". ")&amp;IF(LEN(IF(LEN(INDEX('Vendor COIs'!$F$4:$F$503,(_calc!$E$594-500)))=0,"",INDEX('Vendor COIs'!$F$4:$F$503,(_calc!$E$594-500))))=0,"","Meets minimum: "&amp;IF(LEN(INDEX('Vendor COIs'!$F$4:$F$503,(_calc!$E$594-500)))=0,"",INDEX('Vendor COIs'!$F$4:$F$503,(_calc!$E$594-500)))&amp;". ")&amp;IF(LEN(IF(LEN(INDEX('Vendor COIs'!$G$4:$G$503,(_calc!$E$594-500)))=0,"",INDEX('Vendor COIs'!$G$4:$G$503,(_calc!$E$594-500))))=0,"","Additional insured: "&amp;IF(LEN(INDEX('Vendor COIs'!$G$4:$G$503,(_calc!$E$594-500)))=0,"",INDEX('Vendor COIs'!$G$4:$G$503,(_calc!$E$594-500)))&amp;". ")&amp;IF(LEN(IF(LEN(INDEX('Vendor COIs'!$M$4:$M$503,(_calc!$E$594-500)))=0,"",INDEX('Vendor COIs'!$M$4:$M$503,(_calc!$E$594-500))))=0,"","Vendor contact: "&amp;IF(LEN(INDEX('Vendor COIs'!$M$4:$M$503,(_calc!$E$594-500)))=0,"",INDEX('Vendor COIs'!$M$4:$M$503,(_calc!$E$594-500)))&amp;". ")&amp;IF(LEN(IF(LEN(INDEX('Vendor COIs'!$P$4:$P$503,(_calc!$E$594-500)))=0,"",INDEX('Vendor COIs'!$P$4:$P$503,(_calc!$E$594-500))))=0,"",IF(LEN(INDEX('Vendor COIs'!$P$4:$P$503,(_calc!$E$594-500)))=0,"",INDEX('Vendor COIs'!$P$4:$P$503,(_calc!$E$594-500)))))))</f>
        <v/>
      </c>
      <c r="G592" s="46">
        <f>IF(_calc!$E$594="","",IF(_calc!$E$594&lt;=500,IF(LEN(INDEX('Our policies'!$R$4:$R$503,_calc!$E$594))=0,"",INDEX('Our policies'!$R$4:$R$503,_calc!$E$594)),IF(LEN(INDEX('Vendor COIs'!$O$4:$O$503,(_calc!$E$594-500)))=0,"",INDEX('Vendor COIs'!$O$4:$O$503,(_calc!$E$594-500)))))</f>
        <v/>
      </c>
      <c r="H592" s="46">
        <f>IF(_calc!$E$594="","",IF(_calc!$E$594&lt;=500,IF(LEN(INDEX('Our policies'!$G$4:$G$503,_calc!$E$594))=0,"",INDEX('Our policies'!$G$4:$G$503,_calc!$E$594)),""))</f>
        <v/>
      </c>
      <c r="I592" s="46">
        <f>IF(_calc!$E$594="","",IF(_calc!$E$594&lt;=500,IF(LEN(INDEX('Our policies'!$H$4:$H$503,_calc!$E$594))=0,"",INDEX('Our policies'!$H$4:$H$503,_calc!$E$594)),""))</f>
        <v/>
      </c>
      <c r="K592" s="46">
        <f>IF(_calc!$E$594="","",IF(_calc!$E$594&lt;=500,IF(LEN(INDEX('Our policies'!$P$4:$P$503,_calc!$E$594))=0,"",INDEX('Our policies'!$P$4:$P$503,_calc!$E$594)),IF(LEN(INDEX('Vendor COIs'!$N$4:$N$503,(_calc!$E$594-500)))=0,"",INDEX('Vendor COIs'!$N$4:$N$503,(_calc!$E$594-500)))))</f>
        <v/>
      </c>
    </row>
    <row r="593">
      <c r="A593" s="46">
        <f>IF(_calc!$E$595="","",IF(_calc!$E$595&lt;=500,IF(LEN(INDEX('Our policies'!$A$4:$A$503,_calc!$E$595))=0,"",INDEX('Our policies'!$A$4:$A$503,_calc!$E$595)),"COI – "&amp;IF(LEN(INDEX('Vendor COIs'!$A$4:$A$503,(_calc!$E$595-500)))=0,"",INDEX('Vendor COIs'!$A$4:$A$503,(_calc!$E$595-500)))&amp;" – "&amp;IF(LEN(INDEX('Vendor COIs'!$B$4:$B$503,(_calc!$E$595-500)))=0,"",INDEX('Vendor COIs'!$B$4:$B$503,(_calc!$E$595-500)))))</f>
        <v/>
      </c>
      <c r="B593" s="46">
        <f>IF(_calc!$E$595="","",IF(_calc!$E$595&lt;=500,IF(ISNUMBER(INDEX('Our policies'!$J$4:$J$503,_calc!$E$595)),TEXT(INDEX('Our policies'!$J$4:$J$503,_calc!$E$595),"yyyy-mm-dd"),""),IF(ISNUMBER(INDEX('Vendor COIs'!$H$4:$H$503,(_calc!$E$595-500))),TEXT(INDEX('Vendor COIs'!$H$4:$H$503,(_calc!$E$595-500)),"yyyy-mm-dd"),"")))</f>
        <v/>
      </c>
      <c r="C593" s="46">
        <f>IF(_calc!$E$595="","",IF(_calc!$E$595&lt;=500,"Insurance","Certificate of insurance"))</f>
        <v/>
      </c>
      <c r="D593" s="46">
        <f>IF(_calc!$E$595="","",IF(_calc!$E$595&lt;=500,IF(ISNUMBER(INDEX('Our policies'!$I$4:$I$503,_calc!$E$595)),TEXT(INDEX('Our policies'!$I$4:$I$503,_calc!$E$595),"yyyy-mm-dd"),""),""))</f>
        <v/>
      </c>
      <c r="E593" s="46">
        <f>IF(_calc!$E$595="","",IF(_calc!$E$595&lt;=500,IF(LEN(INDEX('Our policies'!$Q$4:$Q$503,_calc!$E$595))=0,"",INDEX('Our policies'!$Q$4:$Q$503,_calc!$E$595)),"Medium"))</f>
        <v/>
      </c>
      <c r="F593" s="46">
        <f>IF(_calc!$E$595="","",IF(_calc!$E$595&lt;=500,TRIM(IF(LEN(IF(LEN(INDEX('Our policies'!$B$4:$B$503,_calc!$E$595))=0,"",INDEX('Our policies'!$B$4:$B$503,_calc!$E$595)))=0,"","Cover: "&amp;IF(LEN(INDEX('Our policies'!$B$4:$B$503,_calc!$E$595))=0,"",INDEX('Our policies'!$B$4:$B$503,_calc!$E$595))&amp;". ")&amp;IF(LEN(IF(LEN(INDEX('Our policies'!$C$4:$C$503,_calc!$E$595))=0,"",INDEX('Our policies'!$C$4:$C$503,_calc!$E$595)))=0,"","Insurer: "&amp;IF(LEN(INDEX('Our policies'!$C$4:$C$503,_calc!$E$595))=0,"",INDEX('Our policies'!$C$4:$C$503,_calc!$E$595))&amp;". ")&amp;IF(LEN(IF(LEN(INDEX('Our policies'!$D$4:$D$503,_calc!$E$595))=0,"",INDEX('Our policies'!$D$4:$D$503,_calc!$E$595)))=0,"","Broker: "&amp;IF(LEN(INDEX('Our policies'!$D$4:$D$503,_calc!$E$595))=0,"",INDEX('Our policies'!$D$4:$D$503,_calc!$E$595))&amp;". ")&amp;IF(LEN(IF(LEN(INDEX('Our policies'!$E$4:$E$503,_calc!$E$595))=0,"",INDEX('Our policies'!$E$4:$E$503,_calc!$E$595)))=0,"","Policy no.: "&amp;IF(LEN(INDEX('Our policies'!$E$4:$E$503,_calc!$E$595))=0,"",INDEX('Our policies'!$E$4:$E$503,_calc!$E$595))&amp;". ")&amp;IF(LEN(IF(LEN(INDEX('Our policies'!$S$4:$S$503,_calc!$E$595))=0,"",INDEX('Our policies'!$S$4:$S$503,_calc!$E$595)))=0,"",IF(LEN(INDEX('Our policies'!$S$4:$S$503,_calc!$E$595))=0,"",INDEX('Our policies'!$S$4:$S$503,_calc!$E$595)))),TRIM(IF(LEN(IF(LEN(INDEX('Vendor COIs'!$C$4:$C$503,(_calc!$E$595-500)))=0,"",INDEX('Vendor COIs'!$C$4:$C$503,(_calc!$E$595-500))))=0,"","Insurer: "&amp;IF(LEN(INDEX('Vendor COIs'!$C$4:$C$503,(_calc!$E$595-500)))=0,"",INDEX('Vendor COIs'!$C$4:$C$503,(_calc!$E$595-500)))&amp;". ")&amp;IF(LEN(IF(LEN(INDEX('Vendor COIs'!$D$4:$D$503,(_calc!$E$595-500)))=0,"",INDEX('Vendor COIs'!$D$4:$D$503,(_calc!$E$595-500))))=0,"","Policy no.: "&amp;IF(LEN(INDEX('Vendor COIs'!$D$4:$D$503,(_calc!$E$595-500)))=0,"",INDEX('Vendor COIs'!$D$4:$D$503,(_calc!$E$595-500)))&amp;". ")&amp;IF(LEN(IF(LEN(INDEX('Vendor COIs'!$F$4:$F$503,(_calc!$E$595-500)))=0,"",INDEX('Vendor COIs'!$F$4:$F$503,(_calc!$E$595-500))))=0,"","Meets minimum: "&amp;IF(LEN(INDEX('Vendor COIs'!$F$4:$F$503,(_calc!$E$595-500)))=0,"",INDEX('Vendor COIs'!$F$4:$F$503,(_calc!$E$595-500)))&amp;". ")&amp;IF(LEN(IF(LEN(INDEX('Vendor COIs'!$G$4:$G$503,(_calc!$E$595-500)))=0,"",INDEX('Vendor COIs'!$G$4:$G$503,(_calc!$E$595-500))))=0,"","Additional insured: "&amp;IF(LEN(INDEX('Vendor COIs'!$G$4:$G$503,(_calc!$E$595-500)))=0,"",INDEX('Vendor COIs'!$G$4:$G$503,(_calc!$E$595-500)))&amp;". ")&amp;IF(LEN(IF(LEN(INDEX('Vendor COIs'!$M$4:$M$503,(_calc!$E$595-500)))=0,"",INDEX('Vendor COIs'!$M$4:$M$503,(_calc!$E$595-500))))=0,"","Vendor contact: "&amp;IF(LEN(INDEX('Vendor COIs'!$M$4:$M$503,(_calc!$E$595-500)))=0,"",INDEX('Vendor COIs'!$M$4:$M$503,(_calc!$E$595-500)))&amp;". ")&amp;IF(LEN(IF(LEN(INDEX('Vendor COIs'!$P$4:$P$503,(_calc!$E$595-500)))=0,"",INDEX('Vendor COIs'!$P$4:$P$503,(_calc!$E$595-500))))=0,"",IF(LEN(INDEX('Vendor COIs'!$P$4:$P$503,(_calc!$E$595-500)))=0,"",INDEX('Vendor COIs'!$P$4:$P$503,(_calc!$E$595-500)))))))</f>
        <v/>
      </c>
      <c r="G593" s="46">
        <f>IF(_calc!$E$595="","",IF(_calc!$E$595&lt;=500,IF(LEN(INDEX('Our policies'!$R$4:$R$503,_calc!$E$595))=0,"",INDEX('Our policies'!$R$4:$R$503,_calc!$E$595)),IF(LEN(INDEX('Vendor COIs'!$O$4:$O$503,(_calc!$E$595-500)))=0,"",INDEX('Vendor COIs'!$O$4:$O$503,(_calc!$E$595-500)))))</f>
        <v/>
      </c>
      <c r="H593" s="46">
        <f>IF(_calc!$E$595="","",IF(_calc!$E$595&lt;=500,IF(LEN(INDEX('Our policies'!$G$4:$G$503,_calc!$E$595))=0,"",INDEX('Our policies'!$G$4:$G$503,_calc!$E$595)),""))</f>
        <v/>
      </c>
      <c r="I593" s="46">
        <f>IF(_calc!$E$595="","",IF(_calc!$E$595&lt;=500,IF(LEN(INDEX('Our policies'!$H$4:$H$503,_calc!$E$595))=0,"",INDEX('Our policies'!$H$4:$H$503,_calc!$E$595)),""))</f>
        <v/>
      </c>
      <c r="K593" s="46">
        <f>IF(_calc!$E$595="","",IF(_calc!$E$595&lt;=500,IF(LEN(INDEX('Our policies'!$P$4:$P$503,_calc!$E$595))=0,"",INDEX('Our policies'!$P$4:$P$503,_calc!$E$595)),IF(LEN(INDEX('Vendor COIs'!$N$4:$N$503,(_calc!$E$595-500)))=0,"",INDEX('Vendor COIs'!$N$4:$N$503,(_calc!$E$595-500)))))</f>
        <v/>
      </c>
    </row>
    <row r="594">
      <c r="A594" s="46">
        <f>IF(_calc!$E$596="","",IF(_calc!$E$596&lt;=500,IF(LEN(INDEX('Our policies'!$A$4:$A$503,_calc!$E$596))=0,"",INDEX('Our policies'!$A$4:$A$503,_calc!$E$596)),"COI – "&amp;IF(LEN(INDEX('Vendor COIs'!$A$4:$A$503,(_calc!$E$596-500)))=0,"",INDEX('Vendor COIs'!$A$4:$A$503,(_calc!$E$596-500)))&amp;" – "&amp;IF(LEN(INDEX('Vendor COIs'!$B$4:$B$503,(_calc!$E$596-500)))=0,"",INDEX('Vendor COIs'!$B$4:$B$503,(_calc!$E$596-500)))))</f>
        <v/>
      </c>
      <c r="B594" s="46">
        <f>IF(_calc!$E$596="","",IF(_calc!$E$596&lt;=500,IF(ISNUMBER(INDEX('Our policies'!$J$4:$J$503,_calc!$E$596)),TEXT(INDEX('Our policies'!$J$4:$J$503,_calc!$E$596),"yyyy-mm-dd"),""),IF(ISNUMBER(INDEX('Vendor COIs'!$H$4:$H$503,(_calc!$E$596-500))),TEXT(INDEX('Vendor COIs'!$H$4:$H$503,(_calc!$E$596-500)),"yyyy-mm-dd"),"")))</f>
        <v/>
      </c>
      <c r="C594" s="46">
        <f>IF(_calc!$E$596="","",IF(_calc!$E$596&lt;=500,"Insurance","Certificate of insurance"))</f>
        <v/>
      </c>
      <c r="D594" s="46">
        <f>IF(_calc!$E$596="","",IF(_calc!$E$596&lt;=500,IF(ISNUMBER(INDEX('Our policies'!$I$4:$I$503,_calc!$E$596)),TEXT(INDEX('Our policies'!$I$4:$I$503,_calc!$E$596),"yyyy-mm-dd"),""),""))</f>
        <v/>
      </c>
      <c r="E594" s="46">
        <f>IF(_calc!$E$596="","",IF(_calc!$E$596&lt;=500,IF(LEN(INDEX('Our policies'!$Q$4:$Q$503,_calc!$E$596))=0,"",INDEX('Our policies'!$Q$4:$Q$503,_calc!$E$596)),"Medium"))</f>
        <v/>
      </c>
      <c r="F594" s="46">
        <f>IF(_calc!$E$596="","",IF(_calc!$E$596&lt;=500,TRIM(IF(LEN(IF(LEN(INDEX('Our policies'!$B$4:$B$503,_calc!$E$596))=0,"",INDEX('Our policies'!$B$4:$B$503,_calc!$E$596)))=0,"","Cover: "&amp;IF(LEN(INDEX('Our policies'!$B$4:$B$503,_calc!$E$596))=0,"",INDEX('Our policies'!$B$4:$B$503,_calc!$E$596))&amp;". ")&amp;IF(LEN(IF(LEN(INDEX('Our policies'!$C$4:$C$503,_calc!$E$596))=0,"",INDEX('Our policies'!$C$4:$C$503,_calc!$E$596)))=0,"","Insurer: "&amp;IF(LEN(INDEX('Our policies'!$C$4:$C$503,_calc!$E$596))=0,"",INDEX('Our policies'!$C$4:$C$503,_calc!$E$596))&amp;". ")&amp;IF(LEN(IF(LEN(INDEX('Our policies'!$D$4:$D$503,_calc!$E$596))=0,"",INDEX('Our policies'!$D$4:$D$503,_calc!$E$596)))=0,"","Broker: "&amp;IF(LEN(INDEX('Our policies'!$D$4:$D$503,_calc!$E$596))=0,"",INDEX('Our policies'!$D$4:$D$503,_calc!$E$596))&amp;". ")&amp;IF(LEN(IF(LEN(INDEX('Our policies'!$E$4:$E$503,_calc!$E$596))=0,"",INDEX('Our policies'!$E$4:$E$503,_calc!$E$596)))=0,"","Policy no.: "&amp;IF(LEN(INDEX('Our policies'!$E$4:$E$503,_calc!$E$596))=0,"",INDEX('Our policies'!$E$4:$E$503,_calc!$E$596))&amp;". ")&amp;IF(LEN(IF(LEN(INDEX('Our policies'!$S$4:$S$503,_calc!$E$596))=0,"",INDEX('Our policies'!$S$4:$S$503,_calc!$E$596)))=0,"",IF(LEN(INDEX('Our policies'!$S$4:$S$503,_calc!$E$596))=0,"",INDEX('Our policies'!$S$4:$S$503,_calc!$E$596)))),TRIM(IF(LEN(IF(LEN(INDEX('Vendor COIs'!$C$4:$C$503,(_calc!$E$596-500)))=0,"",INDEX('Vendor COIs'!$C$4:$C$503,(_calc!$E$596-500))))=0,"","Insurer: "&amp;IF(LEN(INDEX('Vendor COIs'!$C$4:$C$503,(_calc!$E$596-500)))=0,"",INDEX('Vendor COIs'!$C$4:$C$503,(_calc!$E$596-500)))&amp;". ")&amp;IF(LEN(IF(LEN(INDEX('Vendor COIs'!$D$4:$D$503,(_calc!$E$596-500)))=0,"",INDEX('Vendor COIs'!$D$4:$D$503,(_calc!$E$596-500))))=0,"","Policy no.: "&amp;IF(LEN(INDEX('Vendor COIs'!$D$4:$D$503,(_calc!$E$596-500)))=0,"",INDEX('Vendor COIs'!$D$4:$D$503,(_calc!$E$596-500)))&amp;". ")&amp;IF(LEN(IF(LEN(INDEX('Vendor COIs'!$F$4:$F$503,(_calc!$E$596-500)))=0,"",INDEX('Vendor COIs'!$F$4:$F$503,(_calc!$E$596-500))))=0,"","Meets minimum: "&amp;IF(LEN(INDEX('Vendor COIs'!$F$4:$F$503,(_calc!$E$596-500)))=0,"",INDEX('Vendor COIs'!$F$4:$F$503,(_calc!$E$596-500)))&amp;". ")&amp;IF(LEN(IF(LEN(INDEX('Vendor COIs'!$G$4:$G$503,(_calc!$E$596-500)))=0,"",INDEX('Vendor COIs'!$G$4:$G$503,(_calc!$E$596-500))))=0,"","Additional insured: "&amp;IF(LEN(INDEX('Vendor COIs'!$G$4:$G$503,(_calc!$E$596-500)))=0,"",INDEX('Vendor COIs'!$G$4:$G$503,(_calc!$E$596-500)))&amp;". ")&amp;IF(LEN(IF(LEN(INDEX('Vendor COIs'!$M$4:$M$503,(_calc!$E$596-500)))=0,"",INDEX('Vendor COIs'!$M$4:$M$503,(_calc!$E$596-500))))=0,"","Vendor contact: "&amp;IF(LEN(INDEX('Vendor COIs'!$M$4:$M$503,(_calc!$E$596-500)))=0,"",INDEX('Vendor COIs'!$M$4:$M$503,(_calc!$E$596-500)))&amp;". ")&amp;IF(LEN(IF(LEN(INDEX('Vendor COIs'!$P$4:$P$503,(_calc!$E$596-500)))=0,"",INDEX('Vendor COIs'!$P$4:$P$503,(_calc!$E$596-500))))=0,"",IF(LEN(INDEX('Vendor COIs'!$P$4:$P$503,(_calc!$E$596-500)))=0,"",INDEX('Vendor COIs'!$P$4:$P$503,(_calc!$E$596-500)))))))</f>
        <v/>
      </c>
      <c r="G594" s="46">
        <f>IF(_calc!$E$596="","",IF(_calc!$E$596&lt;=500,IF(LEN(INDEX('Our policies'!$R$4:$R$503,_calc!$E$596))=0,"",INDEX('Our policies'!$R$4:$R$503,_calc!$E$596)),IF(LEN(INDEX('Vendor COIs'!$O$4:$O$503,(_calc!$E$596-500)))=0,"",INDEX('Vendor COIs'!$O$4:$O$503,(_calc!$E$596-500)))))</f>
        <v/>
      </c>
      <c r="H594" s="46">
        <f>IF(_calc!$E$596="","",IF(_calc!$E$596&lt;=500,IF(LEN(INDEX('Our policies'!$G$4:$G$503,_calc!$E$596))=0,"",INDEX('Our policies'!$G$4:$G$503,_calc!$E$596)),""))</f>
        <v/>
      </c>
      <c r="I594" s="46">
        <f>IF(_calc!$E$596="","",IF(_calc!$E$596&lt;=500,IF(LEN(INDEX('Our policies'!$H$4:$H$503,_calc!$E$596))=0,"",INDEX('Our policies'!$H$4:$H$503,_calc!$E$596)),""))</f>
        <v/>
      </c>
      <c r="K594" s="46">
        <f>IF(_calc!$E$596="","",IF(_calc!$E$596&lt;=500,IF(LEN(INDEX('Our policies'!$P$4:$P$503,_calc!$E$596))=0,"",INDEX('Our policies'!$P$4:$P$503,_calc!$E$596)),IF(LEN(INDEX('Vendor COIs'!$N$4:$N$503,(_calc!$E$596-500)))=0,"",INDEX('Vendor COIs'!$N$4:$N$503,(_calc!$E$596-500)))))</f>
        <v/>
      </c>
    </row>
    <row r="595">
      <c r="A595" s="46">
        <f>IF(_calc!$E$597="","",IF(_calc!$E$597&lt;=500,IF(LEN(INDEX('Our policies'!$A$4:$A$503,_calc!$E$597))=0,"",INDEX('Our policies'!$A$4:$A$503,_calc!$E$597)),"COI – "&amp;IF(LEN(INDEX('Vendor COIs'!$A$4:$A$503,(_calc!$E$597-500)))=0,"",INDEX('Vendor COIs'!$A$4:$A$503,(_calc!$E$597-500)))&amp;" – "&amp;IF(LEN(INDEX('Vendor COIs'!$B$4:$B$503,(_calc!$E$597-500)))=0,"",INDEX('Vendor COIs'!$B$4:$B$503,(_calc!$E$597-500)))))</f>
        <v/>
      </c>
      <c r="B595" s="46">
        <f>IF(_calc!$E$597="","",IF(_calc!$E$597&lt;=500,IF(ISNUMBER(INDEX('Our policies'!$J$4:$J$503,_calc!$E$597)),TEXT(INDEX('Our policies'!$J$4:$J$503,_calc!$E$597),"yyyy-mm-dd"),""),IF(ISNUMBER(INDEX('Vendor COIs'!$H$4:$H$503,(_calc!$E$597-500))),TEXT(INDEX('Vendor COIs'!$H$4:$H$503,(_calc!$E$597-500)),"yyyy-mm-dd"),"")))</f>
        <v/>
      </c>
      <c r="C595" s="46">
        <f>IF(_calc!$E$597="","",IF(_calc!$E$597&lt;=500,"Insurance","Certificate of insurance"))</f>
        <v/>
      </c>
      <c r="D595" s="46">
        <f>IF(_calc!$E$597="","",IF(_calc!$E$597&lt;=500,IF(ISNUMBER(INDEX('Our policies'!$I$4:$I$503,_calc!$E$597)),TEXT(INDEX('Our policies'!$I$4:$I$503,_calc!$E$597),"yyyy-mm-dd"),""),""))</f>
        <v/>
      </c>
      <c r="E595" s="46">
        <f>IF(_calc!$E$597="","",IF(_calc!$E$597&lt;=500,IF(LEN(INDEX('Our policies'!$Q$4:$Q$503,_calc!$E$597))=0,"",INDEX('Our policies'!$Q$4:$Q$503,_calc!$E$597)),"Medium"))</f>
        <v/>
      </c>
      <c r="F595" s="46">
        <f>IF(_calc!$E$597="","",IF(_calc!$E$597&lt;=500,TRIM(IF(LEN(IF(LEN(INDEX('Our policies'!$B$4:$B$503,_calc!$E$597))=0,"",INDEX('Our policies'!$B$4:$B$503,_calc!$E$597)))=0,"","Cover: "&amp;IF(LEN(INDEX('Our policies'!$B$4:$B$503,_calc!$E$597))=0,"",INDEX('Our policies'!$B$4:$B$503,_calc!$E$597))&amp;". ")&amp;IF(LEN(IF(LEN(INDEX('Our policies'!$C$4:$C$503,_calc!$E$597))=0,"",INDEX('Our policies'!$C$4:$C$503,_calc!$E$597)))=0,"","Insurer: "&amp;IF(LEN(INDEX('Our policies'!$C$4:$C$503,_calc!$E$597))=0,"",INDEX('Our policies'!$C$4:$C$503,_calc!$E$597))&amp;". ")&amp;IF(LEN(IF(LEN(INDEX('Our policies'!$D$4:$D$503,_calc!$E$597))=0,"",INDEX('Our policies'!$D$4:$D$503,_calc!$E$597)))=0,"","Broker: "&amp;IF(LEN(INDEX('Our policies'!$D$4:$D$503,_calc!$E$597))=0,"",INDEX('Our policies'!$D$4:$D$503,_calc!$E$597))&amp;". ")&amp;IF(LEN(IF(LEN(INDEX('Our policies'!$E$4:$E$503,_calc!$E$597))=0,"",INDEX('Our policies'!$E$4:$E$503,_calc!$E$597)))=0,"","Policy no.: "&amp;IF(LEN(INDEX('Our policies'!$E$4:$E$503,_calc!$E$597))=0,"",INDEX('Our policies'!$E$4:$E$503,_calc!$E$597))&amp;". ")&amp;IF(LEN(IF(LEN(INDEX('Our policies'!$S$4:$S$503,_calc!$E$597))=0,"",INDEX('Our policies'!$S$4:$S$503,_calc!$E$597)))=0,"",IF(LEN(INDEX('Our policies'!$S$4:$S$503,_calc!$E$597))=0,"",INDEX('Our policies'!$S$4:$S$503,_calc!$E$597)))),TRIM(IF(LEN(IF(LEN(INDEX('Vendor COIs'!$C$4:$C$503,(_calc!$E$597-500)))=0,"",INDEX('Vendor COIs'!$C$4:$C$503,(_calc!$E$597-500))))=0,"","Insurer: "&amp;IF(LEN(INDEX('Vendor COIs'!$C$4:$C$503,(_calc!$E$597-500)))=0,"",INDEX('Vendor COIs'!$C$4:$C$503,(_calc!$E$597-500)))&amp;". ")&amp;IF(LEN(IF(LEN(INDEX('Vendor COIs'!$D$4:$D$503,(_calc!$E$597-500)))=0,"",INDEX('Vendor COIs'!$D$4:$D$503,(_calc!$E$597-500))))=0,"","Policy no.: "&amp;IF(LEN(INDEX('Vendor COIs'!$D$4:$D$503,(_calc!$E$597-500)))=0,"",INDEX('Vendor COIs'!$D$4:$D$503,(_calc!$E$597-500)))&amp;". ")&amp;IF(LEN(IF(LEN(INDEX('Vendor COIs'!$F$4:$F$503,(_calc!$E$597-500)))=0,"",INDEX('Vendor COIs'!$F$4:$F$503,(_calc!$E$597-500))))=0,"","Meets minimum: "&amp;IF(LEN(INDEX('Vendor COIs'!$F$4:$F$503,(_calc!$E$597-500)))=0,"",INDEX('Vendor COIs'!$F$4:$F$503,(_calc!$E$597-500)))&amp;". ")&amp;IF(LEN(IF(LEN(INDEX('Vendor COIs'!$G$4:$G$503,(_calc!$E$597-500)))=0,"",INDEX('Vendor COIs'!$G$4:$G$503,(_calc!$E$597-500))))=0,"","Additional insured: "&amp;IF(LEN(INDEX('Vendor COIs'!$G$4:$G$503,(_calc!$E$597-500)))=0,"",INDEX('Vendor COIs'!$G$4:$G$503,(_calc!$E$597-500)))&amp;". ")&amp;IF(LEN(IF(LEN(INDEX('Vendor COIs'!$M$4:$M$503,(_calc!$E$597-500)))=0,"",INDEX('Vendor COIs'!$M$4:$M$503,(_calc!$E$597-500))))=0,"","Vendor contact: "&amp;IF(LEN(INDEX('Vendor COIs'!$M$4:$M$503,(_calc!$E$597-500)))=0,"",INDEX('Vendor COIs'!$M$4:$M$503,(_calc!$E$597-500)))&amp;". ")&amp;IF(LEN(IF(LEN(INDEX('Vendor COIs'!$P$4:$P$503,(_calc!$E$597-500)))=0,"",INDEX('Vendor COIs'!$P$4:$P$503,(_calc!$E$597-500))))=0,"",IF(LEN(INDEX('Vendor COIs'!$P$4:$P$503,(_calc!$E$597-500)))=0,"",INDEX('Vendor COIs'!$P$4:$P$503,(_calc!$E$597-500)))))))</f>
        <v/>
      </c>
      <c r="G595" s="46">
        <f>IF(_calc!$E$597="","",IF(_calc!$E$597&lt;=500,IF(LEN(INDEX('Our policies'!$R$4:$R$503,_calc!$E$597))=0,"",INDEX('Our policies'!$R$4:$R$503,_calc!$E$597)),IF(LEN(INDEX('Vendor COIs'!$O$4:$O$503,(_calc!$E$597-500)))=0,"",INDEX('Vendor COIs'!$O$4:$O$503,(_calc!$E$597-500)))))</f>
        <v/>
      </c>
      <c r="H595" s="46">
        <f>IF(_calc!$E$597="","",IF(_calc!$E$597&lt;=500,IF(LEN(INDEX('Our policies'!$G$4:$G$503,_calc!$E$597))=0,"",INDEX('Our policies'!$G$4:$G$503,_calc!$E$597)),""))</f>
        <v/>
      </c>
      <c r="I595" s="46">
        <f>IF(_calc!$E$597="","",IF(_calc!$E$597&lt;=500,IF(LEN(INDEX('Our policies'!$H$4:$H$503,_calc!$E$597))=0,"",INDEX('Our policies'!$H$4:$H$503,_calc!$E$597)),""))</f>
        <v/>
      </c>
      <c r="K595" s="46">
        <f>IF(_calc!$E$597="","",IF(_calc!$E$597&lt;=500,IF(LEN(INDEX('Our policies'!$P$4:$P$503,_calc!$E$597))=0,"",INDEX('Our policies'!$P$4:$P$503,_calc!$E$597)),IF(LEN(INDEX('Vendor COIs'!$N$4:$N$503,(_calc!$E$597-500)))=0,"",INDEX('Vendor COIs'!$N$4:$N$503,(_calc!$E$597-500)))))</f>
        <v/>
      </c>
    </row>
    <row r="596">
      <c r="A596" s="46">
        <f>IF(_calc!$E$598="","",IF(_calc!$E$598&lt;=500,IF(LEN(INDEX('Our policies'!$A$4:$A$503,_calc!$E$598))=0,"",INDEX('Our policies'!$A$4:$A$503,_calc!$E$598)),"COI – "&amp;IF(LEN(INDEX('Vendor COIs'!$A$4:$A$503,(_calc!$E$598-500)))=0,"",INDEX('Vendor COIs'!$A$4:$A$503,(_calc!$E$598-500)))&amp;" – "&amp;IF(LEN(INDEX('Vendor COIs'!$B$4:$B$503,(_calc!$E$598-500)))=0,"",INDEX('Vendor COIs'!$B$4:$B$503,(_calc!$E$598-500)))))</f>
        <v/>
      </c>
      <c r="B596" s="46">
        <f>IF(_calc!$E$598="","",IF(_calc!$E$598&lt;=500,IF(ISNUMBER(INDEX('Our policies'!$J$4:$J$503,_calc!$E$598)),TEXT(INDEX('Our policies'!$J$4:$J$503,_calc!$E$598),"yyyy-mm-dd"),""),IF(ISNUMBER(INDEX('Vendor COIs'!$H$4:$H$503,(_calc!$E$598-500))),TEXT(INDEX('Vendor COIs'!$H$4:$H$503,(_calc!$E$598-500)),"yyyy-mm-dd"),"")))</f>
        <v/>
      </c>
      <c r="C596" s="46">
        <f>IF(_calc!$E$598="","",IF(_calc!$E$598&lt;=500,"Insurance","Certificate of insurance"))</f>
        <v/>
      </c>
      <c r="D596" s="46">
        <f>IF(_calc!$E$598="","",IF(_calc!$E$598&lt;=500,IF(ISNUMBER(INDEX('Our policies'!$I$4:$I$503,_calc!$E$598)),TEXT(INDEX('Our policies'!$I$4:$I$503,_calc!$E$598),"yyyy-mm-dd"),""),""))</f>
        <v/>
      </c>
      <c r="E596" s="46">
        <f>IF(_calc!$E$598="","",IF(_calc!$E$598&lt;=500,IF(LEN(INDEX('Our policies'!$Q$4:$Q$503,_calc!$E$598))=0,"",INDEX('Our policies'!$Q$4:$Q$503,_calc!$E$598)),"Medium"))</f>
        <v/>
      </c>
      <c r="F596" s="46">
        <f>IF(_calc!$E$598="","",IF(_calc!$E$598&lt;=500,TRIM(IF(LEN(IF(LEN(INDEX('Our policies'!$B$4:$B$503,_calc!$E$598))=0,"",INDEX('Our policies'!$B$4:$B$503,_calc!$E$598)))=0,"","Cover: "&amp;IF(LEN(INDEX('Our policies'!$B$4:$B$503,_calc!$E$598))=0,"",INDEX('Our policies'!$B$4:$B$503,_calc!$E$598))&amp;". ")&amp;IF(LEN(IF(LEN(INDEX('Our policies'!$C$4:$C$503,_calc!$E$598))=0,"",INDEX('Our policies'!$C$4:$C$503,_calc!$E$598)))=0,"","Insurer: "&amp;IF(LEN(INDEX('Our policies'!$C$4:$C$503,_calc!$E$598))=0,"",INDEX('Our policies'!$C$4:$C$503,_calc!$E$598))&amp;". ")&amp;IF(LEN(IF(LEN(INDEX('Our policies'!$D$4:$D$503,_calc!$E$598))=0,"",INDEX('Our policies'!$D$4:$D$503,_calc!$E$598)))=0,"","Broker: "&amp;IF(LEN(INDEX('Our policies'!$D$4:$D$503,_calc!$E$598))=0,"",INDEX('Our policies'!$D$4:$D$503,_calc!$E$598))&amp;". ")&amp;IF(LEN(IF(LEN(INDEX('Our policies'!$E$4:$E$503,_calc!$E$598))=0,"",INDEX('Our policies'!$E$4:$E$503,_calc!$E$598)))=0,"","Policy no.: "&amp;IF(LEN(INDEX('Our policies'!$E$4:$E$503,_calc!$E$598))=0,"",INDEX('Our policies'!$E$4:$E$503,_calc!$E$598))&amp;". ")&amp;IF(LEN(IF(LEN(INDEX('Our policies'!$S$4:$S$503,_calc!$E$598))=0,"",INDEX('Our policies'!$S$4:$S$503,_calc!$E$598)))=0,"",IF(LEN(INDEX('Our policies'!$S$4:$S$503,_calc!$E$598))=0,"",INDEX('Our policies'!$S$4:$S$503,_calc!$E$598)))),TRIM(IF(LEN(IF(LEN(INDEX('Vendor COIs'!$C$4:$C$503,(_calc!$E$598-500)))=0,"",INDEX('Vendor COIs'!$C$4:$C$503,(_calc!$E$598-500))))=0,"","Insurer: "&amp;IF(LEN(INDEX('Vendor COIs'!$C$4:$C$503,(_calc!$E$598-500)))=0,"",INDEX('Vendor COIs'!$C$4:$C$503,(_calc!$E$598-500)))&amp;". ")&amp;IF(LEN(IF(LEN(INDEX('Vendor COIs'!$D$4:$D$503,(_calc!$E$598-500)))=0,"",INDEX('Vendor COIs'!$D$4:$D$503,(_calc!$E$598-500))))=0,"","Policy no.: "&amp;IF(LEN(INDEX('Vendor COIs'!$D$4:$D$503,(_calc!$E$598-500)))=0,"",INDEX('Vendor COIs'!$D$4:$D$503,(_calc!$E$598-500)))&amp;". ")&amp;IF(LEN(IF(LEN(INDEX('Vendor COIs'!$F$4:$F$503,(_calc!$E$598-500)))=0,"",INDEX('Vendor COIs'!$F$4:$F$503,(_calc!$E$598-500))))=0,"","Meets minimum: "&amp;IF(LEN(INDEX('Vendor COIs'!$F$4:$F$503,(_calc!$E$598-500)))=0,"",INDEX('Vendor COIs'!$F$4:$F$503,(_calc!$E$598-500)))&amp;". ")&amp;IF(LEN(IF(LEN(INDEX('Vendor COIs'!$G$4:$G$503,(_calc!$E$598-500)))=0,"",INDEX('Vendor COIs'!$G$4:$G$503,(_calc!$E$598-500))))=0,"","Additional insured: "&amp;IF(LEN(INDEX('Vendor COIs'!$G$4:$G$503,(_calc!$E$598-500)))=0,"",INDEX('Vendor COIs'!$G$4:$G$503,(_calc!$E$598-500)))&amp;". ")&amp;IF(LEN(IF(LEN(INDEX('Vendor COIs'!$M$4:$M$503,(_calc!$E$598-500)))=0,"",INDEX('Vendor COIs'!$M$4:$M$503,(_calc!$E$598-500))))=0,"","Vendor contact: "&amp;IF(LEN(INDEX('Vendor COIs'!$M$4:$M$503,(_calc!$E$598-500)))=0,"",INDEX('Vendor COIs'!$M$4:$M$503,(_calc!$E$598-500)))&amp;". ")&amp;IF(LEN(IF(LEN(INDEX('Vendor COIs'!$P$4:$P$503,(_calc!$E$598-500)))=0,"",INDEX('Vendor COIs'!$P$4:$P$503,(_calc!$E$598-500))))=0,"",IF(LEN(INDEX('Vendor COIs'!$P$4:$P$503,(_calc!$E$598-500)))=0,"",INDEX('Vendor COIs'!$P$4:$P$503,(_calc!$E$598-500)))))))</f>
        <v/>
      </c>
      <c r="G596" s="46">
        <f>IF(_calc!$E$598="","",IF(_calc!$E$598&lt;=500,IF(LEN(INDEX('Our policies'!$R$4:$R$503,_calc!$E$598))=0,"",INDEX('Our policies'!$R$4:$R$503,_calc!$E$598)),IF(LEN(INDEX('Vendor COIs'!$O$4:$O$503,(_calc!$E$598-500)))=0,"",INDEX('Vendor COIs'!$O$4:$O$503,(_calc!$E$598-500)))))</f>
        <v/>
      </c>
      <c r="H596" s="46">
        <f>IF(_calc!$E$598="","",IF(_calc!$E$598&lt;=500,IF(LEN(INDEX('Our policies'!$G$4:$G$503,_calc!$E$598))=0,"",INDEX('Our policies'!$G$4:$G$503,_calc!$E$598)),""))</f>
        <v/>
      </c>
      <c r="I596" s="46">
        <f>IF(_calc!$E$598="","",IF(_calc!$E$598&lt;=500,IF(LEN(INDEX('Our policies'!$H$4:$H$503,_calc!$E$598))=0,"",INDEX('Our policies'!$H$4:$H$503,_calc!$E$598)),""))</f>
        <v/>
      </c>
      <c r="K596" s="46">
        <f>IF(_calc!$E$598="","",IF(_calc!$E$598&lt;=500,IF(LEN(INDEX('Our policies'!$P$4:$P$503,_calc!$E$598))=0,"",INDEX('Our policies'!$P$4:$P$503,_calc!$E$598)),IF(LEN(INDEX('Vendor COIs'!$N$4:$N$503,(_calc!$E$598-500)))=0,"",INDEX('Vendor COIs'!$N$4:$N$503,(_calc!$E$598-500)))))</f>
        <v/>
      </c>
    </row>
    <row r="597">
      <c r="A597" s="46">
        <f>IF(_calc!$E$599="","",IF(_calc!$E$599&lt;=500,IF(LEN(INDEX('Our policies'!$A$4:$A$503,_calc!$E$599))=0,"",INDEX('Our policies'!$A$4:$A$503,_calc!$E$599)),"COI – "&amp;IF(LEN(INDEX('Vendor COIs'!$A$4:$A$503,(_calc!$E$599-500)))=0,"",INDEX('Vendor COIs'!$A$4:$A$503,(_calc!$E$599-500)))&amp;" – "&amp;IF(LEN(INDEX('Vendor COIs'!$B$4:$B$503,(_calc!$E$599-500)))=0,"",INDEX('Vendor COIs'!$B$4:$B$503,(_calc!$E$599-500)))))</f>
        <v/>
      </c>
      <c r="B597" s="46">
        <f>IF(_calc!$E$599="","",IF(_calc!$E$599&lt;=500,IF(ISNUMBER(INDEX('Our policies'!$J$4:$J$503,_calc!$E$599)),TEXT(INDEX('Our policies'!$J$4:$J$503,_calc!$E$599),"yyyy-mm-dd"),""),IF(ISNUMBER(INDEX('Vendor COIs'!$H$4:$H$503,(_calc!$E$599-500))),TEXT(INDEX('Vendor COIs'!$H$4:$H$503,(_calc!$E$599-500)),"yyyy-mm-dd"),"")))</f>
        <v/>
      </c>
      <c r="C597" s="46">
        <f>IF(_calc!$E$599="","",IF(_calc!$E$599&lt;=500,"Insurance","Certificate of insurance"))</f>
        <v/>
      </c>
      <c r="D597" s="46">
        <f>IF(_calc!$E$599="","",IF(_calc!$E$599&lt;=500,IF(ISNUMBER(INDEX('Our policies'!$I$4:$I$503,_calc!$E$599)),TEXT(INDEX('Our policies'!$I$4:$I$503,_calc!$E$599),"yyyy-mm-dd"),""),""))</f>
        <v/>
      </c>
      <c r="E597" s="46">
        <f>IF(_calc!$E$599="","",IF(_calc!$E$599&lt;=500,IF(LEN(INDEX('Our policies'!$Q$4:$Q$503,_calc!$E$599))=0,"",INDEX('Our policies'!$Q$4:$Q$503,_calc!$E$599)),"Medium"))</f>
        <v/>
      </c>
      <c r="F597" s="46">
        <f>IF(_calc!$E$599="","",IF(_calc!$E$599&lt;=500,TRIM(IF(LEN(IF(LEN(INDEX('Our policies'!$B$4:$B$503,_calc!$E$599))=0,"",INDEX('Our policies'!$B$4:$B$503,_calc!$E$599)))=0,"","Cover: "&amp;IF(LEN(INDEX('Our policies'!$B$4:$B$503,_calc!$E$599))=0,"",INDEX('Our policies'!$B$4:$B$503,_calc!$E$599))&amp;". ")&amp;IF(LEN(IF(LEN(INDEX('Our policies'!$C$4:$C$503,_calc!$E$599))=0,"",INDEX('Our policies'!$C$4:$C$503,_calc!$E$599)))=0,"","Insurer: "&amp;IF(LEN(INDEX('Our policies'!$C$4:$C$503,_calc!$E$599))=0,"",INDEX('Our policies'!$C$4:$C$503,_calc!$E$599))&amp;". ")&amp;IF(LEN(IF(LEN(INDEX('Our policies'!$D$4:$D$503,_calc!$E$599))=0,"",INDEX('Our policies'!$D$4:$D$503,_calc!$E$599)))=0,"","Broker: "&amp;IF(LEN(INDEX('Our policies'!$D$4:$D$503,_calc!$E$599))=0,"",INDEX('Our policies'!$D$4:$D$503,_calc!$E$599))&amp;". ")&amp;IF(LEN(IF(LEN(INDEX('Our policies'!$E$4:$E$503,_calc!$E$599))=0,"",INDEX('Our policies'!$E$4:$E$503,_calc!$E$599)))=0,"","Policy no.: "&amp;IF(LEN(INDEX('Our policies'!$E$4:$E$503,_calc!$E$599))=0,"",INDEX('Our policies'!$E$4:$E$503,_calc!$E$599))&amp;". ")&amp;IF(LEN(IF(LEN(INDEX('Our policies'!$S$4:$S$503,_calc!$E$599))=0,"",INDEX('Our policies'!$S$4:$S$503,_calc!$E$599)))=0,"",IF(LEN(INDEX('Our policies'!$S$4:$S$503,_calc!$E$599))=0,"",INDEX('Our policies'!$S$4:$S$503,_calc!$E$599)))),TRIM(IF(LEN(IF(LEN(INDEX('Vendor COIs'!$C$4:$C$503,(_calc!$E$599-500)))=0,"",INDEX('Vendor COIs'!$C$4:$C$503,(_calc!$E$599-500))))=0,"","Insurer: "&amp;IF(LEN(INDEX('Vendor COIs'!$C$4:$C$503,(_calc!$E$599-500)))=0,"",INDEX('Vendor COIs'!$C$4:$C$503,(_calc!$E$599-500)))&amp;". ")&amp;IF(LEN(IF(LEN(INDEX('Vendor COIs'!$D$4:$D$503,(_calc!$E$599-500)))=0,"",INDEX('Vendor COIs'!$D$4:$D$503,(_calc!$E$599-500))))=0,"","Policy no.: "&amp;IF(LEN(INDEX('Vendor COIs'!$D$4:$D$503,(_calc!$E$599-500)))=0,"",INDEX('Vendor COIs'!$D$4:$D$503,(_calc!$E$599-500)))&amp;". ")&amp;IF(LEN(IF(LEN(INDEX('Vendor COIs'!$F$4:$F$503,(_calc!$E$599-500)))=0,"",INDEX('Vendor COIs'!$F$4:$F$503,(_calc!$E$599-500))))=0,"","Meets minimum: "&amp;IF(LEN(INDEX('Vendor COIs'!$F$4:$F$503,(_calc!$E$599-500)))=0,"",INDEX('Vendor COIs'!$F$4:$F$503,(_calc!$E$599-500)))&amp;". ")&amp;IF(LEN(IF(LEN(INDEX('Vendor COIs'!$G$4:$G$503,(_calc!$E$599-500)))=0,"",INDEX('Vendor COIs'!$G$4:$G$503,(_calc!$E$599-500))))=0,"","Additional insured: "&amp;IF(LEN(INDEX('Vendor COIs'!$G$4:$G$503,(_calc!$E$599-500)))=0,"",INDEX('Vendor COIs'!$G$4:$G$503,(_calc!$E$599-500)))&amp;". ")&amp;IF(LEN(IF(LEN(INDEX('Vendor COIs'!$M$4:$M$503,(_calc!$E$599-500)))=0,"",INDEX('Vendor COIs'!$M$4:$M$503,(_calc!$E$599-500))))=0,"","Vendor contact: "&amp;IF(LEN(INDEX('Vendor COIs'!$M$4:$M$503,(_calc!$E$599-500)))=0,"",INDEX('Vendor COIs'!$M$4:$M$503,(_calc!$E$599-500)))&amp;". ")&amp;IF(LEN(IF(LEN(INDEX('Vendor COIs'!$P$4:$P$503,(_calc!$E$599-500)))=0,"",INDEX('Vendor COIs'!$P$4:$P$503,(_calc!$E$599-500))))=0,"",IF(LEN(INDEX('Vendor COIs'!$P$4:$P$503,(_calc!$E$599-500)))=0,"",INDEX('Vendor COIs'!$P$4:$P$503,(_calc!$E$599-500)))))))</f>
        <v/>
      </c>
      <c r="G597" s="46">
        <f>IF(_calc!$E$599="","",IF(_calc!$E$599&lt;=500,IF(LEN(INDEX('Our policies'!$R$4:$R$503,_calc!$E$599))=0,"",INDEX('Our policies'!$R$4:$R$503,_calc!$E$599)),IF(LEN(INDEX('Vendor COIs'!$O$4:$O$503,(_calc!$E$599-500)))=0,"",INDEX('Vendor COIs'!$O$4:$O$503,(_calc!$E$599-500)))))</f>
        <v/>
      </c>
      <c r="H597" s="46">
        <f>IF(_calc!$E$599="","",IF(_calc!$E$599&lt;=500,IF(LEN(INDEX('Our policies'!$G$4:$G$503,_calc!$E$599))=0,"",INDEX('Our policies'!$G$4:$G$503,_calc!$E$599)),""))</f>
        <v/>
      </c>
      <c r="I597" s="46">
        <f>IF(_calc!$E$599="","",IF(_calc!$E$599&lt;=500,IF(LEN(INDEX('Our policies'!$H$4:$H$503,_calc!$E$599))=0,"",INDEX('Our policies'!$H$4:$H$503,_calc!$E$599)),""))</f>
        <v/>
      </c>
      <c r="K597" s="46">
        <f>IF(_calc!$E$599="","",IF(_calc!$E$599&lt;=500,IF(LEN(INDEX('Our policies'!$P$4:$P$503,_calc!$E$599))=0,"",INDEX('Our policies'!$P$4:$P$503,_calc!$E$599)),IF(LEN(INDEX('Vendor COIs'!$N$4:$N$503,(_calc!$E$599-500)))=0,"",INDEX('Vendor COIs'!$N$4:$N$503,(_calc!$E$599-500)))))</f>
        <v/>
      </c>
    </row>
    <row r="598">
      <c r="A598" s="46">
        <f>IF(_calc!$E$600="","",IF(_calc!$E$600&lt;=500,IF(LEN(INDEX('Our policies'!$A$4:$A$503,_calc!$E$600))=0,"",INDEX('Our policies'!$A$4:$A$503,_calc!$E$600)),"COI – "&amp;IF(LEN(INDEX('Vendor COIs'!$A$4:$A$503,(_calc!$E$600-500)))=0,"",INDEX('Vendor COIs'!$A$4:$A$503,(_calc!$E$600-500)))&amp;" – "&amp;IF(LEN(INDEX('Vendor COIs'!$B$4:$B$503,(_calc!$E$600-500)))=0,"",INDEX('Vendor COIs'!$B$4:$B$503,(_calc!$E$600-500)))))</f>
        <v/>
      </c>
      <c r="B598" s="46">
        <f>IF(_calc!$E$600="","",IF(_calc!$E$600&lt;=500,IF(ISNUMBER(INDEX('Our policies'!$J$4:$J$503,_calc!$E$600)),TEXT(INDEX('Our policies'!$J$4:$J$503,_calc!$E$600),"yyyy-mm-dd"),""),IF(ISNUMBER(INDEX('Vendor COIs'!$H$4:$H$503,(_calc!$E$600-500))),TEXT(INDEX('Vendor COIs'!$H$4:$H$503,(_calc!$E$600-500)),"yyyy-mm-dd"),"")))</f>
        <v/>
      </c>
      <c r="C598" s="46">
        <f>IF(_calc!$E$600="","",IF(_calc!$E$600&lt;=500,"Insurance","Certificate of insurance"))</f>
        <v/>
      </c>
      <c r="D598" s="46">
        <f>IF(_calc!$E$600="","",IF(_calc!$E$600&lt;=500,IF(ISNUMBER(INDEX('Our policies'!$I$4:$I$503,_calc!$E$600)),TEXT(INDEX('Our policies'!$I$4:$I$503,_calc!$E$600),"yyyy-mm-dd"),""),""))</f>
        <v/>
      </c>
      <c r="E598" s="46">
        <f>IF(_calc!$E$600="","",IF(_calc!$E$600&lt;=500,IF(LEN(INDEX('Our policies'!$Q$4:$Q$503,_calc!$E$600))=0,"",INDEX('Our policies'!$Q$4:$Q$503,_calc!$E$600)),"Medium"))</f>
        <v/>
      </c>
      <c r="F598" s="46">
        <f>IF(_calc!$E$600="","",IF(_calc!$E$600&lt;=500,TRIM(IF(LEN(IF(LEN(INDEX('Our policies'!$B$4:$B$503,_calc!$E$600))=0,"",INDEX('Our policies'!$B$4:$B$503,_calc!$E$600)))=0,"","Cover: "&amp;IF(LEN(INDEX('Our policies'!$B$4:$B$503,_calc!$E$600))=0,"",INDEX('Our policies'!$B$4:$B$503,_calc!$E$600))&amp;". ")&amp;IF(LEN(IF(LEN(INDEX('Our policies'!$C$4:$C$503,_calc!$E$600))=0,"",INDEX('Our policies'!$C$4:$C$503,_calc!$E$600)))=0,"","Insurer: "&amp;IF(LEN(INDEX('Our policies'!$C$4:$C$503,_calc!$E$600))=0,"",INDEX('Our policies'!$C$4:$C$503,_calc!$E$600))&amp;". ")&amp;IF(LEN(IF(LEN(INDEX('Our policies'!$D$4:$D$503,_calc!$E$600))=0,"",INDEX('Our policies'!$D$4:$D$503,_calc!$E$600)))=0,"","Broker: "&amp;IF(LEN(INDEX('Our policies'!$D$4:$D$503,_calc!$E$600))=0,"",INDEX('Our policies'!$D$4:$D$503,_calc!$E$600))&amp;". ")&amp;IF(LEN(IF(LEN(INDEX('Our policies'!$E$4:$E$503,_calc!$E$600))=0,"",INDEX('Our policies'!$E$4:$E$503,_calc!$E$600)))=0,"","Policy no.: "&amp;IF(LEN(INDEX('Our policies'!$E$4:$E$503,_calc!$E$600))=0,"",INDEX('Our policies'!$E$4:$E$503,_calc!$E$600))&amp;". ")&amp;IF(LEN(IF(LEN(INDEX('Our policies'!$S$4:$S$503,_calc!$E$600))=0,"",INDEX('Our policies'!$S$4:$S$503,_calc!$E$600)))=0,"",IF(LEN(INDEX('Our policies'!$S$4:$S$503,_calc!$E$600))=0,"",INDEX('Our policies'!$S$4:$S$503,_calc!$E$600)))),TRIM(IF(LEN(IF(LEN(INDEX('Vendor COIs'!$C$4:$C$503,(_calc!$E$600-500)))=0,"",INDEX('Vendor COIs'!$C$4:$C$503,(_calc!$E$600-500))))=0,"","Insurer: "&amp;IF(LEN(INDEX('Vendor COIs'!$C$4:$C$503,(_calc!$E$600-500)))=0,"",INDEX('Vendor COIs'!$C$4:$C$503,(_calc!$E$600-500)))&amp;". ")&amp;IF(LEN(IF(LEN(INDEX('Vendor COIs'!$D$4:$D$503,(_calc!$E$600-500)))=0,"",INDEX('Vendor COIs'!$D$4:$D$503,(_calc!$E$600-500))))=0,"","Policy no.: "&amp;IF(LEN(INDEX('Vendor COIs'!$D$4:$D$503,(_calc!$E$600-500)))=0,"",INDEX('Vendor COIs'!$D$4:$D$503,(_calc!$E$600-500)))&amp;". ")&amp;IF(LEN(IF(LEN(INDEX('Vendor COIs'!$F$4:$F$503,(_calc!$E$600-500)))=0,"",INDEX('Vendor COIs'!$F$4:$F$503,(_calc!$E$600-500))))=0,"","Meets minimum: "&amp;IF(LEN(INDEX('Vendor COIs'!$F$4:$F$503,(_calc!$E$600-500)))=0,"",INDEX('Vendor COIs'!$F$4:$F$503,(_calc!$E$600-500)))&amp;". ")&amp;IF(LEN(IF(LEN(INDEX('Vendor COIs'!$G$4:$G$503,(_calc!$E$600-500)))=0,"",INDEX('Vendor COIs'!$G$4:$G$503,(_calc!$E$600-500))))=0,"","Additional insured: "&amp;IF(LEN(INDEX('Vendor COIs'!$G$4:$G$503,(_calc!$E$600-500)))=0,"",INDEX('Vendor COIs'!$G$4:$G$503,(_calc!$E$600-500)))&amp;". ")&amp;IF(LEN(IF(LEN(INDEX('Vendor COIs'!$M$4:$M$503,(_calc!$E$600-500)))=0,"",INDEX('Vendor COIs'!$M$4:$M$503,(_calc!$E$600-500))))=0,"","Vendor contact: "&amp;IF(LEN(INDEX('Vendor COIs'!$M$4:$M$503,(_calc!$E$600-500)))=0,"",INDEX('Vendor COIs'!$M$4:$M$503,(_calc!$E$600-500)))&amp;". ")&amp;IF(LEN(IF(LEN(INDEX('Vendor COIs'!$P$4:$P$503,(_calc!$E$600-500)))=0,"",INDEX('Vendor COIs'!$P$4:$P$503,(_calc!$E$600-500))))=0,"",IF(LEN(INDEX('Vendor COIs'!$P$4:$P$503,(_calc!$E$600-500)))=0,"",INDEX('Vendor COIs'!$P$4:$P$503,(_calc!$E$600-500)))))))</f>
        <v/>
      </c>
      <c r="G598" s="46">
        <f>IF(_calc!$E$600="","",IF(_calc!$E$600&lt;=500,IF(LEN(INDEX('Our policies'!$R$4:$R$503,_calc!$E$600))=0,"",INDEX('Our policies'!$R$4:$R$503,_calc!$E$600)),IF(LEN(INDEX('Vendor COIs'!$O$4:$O$503,(_calc!$E$600-500)))=0,"",INDEX('Vendor COIs'!$O$4:$O$503,(_calc!$E$600-500)))))</f>
        <v/>
      </c>
      <c r="H598" s="46">
        <f>IF(_calc!$E$600="","",IF(_calc!$E$600&lt;=500,IF(LEN(INDEX('Our policies'!$G$4:$G$503,_calc!$E$600))=0,"",INDEX('Our policies'!$G$4:$G$503,_calc!$E$600)),""))</f>
        <v/>
      </c>
      <c r="I598" s="46">
        <f>IF(_calc!$E$600="","",IF(_calc!$E$600&lt;=500,IF(LEN(INDEX('Our policies'!$H$4:$H$503,_calc!$E$600))=0,"",INDEX('Our policies'!$H$4:$H$503,_calc!$E$600)),""))</f>
        <v/>
      </c>
      <c r="K598" s="46">
        <f>IF(_calc!$E$600="","",IF(_calc!$E$600&lt;=500,IF(LEN(INDEX('Our policies'!$P$4:$P$503,_calc!$E$600))=0,"",INDEX('Our policies'!$P$4:$P$503,_calc!$E$600)),IF(LEN(INDEX('Vendor COIs'!$N$4:$N$503,(_calc!$E$600-500)))=0,"",INDEX('Vendor COIs'!$N$4:$N$503,(_calc!$E$600-500)))))</f>
        <v/>
      </c>
    </row>
    <row r="599">
      <c r="A599" s="46">
        <f>IF(_calc!$E$601="","",IF(_calc!$E$601&lt;=500,IF(LEN(INDEX('Our policies'!$A$4:$A$503,_calc!$E$601))=0,"",INDEX('Our policies'!$A$4:$A$503,_calc!$E$601)),"COI – "&amp;IF(LEN(INDEX('Vendor COIs'!$A$4:$A$503,(_calc!$E$601-500)))=0,"",INDEX('Vendor COIs'!$A$4:$A$503,(_calc!$E$601-500)))&amp;" – "&amp;IF(LEN(INDEX('Vendor COIs'!$B$4:$B$503,(_calc!$E$601-500)))=0,"",INDEX('Vendor COIs'!$B$4:$B$503,(_calc!$E$601-500)))))</f>
        <v/>
      </c>
      <c r="B599" s="46">
        <f>IF(_calc!$E$601="","",IF(_calc!$E$601&lt;=500,IF(ISNUMBER(INDEX('Our policies'!$J$4:$J$503,_calc!$E$601)),TEXT(INDEX('Our policies'!$J$4:$J$503,_calc!$E$601),"yyyy-mm-dd"),""),IF(ISNUMBER(INDEX('Vendor COIs'!$H$4:$H$503,(_calc!$E$601-500))),TEXT(INDEX('Vendor COIs'!$H$4:$H$503,(_calc!$E$601-500)),"yyyy-mm-dd"),"")))</f>
        <v/>
      </c>
      <c r="C599" s="46">
        <f>IF(_calc!$E$601="","",IF(_calc!$E$601&lt;=500,"Insurance","Certificate of insurance"))</f>
        <v/>
      </c>
      <c r="D599" s="46">
        <f>IF(_calc!$E$601="","",IF(_calc!$E$601&lt;=500,IF(ISNUMBER(INDEX('Our policies'!$I$4:$I$503,_calc!$E$601)),TEXT(INDEX('Our policies'!$I$4:$I$503,_calc!$E$601),"yyyy-mm-dd"),""),""))</f>
        <v/>
      </c>
      <c r="E599" s="46">
        <f>IF(_calc!$E$601="","",IF(_calc!$E$601&lt;=500,IF(LEN(INDEX('Our policies'!$Q$4:$Q$503,_calc!$E$601))=0,"",INDEX('Our policies'!$Q$4:$Q$503,_calc!$E$601)),"Medium"))</f>
        <v/>
      </c>
      <c r="F599" s="46">
        <f>IF(_calc!$E$601="","",IF(_calc!$E$601&lt;=500,TRIM(IF(LEN(IF(LEN(INDEX('Our policies'!$B$4:$B$503,_calc!$E$601))=0,"",INDEX('Our policies'!$B$4:$B$503,_calc!$E$601)))=0,"","Cover: "&amp;IF(LEN(INDEX('Our policies'!$B$4:$B$503,_calc!$E$601))=0,"",INDEX('Our policies'!$B$4:$B$503,_calc!$E$601))&amp;". ")&amp;IF(LEN(IF(LEN(INDEX('Our policies'!$C$4:$C$503,_calc!$E$601))=0,"",INDEX('Our policies'!$C$4:$C$503,_calc!$E$601)))=0,"","Insurer: "&amp;IF(LEN(INDEX('Our policies'!$C$4:$C$503,_calc!$E$601))=0,"",INDEX('Our policies'!$C$4:$C$503,_calc!$E$601))&amp;". ")&amp;IF(LEN(IF(LEN(INDEX('Our policies'!$D$4:$D$503,_calc!$E$601))=0,"",INDEX('Our policies'!$D$4:$D$503,_calc!$E$601)))=0,"","Broker: "&amp;IF(LEN(INDEX('Our policies'!$D$4:$D$503,_calc!$E$601))=0,"",INDEX('Our policies'!$D$4:$D$503,_calc!$E$601))&amp;". ")&amp;IF(LEN(IF(LEN(INDEX('Our policies'!$E$4:$E$503,_calc!$E$601))=0,"",INDEX('Our policies'!$E$4:$E$503,_calc!$E$601)))=0,"","Policy no.: "&amp;IF(LEN(INDEX('Our policies'!$E$4:$E$503,_calc!$E$601))=0,"",INDEX('Our policies'!$E$4:$E$503,_calc!$E$601))&amp;". ")&amp;IF(LEN(IF(LEN(INDEX('Our policies'!$S$4:$S$503,_calc!$E$601))=0,"",INDEX('Our policies'!$S$4:$S$503,_calc!$E$601)))=0,"",IF(LEN(INDEX('Our policies'!$S$4:$S$503,_calc!$E$601))=0,"",INDEX('Our policies'!$S$4:$S$503,_calc!$E$601)))),TRIM(IF(LEN(IF(LEN(INDEX('Vendor COIs'!$C$4:$C$503,(_calc!$E$601-500)))=0,"",INDEX('Vendor COIs'!$C$4:$C$503,(_calc!$E$601-500))))=0,"","Insurer: "&amp;IF(LEN(INDEX('Vendor COIs'!$C$4:$C$503,(_calc!$E$601-500)))=0,"",INDEX('Vendor COIs'!$C$4:$C$503,(_calc!$E$601-500)))&amp;". ")&amp;IF(LEN(IF(LEN(INDEX('Vendor COIs'!$D$4:$D$503,(_calc!$E$601-500)))=0,"",INDEX('Vendor COIs'!$D$4:$D$503,(_calc!$E$601-500))))=0,"","Policy no.: "&amp;IF(LEN(INDEX('Vendor COIs'!$D$4:$D$503,(_calc!$E$601-500)))=0,"",INDEX('Vendor COIs'!$D$4:$D$503,(_calc!$E$601-500)))&amp;". ")&amp;IF(LEN(IF(LEN(INDEX('Vendor COIs'!$F$4:$F$503,(_calc!$E$601-500)))=0,"",INDEX('Vendor COIs'!$F$4:$F$503,(_calc!$E$601-500))))=0,"","Meets minimum: "&amp;IF(LEN(INDEX('Vendor COIs'!$F$4:$F$503,(_calc!$E$601-500)))=0,"",INDEX('Vendor COIs'!$F$4:$F$503,(_calc!$E$601-500)))&amp;". ")&amp;IF(LEN(IF(LEN(INDEX('Vendor COIs'!$G$4:$G$503,(_calc!$E$601-500)))=0,"",INDEX('Vendor COIs'!$G$4:$G$503,(_calc!$E$601-500))))=0,"","Additional insured: "&amp;IF(LEN(INDEX('Vendor COIs'!$G$4:$G$503,(_calc!$E$601-500)))=0,"",INDEX('Vendor COIs'!$G$4:$G$503,(_calc!$E$601-500)))&amp;". ")&amp;IF(LEN(IF(LEN(INDEX('Vendor COIs'!$M$4:$M$503,(_calc!$E$601-500)))=0,"",INDEX('Vendor COIs'!$M$4:$M$503,(_calc!$E$601-500))))=0,"","Vendor contact: "&amp;IF(LEN(INDEX('Vendor COIs'!$M$4:$M$503,(_calc!$E$601-500)))=0,"",INDEX('Vendor COIs'!$M$4:$M$503,(_calc!$E$601-500)))&amp;". ")&amp;IF(LEN(IF(LEN(INDEX('Vendor COIs'!$P$4:$P$503,(_calc!$E$601-500)))=0,"",INDEX('Vendor COIs'!$P$4:$P$503,(_calc!$E$601-500))))=0,"",IF(LEN(INDEX('Vendor COIs'!$P$4:$P$503,(_calc!$E$601-500)))=0,"",INDEX('Vendor COIs'!$P$4:$P$503,(_calc!$E$601-500)))))))</f>
        <v/>
      </c>
      <c r="G599" s="46">
        <f>IF(_calc!$E$601="","",IF(_calc!$E$601&lt;=500,IF(LEN(INDEX('Our policies'!$R$4:$R$503,_calc!$E$601))=0,"",INDEX('Our policies'!$R$4:$R$503,_calc!$E$601)),IF(LEN(INDEX('Vendor COIs'!$O$4:$O$503,(_calc!$E$601-500)))=0,"",INDEX('Vendor COIs'!$O$4:$O$503,(_calc!$E$601-500)))))</f>
        <v/>
      </c>
      <c r="H599" s="46">
        <f>IF(_calc!$E$601="","",IF(_calc!$E$601&lt;=500,IF(LEN(INDEX('Our policies'!$G$4:$G$503,_calc!$E$601))=0,"",INDEX('Our policies'!$G$4:$G$503,_calc!$E$601)),""))</f>
        <v/>
      </c>
      <c r="I599" s="46">
        <f>IF(_calc!$E$601="","",IF(_calc!$E$601&lt;=500,IF(LEN(INDEX('Our policies'!$H$4:$H$503,_calc!$E$601))=0,"",INDEX('Our policies'!$H$4:$H$503,_calc!$E$601)),""))</f>
        <v/>
      </c>
      <c r="K599" s="46">
        <f>IF(_calc!$E$601="","",IF(_calc!$E$601&lt;=500,IF(LEN(INDEX('Our policies'!$P$4:$P$503,_calc!$E$601))=0,"",INDEX('Our policies'!$P$4:$P$503,_calc!$E$601)),IF(LEN(INDEX('Vendor COIs'!$N$4:$N$503,(_calc!$E$601-500)))=0,"",INDEX('Vendor COIs'!$N$4:$N$503,(_calc!$E$601-500)))))</f>
        <v/>
      </c>
    </row>
    <row r="600">
      <c r="A600" s="46">
        <f>IF(_calc!$E$602="","",IF(_calc!$E$602&lt;=500,IF(LEN(INDEX('Our policies'!$A$4:$A$503,_calc!$E$602))=0,"",INDEX('Our policies'!$A$4:$A$503,_calc!$E$602)),"COI – "&amp;IF(LEN(INDEX('Vendor COIs'!$A$4:$A$503,(_calc!$E$602-500)))=0,"",INDEX('Vendor COIs'!$A$4:$A$503,(_calc!$E$602-500)))&amp;" – "&amp;IF(LEN(INDEX('Vendor COIs'!$B$4:$B$503,(_calc!$E$602-500)))=0,"",INDEX('Vendor COIs'!$B$4:$B$503,(_calc!$E$602-500)))))</f>
        <v/>
      </c>
      <c r="B600" s="46">
        <f>IF(_calc!$E$602="","",IF(_calc!$E$602&lt;=500,IF(ISNUMBER(INDEX('Our policies'!$J$4:$J$503,_calc!$E$602)),TEXT(INDEX('Our policies'!$J$4:$J$503,_calc!$E$602),"yyyy-mm-dd"),""),IF(ISNUMBER(INDEX('Vendor COIs'!$H$4:$H$503,(_calc!$E$602-500))),TEXT(INDEX('Vendor COIs'!$H$4:$H$503,(_calc!$E$602-500)),"yyyy-mm-dd"),"")))</f>
        <v/>
      </c>
      <c r="C600" s="46">
        <f>IF(_calc!$E$602="","",IF(_calc!$E$602&lt;=500,"Insurance","Certificate of insurance"))</f>
        <v/>
      </c>
      <c r="D600" s="46">
        <f>IF(_calc!$E$602="","",IF(_calc!$E$602&lt;=500,IF(ISNUMBER(INDEX('Our policies'!$I$4:$I$503,_calc!$E$602)),TEXT(INDEX('Our policies'!$I$4:$I$503,_calc!$E$602),"yyyy-mm-dd"),""),""))</f>
        <v/>
      </c>
      <c r="E600" s="46">
        <f>IF(_calc!$E$602="","",IF(_calc!$E$602&lt;=500,IF(LEN(INDEX('Our policies'!$Q$4:$Q$503,_calc!$E$602))=0,"",INDEX('Our policies'!$Q$4:$Q$503,_calc!$E$602)),"Medium"))</f>
        <v/>
      </c>
      <c r="F600" s="46">
        <f>IF(_calc!$E$602="","",IF(_calc!$E$602&lt;=500,TRIM(IF(LEN(IF(LEN(INDEX('Our policies'!$B$4:$B$503,_calc!$E$602))=0,"",INDEX('Our policies'!$B$4:$B$503,_calc!$E$602)))=0,"","Cover: "&amp;IF(LEN(INDEX('Our policies'!$B$4:$B$503,_calc!$E$602))=0,"",INDEX('Our policies'!$B$4:$B$503,_calc!$E$602))&amp;". ")&amp;IF(LEN(IF(LEN(INDEX('Our policies'!$C$4:$C$503,_calc!$E$602))=0,"",INDEX('Our policies'!$C$4:$C$503,_calc!$E$602)))=0,"","Insurer: "&amp;IF(LEN(INDEX('Our policies'!$C$4:$C$503,_calc!$E$602))=0,"",INDEX('Our policies'!$C$4:$C$503,_calc!$E$602))&amp;". ")&amp;IF(LEN(IF(LEN(INDEX('Our policies'!$D$4:$D$503,_calc!$E$602))=0,"",INDEX('Our policies'!$D$4:$D$503,_calc!$E$602)))=0,"","Broker: "&amp;IF(LEN(INDEX('Our policies'!$D$4:$D$503,_calc!$E$602))=0,"",INDEX('Our policies'!$D$4:$D$503,_calc!$E$602))&amp;". ")&amp;IF(LEN(IF(LEN(INDEX('Our policies'!$E$4:$E$503,_calc!$E$602))=0,"",INDEX('Our policies'!$E$4:$E$503,_calc!$E$602)))=0,"","Policy no.: "&amp;IF(LEN(INDEX('Our policies'!$E$4:$E$503,_calc!$E$602))=0,"",INDEX('Our policies'!$E$4:$E$503,_calc!$E$602))&amp;". ")&amp;IF(LEN(IF(LEN(INDEX('Our policies'!$S$4:$S$503,_calc!$E$602))=0,"",INDEX('Our policies'!$S$4:$S$503,_calc!$E$602)))=0,"",IF(LEN(INDEX('Our policies'!$S$4:$S$503,_calc!$E$602))=0,"",INDEX('Our policies'!$S$4:$S$503,_calc!$E$602)))),TRIM(IF(LEN(IF(LEN(INDEX('Vendor COIs'!$C$4:$C$503,(_calc!$E$602-500)))=0,"",INDEX('Vendor COIs'!$C$4:$C$503,(_calc!$E$602-500))))=0,"","Insurer: "&amp;IF(LEN(INDEX('Vendor COIs'!$C$4:$C$503,(_calc!$E$602-500)))=0,"",INDEX('Vendor COIs'!$C$4:$C$503,(_calc!$E$602-500)))&amp;". ")&amp;IF(LEN(IF(LEN(INDEX('Vendor COIs'!$D$4:$D$503,(_calc!$E$602-500)))=0,"",INDEX('Vendor COIs'!$D$4:$D$503,(_calc!$E$602-500))))=0,"","Policy no.: "&amp;IF(LEN(INDEX('Vendor COIs'!$D$4:$D$503,(_calc!$E$602-500)))=0,"",INDEX('Vendor COIs'!$D$4:$D$503,(_calc!$E$602-500)))&amp;". ")&amp;IF(LEN(IF(LEN(INDEX('Vendor COIs'!$F$4:$F$503,(_calc!$E$602-500)))=0,"",INDEX('Vendor COIs'!$F$4:$F$503,(_calc!$E$602-500))))=0,"","Meets minimum: "&amp;IF(LEN(INDEX('Vendor COIs'!$F$4:$F$503,(_calc!$E$602-500)))=0,"",INDEX('Vendor COIs'!$F$4:$F$503,(_calc!$E$602-500)))&amp;". ")&amp;IF(LEN(IF(LEN(INDEX('Vendor COIs'!$G$4:$G$503,(_calc!$E$602-500)))=0,"",INDEX('Vendor COIs'!$G$4:$G$503,(_calc!$E$602-500))))=0,"","Additional insured: "&amp;IF(LEN(INDEX('Vendor COIs'!$G$4:$G$503,(_calc!$E$602-500)))=0,"",INDEX('Vendor COIs'!$G$4:$G$503,(_calc!$E$602-500)))&amp;". ")&amp;IF(LEN(IF(LEN(INDEX('Vendor COIs'!$M$4:$M$503,(_calc!$E$602-500)))=0,"",INDEX('Vendor COIs'!$M$4:$M$503,(_calc!$E$602-500))))=0,"","Vendor contact: "&amp;IF(LEN(INDEX('Vendor COIs'!$M$4:$M$503,(_calc!$E$602-500)))=0,"",INDEX('Vendor COIs'!$M$4:$M$503,(_calc!$E$602-500)))&amp;". ")&amp;IF(LEN(IF(LEN(INDEX('Vendor COIs'!$P$4:$P$503,(_calc!$E$602-500)))=0,"",INDEX('Vendor COIs'!$P$4:$P$503,(_calc!$E$602-500))))=0,"",IF(LEN(INDEX('Vendor COIs'!$P$4:$P$503,(_calc!$E$602-500)))=0,"",INDEX('Vendor COIs'!$P$4:$P$503,(_calc!$E$602-500)))))))</f>
        <v/>
      </c>
      <c r="G600" s="46">
        <f>IF(_calc!$E$602="","",IF(_calc!$E$602&lt;=500,IF(LEN(INDEX('Our policies'!$R$4:$R$503,_calc!$E$602))=0,"",INDEX('Our policies'!$R$4:$R$503,_calc!$E$602)),IF(LEN(INDEX('Vendor COIs'!$O$4:$O$503,(_calc!$E$602-500)))=0,"",INDEX('Vendor COIs'!$O$4:$O$503,(_calc!$E$602-500)))))</f>
        <v/>
      </c>
      <c r="H600" s="46">
        <f>IF(_calc!$E$602="","",IF(_calc!$E$602&lt;=500,IF(LEN(INDEX('Our policies'!$G$4:$G$503,_calc!$E$602))=0,"",INDEX('Our policies'!$G$4:$G$503,_calc!$E$602)),""))</f>
        <v/>
      </c>
      <c r="I600" s="46">
        <f>IF(_calc!$E$602="","",IF(_calc!$E$602&lt;=500,IF(LEN(INDEX('Our policies'!$H$4:$H$503,_calc!$E$602))=0,"",INDEX('Our policies'!$H$4:$H$503,_calc!$E$602)),""))</f>
        <v/>
      </c>
      <c r="K600" s="46">
        <f>IF(_calc!$E$602="","",IF(_calc!$E$602&lt;=500,IF(LEN(INDEX('Our policies'!$P$4:$P$503,_calc!$E$602))=0,"",INDEX('Our policies'!$P$4:$P$503,_calc!$E$602)),IF(LEN(INDEX('Vendor COIs'!$N$4:$N$503,(_calc!$E$602-500)))=0,"",INDEX('Vendor COIs'!$N$4:$N$503,(_calc!$E$602-500)))))</f>
        <v/>
      </c>
    </row>
    <row r="601">
      <c r="A601" s="46">
        <f>IF(_calc!$E$603="","",IF(_calc!$E$603&lt;=500,IF(LEN(INDEX('Our policies'!$A$4:$A$503,_calc!$E$603))=0,"",INDEX('Our policies'!$A$4:$A$503,_calc!$E$603)),"COI – "&amp;IF(LEN(INDEX('Vendor COIs'!$A$4:$A$503,(_calc!$E$603-500)))=0,"",INDEX('Vendor COIs'!$A$4:$A$503,(_calc!$E$603-500)))&amp;" – "&amp;IF(LEN(INDEX('Vendor COIs'!$B$4:$B$503,(_calc!$E$603-500)))=0,"",INDEX('Vendor COIs'!$B$4:$B$503,(_calc!$E$603-500)))))</f>
        <v/>
      </c>
      <c r="B601" s="46">
        <f>IF(_calc!$E$603="","",IF(_calc!$E$603&lt;=500,IF(ISNUMBER(INDEX('Our policies'!$J$4:$J$503,_calc!$E$603)),TEXT(INDEX('Our policies'!$J$4:$J$503,_calc!$E$603),"yyyy-mm-dd"),""),IF(ISNUMBER(INDEX('Vendor COIs'!$H$4:$H$503,(_calc!$E$603-500))),TEXT(INDEX('Vendor COIs'!$H$4:$H$503,(_calc!$E$603-500)),"yyyy-mm-dd"),"")))</f>
        <v/>
      </c>
      <c r="C601" s="46">
        <f>IF(_calc!$E$603="","",IF(_calc!$E$603&lt;=500,"Insurance","Certificate of insurance"))</f>
        <v/>
      </c>
      <c r="D601" s="46">
        <f>IF(_calc!$E$603="","",IF(_calc!$E$603&lt;=500,IF(ISNUMBER(INDEX('Our policies'!$I$4:$I$503,_calc!$E$603)),TEXT(INDEX('Our policies'!$I$4:$I$503,_calc!$E$603),"yyyy-mm-dd"),""),""))</f>
        <v/>
      </c>
      <c r="E601" s="46">
        <f>IF(_calc!$E$603="","",IF(_calc!$E$603&lt;=500,IF(LEN(INDEX('Our policies'!$Q$4:$Q$503,_calc!$E$603))=0,"",INDEX('Our policies'!$Q$4:$Q$503,_calc!$E$603)),"Medium"))</f>
        <v/>
      </c>
      <c r="F601" s="46">
        <f>IF(_calc!$E$603="","",IF(_calc!$E$603&lt;=500,TRIM(IF(LEN(IF(LEN(INDEX('Our policies'!$B$4:$B$503,_calc!$E$603))=0,"",INDEX('Our policies'!$B$4:$B$503,_calc!$E$603)))=0,"","Cover: "&amp;IF(LEN(INDEX('Our policies'!$B$4:$B$503,_calc!$E$603))=0,"",INDEX('Our policies'!$B$4:$B$503,_calc!$E$603))&amp;". ")&amp;IF(LEN(IF(LEN(INDEX('Our policies'!$C$4:$C$503,_calc!$E$603))=0,"",INDEX('Our policies'!$C$4:$C$503,_calc!$E$603)))=0,"","Insurer: "&amp;IF(LEN(INDEX('Our policies'!$C$4:$C$503,_calc!$E$603))=0,"",INDEX('Our policies'!$C$4:$C$503,_calc!$E$603))&amp;". ")&amp;IF(LEN(IF(LEN(INDEX('Our policies'!$D$4:$D$503,_calc!$E$603))=0,"",INDEX('Our policies'!$D$4:$D$503,_calc!$E$603)))=0,"","Broker: "&amp;IF(LEN(INDEX('Our policies'!$D$4:$D$503,_calc!$E$603))=0,"",INDEX('Our policies'!$D$4:$D$503,_calc!$E$603))&amp;". ")&amp;IF(LEN(IF(LEN(INDEX('Our policies'!$E$4:$E$503,_calc!$E$603))=0,"",INDEX('Our policies'!$E$4:$E$503,_calc!$E$603)))=0,"","Policy no.: "&amp;IF(LEN(INDEX('Our policies'!$E$4:$E$503,_calc!$E$603))=0,"",INDEX('Our policies'!$E$4:$E$503,_calc!$E$603))&amp;". ")&amp;IF(LEN(IF(LEN(INDEX('Our policies'!$S$4:$S$503,_calc!$E$603))=0,"",INDEX('Our policies'!$S$4:$S$503,_calc!$E$603)))=0,"",IF(LEN(INDEX('Our policies'!$S$4:$S$503,_calc!$E$603))=0,"",INDEX('Our policies'!$S$4:$S$503,_calc!$E$603)))),TRIM(IF(LEN(IF(LEN(INDEX('Vendor COIs'!$C$4:$C$503,(_calc!$E$603-500)))=0,"",INDEX('Vendor COIs'!$C$4:$C$503,(_calc!$E$603-500))))=0,"","Insurer: "&amp;IF(LEN(INDEX('Vendor COIs'!$C$4:$C$503,(_calc!$E$603-500)))=0,"",INDEX('Vendor COIs'!$C$4:$C$503,(_calc!$E$603-500)))&amp;". ")&amp;IF(LEN(IF(LEN(INDEX('Vendor COIs'!$D$4:$D$503,(_calc!$E$603-500)))=0,"",INDEX('Vendor COIs'!$D$4:$D$503,(_calc!$E$603-500))))=0,"","Policy no.: "&amp;IF(LEN(INDEX('Vendor COIs'!$D$4:$D$503,(_calc!$E$603-500)))=0,"",INDEX('Vendor COIs'!$D$4:$D$503,(_calc!$E$603-500)))&amp;". ")&amp;IF(LEN(IF(LEN(INDEX('Vendor COIs'!$F$4:$F$503,(_calc!$E$603-500)))=0,"",INDEX('Vendor COIs'!$F$4:$F$503,(_calc!$E$603-500))))=0,"","Meets minimum: "&amp;IF(LEN(INDEX('Vendor COIs'!$F$4:$F$503,(_calc!$E$603-500)))=0,"",INDEX('Vendor COIs'!$F$4:$F$503,(_calc!$E$603-500)))&amp;". ")&amp;IF(LEN(IF(LEN(INDEX('Vendor COIs'!$G$4:$G$503,(_calc!$E$603-500)))=0,"",INDEX('Vendor COIs'!$G$4:$G$503,(_calc!$E$603-500))))=0,"","Additional insured: "&amp;IF(LEN(INDEX('Vendor COIs'!$G$4:$G$503,(_calc!$E$603-500)))=0,"",INDEX('Vendor COIs'!$G$4:$G$503,(_calc!$E$603-500)))&amp;". ")&amp;IF(LEN(IF(LEN(INDEX('Vendor COIs'!$M$4:$M$503,(_calc!$E$603-500)))=0,"",INDEX('Vendor COIs'!$M$4:$M$503,(_calc!$E$603-500))))=0,"","Vendor contact: "&amp;IF(LEN(INDEX('Vendor COIs'!$M$4:$M$503,(_calc!$E$603-500)))=0,"",INDEX('Vendor COIs'!$M$4:$M$503,(_calc!$E$603-500)))&amp;". ")&amp;IF(LEN(IF(LEN(INDEX('Vendor COIs'!$P$4:$P$503,(_calc!$E$603-500)))=0,"",INDEX('Vendor COIs'!$P$4:$P$503,(_calc!$E$603-500))))=0,"",IF(LEN(INDEX('Vendor COIs'!$P$4:$P$503,(_calc!$E$603-500)))=0,"",INDEX('Vendor COIs'!$P$4:$P$503,(_calc!$E$603-500)))))))</f>
        <v/>
      </c>
      <c r="G601" s="46">
        <f>IF(_calc!$E$603="","",IF(_calc!$E$603&lt;=500,IF(LEN(INDEX('Our policies'!$R$4:$R$503,_calc!$E$603))=0,"",INDEX('Our policies'!$R$4:$R$503,_calc!$E$603)),IF(LEN(INDEX('Vendor COIs'!$O$4:$O$503,(_calc!$E$603-500)))=0,"",INDEX('Vendor COIs'!$O$4:$O$503,(_calc!$E$603-500)))))</f>
        <v/>
      </c>
      <c r="H601" s="46">
        <f>IF(_calc!$E$603="","",IF(_calc!$E$603&lt;=500,IF(LEN(INDEX('Our policies'!$G$4:$G$503,_calc!$E$603))=0,"",INDEX('Our policies'!$G$4:$G$503,_calc!$E$603)),""))</f>
        <v/>
      </c>
      <c r="I601" s="46">
        <f>IF(_calc!$E$603="","",IF(_calc!$E$603&lt;=500,IF(LEN(INDEX('Our policies'!$H$4:$H$503,_calc!$E$603))=0,"",INDEX('Our policies'!$H$4:$H$503,_calc!$E$603)),""))</f>
        <v/>
      </c>
      <c r="K601" s="46">
        <f>IF(_calc!$E$603="","",IF(_calc!$E$603&lt;=500,IF(LEN(INDEX('Our policies'!$P$4:$P$503,_calc!$E$603))=0,"",INDEX('Our policies'!$P$4:$P$503,_calc!$E$603)),IF(LEN(INDEX('Vendor COIs'!$N$4:$N$503,(_calc!$E$603-500)))=0,"",INDEX('Vendor COIs'!$N$4:$N$503,(_calc!$E$603-500)))))</f>
        <v/>
      </c>
    </row>
    <row r="602">
      <c r="A602" s="46">
        <f>IF(_calc!$E$604="","",IF(_calc!$E$604&lt;=500,IF(LEN(INDEX('Our policies'!$A$4:$A$503,_calc!$E$604))=0,"",INDEX('Our policies'!$A$4:$A$503,_calc!$E$604)),"COI – "&amp;IF(LEN(INDEX('Vendor COIs'!$A$4:$A$503,(_calc!$E$604-500)))=0,"",INDEX('Vendor COIs'!$A$4:$A$503,(_calc!$E$604-500)))&amp;" – "&amp;IF(LEN(INDEX('Vendor COIs'!$B$4:$B$503,(_calc!$E$604-500)))=0,"",INDEX('Vendor COIs'!$B$4:$B$503,(_calc!$E$604-500)))))</f>
        <v/>
      </c>
      <c r="B602" s="46">
        <f>IF(_calc!$E$604="","",IF(_calc!$E$604&lt;=500,IF(ISNUMBER(INDEX('Our policies'!$J$4:$J$503,_calc!$E$604)),TEXT(INDEX('Our policies'!$J$4:$J$503,_calc!$E$604),"yyyy-mm-dd"),""),IF(ISNUMBER(INDEX('Vendor COIs'!$H$4:$H$503,(_calc!$E$604-500))),TEXT(INDEX('Vendor COIs'!$H$4:$H$503,(_calc!$E$604-500)),"yyyy-mm-dd"),"")))</f>
        <v/>
      </c>
      <c r="C602" s="46">
        <f>IF(_calc!$E$604="","",IF(_calc!$E$604&lt;=500,"Insurance","Certificate of insurance"))</f>
        <v/>
      </c>
      <c r="D602" s="46">
        <f>IF(_calc!$E$604="","",IF(_calc!$E$604&lt;=500,IF(ISNUMBER(INDEX('Our policies'!$I$4:$I$503,_calc!$E$604)),TEXT(INDEX('Our policies'!$I$4:$I$503,_calc!$E$604),"yyyy-mm-dd"),""),""))</f>
        <v/>
      </c>
      <c r="E602" s="46">
        <f>IF(_calc!$E$604="","",IF(_calc!$E$604&lt;=500,IF(LEN(INDEX('Our policies'!$Q$4:$Q$503,_calc!$E$604))=0,"",INDEX('Our policies'!$Q$4:$Q$503,_calc!$E$604)),"Medium"))</f>
        <v/>
      </c>
      <c r="F602" s="46">
        <f>IF(_calc!$E$604="","",IF(_calc!$E$604&lt;=500,TRIM(IF(LEN(IF(LEN(INDEX('Our policies'!$B$4:$B$503,_calc!$E$604))=0,"",INDEX('Our policies'!$B$4:$B$503,_calc!$E$604)))=0,"","Cover: "&amp;IF(LEN(INDEX('Our policies'!$B$4:$B$503,_calc!$E$604))=0,"",INDEX('Our policies'!$B$4:$B$503,_calc!$E$604))&amp;". ")&amp;IF(LEN(IF(LEN(INDEX('Our policies'!$C$4:$C$503,_calc!$E$604))=0,"",INDEX('Our policies'!$C$4:$C$503,_calc!$E$604)))=0,"","Insurer: "&amp;IF(LEN(INDEX('Our policies'!$C$4:$C$503,_calc!$E$604))=0,"",INDEX('Our policies'!$C$4:$C$503,_calc!$E$604))&amp;". ")&amp;IF(LEN(IF(LEN(INDEX('Our policies'!$D$4:$D$503,_calc!$E$604))=0,"",INDEX('Our policies'!$D$4:$D$503,_calc!$E$604)))=0,"","Broker: "&amp;IF(LEN(INDEX('Our policies'!$D$4:$D$503,_calc!$E$604))=0,"",INDEX('Our policies'!$D$4:$D$503,_calc!$E$604))&amp;". ")&amp;IF(LEN(IF(LEN(INDEX('Our policies'!$E$4:$E$503,_calc!$E$604))=0,"",INDEX('Our policies'!$E$4:$E$503,_calc!$E$604)))=0,"","Policy no.: "&amp;IF(LEN(INDEX('Our policies'!$E$4:$E$503,_calc!$E$604))=0,"",INDEX('Our policies'!$E$4:$E$503,_calc!$E$604))&amp;". ")&amp;IF(LEN(IF(LEN(INDEX('Our policies'!$S$4:$S$503,_calc!$E$604))=0,"",INDEX('Our policies'!$S$4:$S$503,_calc!$E$604)))=0,"",IF(LEN(INDEX('Our policies'!$S$4:$S$503,_calc!$E$604))=0,"",INDEX('Our policies'!$S$4:$S$503,_calc!$E$604)))),TRIM(IF(LEN(IF(LEN(INDEX('Vendor COIs'!$C$4:$C$503,(_calc!$E$604-500)))=0,"",INDEX('Vendor COIs'!$C$4:$C$503,(_calc!$E$604-500))))=0,"","Insurer: "&amp;IF(LEN(INDEX('Vendor COIs'!$C$4:$C$503,(_calc!$E$604-500)))=0,"",INDEX('Vendor COIs'!$C$4:$C$503,(_calc!$E$604-500)))&amp;". ")&amp;IF(LEN(IF(LEN(INDEX('Vendor COIs'!$D$4:$D$503,(_calc!$E$604-500)))=0,"",INDEX('Vendor COIs'!$D$4:$D$503,(_calc!$E$604-500))))=0,"","Policy no.: "&amp;IF(LEN(INDEX('Vendor COIs'!$D$4:$D$503,(_calc!$E$604-500)))=0,"",INDEX('Vendor COIs'!$D$4:$D$503,(_calc!$E$604-500)))&amp;". ")&amp;IF(LEN(IF(LEN(INDEX('Vendor COIs'!$F$4:$F$503,(_calc!$E$604-500)))=0,"",INDEX('Vendor COIs'!$F$4:$F$503,(_calc!$E$604-500))))=0,"","Meets minimum: "&amp;IF(LEN(INDEX('Vendor COIs'!$F$4:$F$503,(_calc!$E$604-500)))=0,"",INDEX('Vendor COIs'!$F$4:$F$503,(_calc!$E$604-500)))&amp;". ")&amp;IF(LEN(IF(LEN(INDEX('Vendor COIs'!$G$4:$G$503,(_calc!$E$604-500)))=0,"",INDEX('Vendor COIs'!$G$4:$G$503,(_calc!$E$604-500))))=0,"","Additional insured: "&amp;IF(LEN(INDEX('Vendor COIs'!$G$4:$G$503,(_calc!$E$604-500)))=0,"",INDEX('Vendor COIs'!$G$4:$G$503,(_calc!$E$604-500)))&amp;". ")&amp;IF(LEN(IF(LEN(INDEX('Vendor COIs'!$M$4:$M$503,(_calc!$E$604-500)))=0,"",INDEX('Vendor COIs'!$M$4:$M$503,(_calc!$E$604-500))))=0,"","Vendor contact: "&amp;IF(LEN(INDEX('Vendor COIs'!$M$4:$M$503,(_calc!$E$604-500)))=0,"",INDEX('Vendor COIs'!$M$4:$M$503,(_calc!$E$604-500)))&amp;". ")&amp;IF(LEN(IF(LEN(INDEX('Vendor COIs'!$P$4:$P$503,(_calc!$E$604-500)))=0,"",INDEX('Vendor COIs'!$P$4:$P$503,(_calc!$E$604-500))))=0,"",IF(LEN(INDEX('Vendor COIs'!$P$4:$P$503,(_calc!$E$604-500)))=0,"",INDEX('Vendor COIs'!$P$4:$P$503,(_calc!$E$604-500)))))))</f>
        <v/>
      </c>
      <c r="G602" s="46">
        <f>IF(_calc!$E$604="","",IF(_calc!$E$604&lt;=500,IF(LEN(INDEX('Our policies'!$R$4:$R$503,_calc!$E$604))=0,"",INDEX('Our policies'!$R$4:$R$503,_calc!$E$604)),IF(LEN(INDEX('Vendor COIs'!$O$4:$O$503,(_calc!$E$604-500)))=0,"",INDEX('Vendor COIs'!$O$4:$O$503,(_calc!$E$604-500)))))</f>
        <v/>
      </c>
      <c r="H602" s="46">
        <f>IF(_calc!$E$604="","",IF(_calc!$E$604&lt;=500,IF(LEN(INDEX('Our policies'!$G$4:$G$503,_calc!$E$604))=0,"",INDEX('Our policies'!$G$4:$G$503,_calc!$E$604)),""))</f>
        <v/>
      </c>
      <c r="I602" s="46">
        <f>IF(_calc!$E$604="","",IF(_calc!$E$604&lt;=500,IF(LEN(INDEX('Our policies'!$H$4:$H$503,_calc!$E$604))=0,"",INDEX('Our policies'!$H$4:$H$503,_calc!$E$604)),""))</f>
        <v/>
      </c>
      <c r="K602" s="46">
        <f>IF(_calc!$E$604="","",IF(_calc!$E$604&lt;=500,IF(LEN(INDEX('Our policies'!$P$4:$P$503,_calc!$E$604))=0,"",INDEX('Our policies'!$P$4:$P$503,_calc!$E$604)),IF(LEN(INDEX('Vendor COIs'!$N$4:$N$503,(_calc!$E$604-500)))=0,"",INDEX('Vendor COIs'!$N$4:$N$503,(_calc!$E$604-500)))))</f>
        <v/>
      </c>
    </row>
    <row r="603">
      <c r="A603" s="46">
        <f>IF(_calc!$E$605="","",IF(_calc!$E$605&lt;=500,IF(LEN(INDEX('Our policies'!$A$4:$A$503,_calc!$E$605))=0,"",INDEX('Our policies'!$A$4:$A$503,_calc!$E$605)),"COI – "&amp;IF(LEN(INDEX('Vendor COIs'!$A$4:$A$503,(_calc!$E$605-500)))=0,"",INDEX('Vendor COIs'!$A$4:$A$503,(_calc!$E$605-500)))&amp;" – "&amp;IF(LEN(INDEX('Vendor COIs'!$B$4:$B$503,(_calc!$E$605-500)))=0,"",INDEX('Vendor COIs'!$B$4:$B$503,(_calc!$E$605-500)))))</f>
        <v/>
      </c>
      <c r="B603" s="46">
        <f>IF(_calc!$E$605="","",IF(_calc!$E$605&lt;=500,IF(ISNUMBER(INDEX('Our policies'!$J$4:$J$503,_calc!$E$605)),TEXT(INDEX('Our policies'!$J$4:$J$503,_calc!$E$605),"yyyy-mm-dd"),""),IF(ISNUMBER(INDEX('Vendor COIs'!$H$4:$H$503,(_calc!$E$605-500))),TEXT(INDEX('Vendor COIs'!$H$4:$H$503,(_calc!$E$605-500)),"yyyy-mm-dd"),"")))</f>
        <v/>
      </c>
      <c r="C603" s="46">
        <f>IF(_calc!$E$605="","",IF(_calc!$E$605&lt;=500,"Insurance","Certificate of insurance"))</f>
        <v/>
      </c>
      <c r="D603" s="46">
        <f>IF(_calc!$E$605="","",IF(_calc!$E$605&lt;=500,IF(ISNUMBER(INDEX('Our policies'!$I$4:$I$503,_calc!$E$605)),TEXT(INDEX('Our policies'!$I$4:$I$503,_calc!$E$605),"yyyy-mm-dd"),""),""))</f>
        <v/>
      </c>
      <c r="E603" s="46">
        <f>IF(_calc!$E$605="","",IF(_calc!$E$605&lt;=500,IF(LEN(INDEX('Our policies'!$Q$4:$Q$503,_calc!$E$605))=0,"",INDEX('Our policies'!$Q$4:$Q$503,_calc!$E$605)),"Medium"))</f>
        <v/>
      </c>
      <c r="F603" s="46">
        <f>IF(_calc!$E$605="","",IF(_calc!$E$605&lt;=500,TRIM(IF(LEN(IF(LEN(INDEX('Our policies'!$B$4:$B$503,_calc!$E$605))=0,"",INDEX('Our policies'!$B$4:$B$503,_calc!$E$605)))=0,"","Cover: "&amp;IF(LEN(INDEX('Our policies'!$B$4:$B$503,_calc!$E$605))=0,"",INDEX('Our policies'!$B$4:$B$503,_calc!$E$605))&amp;". ")&amp;IF(LEN(IF(LEN(INDEX('Our policies'!$C$4:$C$503,_calc!$E$605))=0,"",INDEX('Our policies'!$C$4:$C$503,_calc!$E$605)))=0,"","Insurer: "&amp;IF(LEN(INDEX('Our policies'!$C$4:$C$503,_calc!$E$605))=0,"",INDEX('Our policies'!$C$4:$C$503,_calc!$E$605))&amp;". ")&amp;IF(LEN(IF(LEN(INDEX('Our policies'!$D$4:$D$503,_calc!$E$605))=0,"",INDEX('Our policies'!$D$4:$D$503,_calc!$E$605)))=0,"","Broker: "&amp;IF(LEN(INDEX('Our policies'!$D$4:$D$503,_calc!$E$605))=0,"",INDEX('Our policies'!$D$4:$D$503,_calc!$E$605))&amp;". ")&amp;IF(LEN(IF(LEN(INDEX('Our policies'!$E$4:$E$503,_calc!$E$605))=0,"",INDEX('Our policies'!$E$4:$E$503,_calc!$E$605)))=0,"","Policy no.: "&amp;IF(LEN(INDEX('Our policies'!$E$4:$E$503,_calc!$E$605))=0,"",INDEX('Our policies'!$E$4:$E$503,_calc!$E$605))&amp;". ")&amp;IF(LEN(IF(LEN(INDEX('Our policies'!$S$4:$S$503,_calc!$E$605))=0,"",INDEX('Our policies'!$S$4:$S$503,_calc!$E$605)))=0,"",IF(LEN(INDEX('Our policies'!$S$4:$S$503,_calc!$E$605))=0,"",INDEX('Our policies'!$S$4:$S$503,_calc!$E$605)))),TRIM(IF(LEN(IF(LEN(INDEX('Vendor COIs'!$C$4:$C$503,(_calc!$E$605-500)))=0,"",INDEX('Vendor COIs'!$C$4:$C$503,(_calc!$E$605-500))))=0,"","Insurer: "&amp;IF(LEN(INDEX('Vendor COIs'!$C$4:$C$503,(_calc!$E$605-500)))=0,"",INDEX('Vendor COIs'!$C$4:$C$503,(_calc!$E$605-500)))&amp;". ")&amp;IF(LEN(IF(LEN(INDEX('Vendor COIs'!$D$4:$D$503,(_calc!$E$605-500)))=0,"",INDEX('Vendor COIs'!$D$4:$D$503,(_calc!$E$605-500))))=0,"","Policy no.: "&amp;IF(LEN(INDEX('Vendor COIs'!$D$4:$D$503,(_calc!$E$605-500)))=0,"",INDEX('Vendor COIs'!$D$4:$D$503,(_calc!$E$605-500)))&amp;". ")&amp;IF(LEN(IF(LEN(INDEX('Vendor COIs'!$F$4:$F$503,(_calc!$E$605-500)))=0,"",INDEX('Vendor COIs'!$F$4:$F$503,(_calc!$E$605-500))))=0,"","Meets minimum: "&amp;IF(LEN(INDEX('Vendor COIs'!$F$4:$F$503,(_calc!$E$605-500)))=0,"",INDEX('Vendor COIs'!$F$4:$F$503,(_calc!$E$605-500)))&amp;". ")&amp;IF(LEN(IF(LEN(INDEX('Vendor COIs'!$G$4:$G$503,(_calc!$E$605-500)))=0,"",INDEX('Vendor COIs'!$G$4:$G$503,(_calc!$E$605-500))))=0,"","Additional insured: "&amp;IF(LEN(INDEX('Vendor COIs'!$G$4:$G$503,(_calc!$E$605-500)))=0,"",INDEX('Vendor COIs'!$G$4:$G$503,(_calc!$E$605-500)))&amp;". ")&amp;IF(LEN(IF(LEN(INDEX('Vendor COIs'!$M$4:$M$503,(_calc!$E$605-500)))=0,"",INDEX('Vendor COIs'!$M$4:$M$503,(_calc!$E$605-500))))=0,"","Vendor contact: "&amp;IF(LEN(INDEX('Vendor COIs'!$M$4:$M$503,(_calc!$E$605-500)))=0,"",INDEX('Vendor COIs'!$M$4:$M$503,(_calc!$E$605-500)))&amp;". ")&amp;IF(LEN(IF(LEN(INDEX('Vendor COIs'!$P$4:$P$503,(_calc!$E$605-500)))=0,"",INDEX('Vendor COIs'!$P$4:$P$503,(_calc!$E$605-500))))=0,"",IF(LEN(INDEX('Vendor COIs'!$P$4:$P$503,(_calc!$E$605-500)))=0,"",INDEX('Vendor COIs'!$P$4:$P$503,(_calc!$E$605-500)))))))</f>
        <v/>
      </c>
      <c r="G603" s="46">
        <f>IF(_calc!$E$605="","",IF(_calc!$E$605&lt;=500,IF(LEN(INDEX('Our policies'!$R$4:$R$503,_calc!$E$605))=0,"",INDEX('Our policies'!$R$4:$R$503,_calc!$E$605)),IF(LEN(INDEX('Vendor COIs'!$O$4:$O$503,(_calc!$E$605-500)))=0,"",INDEX('Vendor COIs'!$O$4:$O$503,(_calc!$E$605-500)))))</f>
        <v/>
      </c>
      <c r="H603" s="46">
        <f>IF(_calc!$E$605="","",IF(_calc!$E$605&lt;=500,IF(LEN(INDEX('Our policies'!$G$4:$G$503,_calc!$E$605))=0,"",INDEX('Our policies'!$G$4:$G$503,_calc!$E$605)),""))</f>
        <v/>
      </c>
      <c r="I603" s="46">
        <f>IF(_calc!$E$605="","",IF(_calc!$E$605&lt;=500,IF(LEN(INDEX('Our policies'!$H$4:$H$503,_calc!$E$605))=0,"",INDEX('Our policies'!$H$4:$H$503,_calc!$E$605)),""))</f>
        <v/>
      </c>
      <c r="K603" s="46">
        <f>IF(_calc!$E$605="","",IF(_calc!$E$605&lt;=500,IF(LEN(INDEX('Our policies'!$P$4:$P$503,_calc!$E$605))=0,"",INDEX('Our policies'!$P$4:$P$503,_calc!$E$605)),IF(LEN(INDEX('Vendor COIs'!$N$4:$N$503,(_calc!$E$605-500)))=0,"",INDEX('Vendor COIs'!$N$4:$N$503,(_calc!$E$605-500)))))</f>
        <v/>
      </c>
    </row>
    <row r="604">
      <c r="A604" s="46">
        <f>IF(_calc!$E$606="","",IF(_calc!$E$606&lt;=500,IF(LEN(INDEX('Our policies'!$A$4:$A$503,_calc!$E$606))=0,"",INDEX('Our policies'!$A$4:$A$503,_calc!$E$606)),"COI – "&amp;IF(LEN(INDEX('Vendor COIs'!$A$4:$A$503,(_calc!$E$606-500)))=0,"",INDEX('Vendor COIs'!$A$4:$A$503,(_calc!$E$606-500)))&amp;" – "&amp;IF(LEN(INDEX('Vendor COIs'!$B$4:$B$503,(_calc!$E$606-500)))=0,"",INDEX('Vendor COIs'!$B$4:$B$503,(_calc!$E$606-500)))))</f>
        <v/>
      </c>
      <c r="B604" s="46">
        <f>IF(_calc!$E$606="","",IF(_calc!$E$606&lt;=500,IF(ISNUMBER(INDEX('Our policies'!$J$4:$J$503,_calc!$E$606)),TEXT(INDEX('Our policies'!$J$4:$J$503,_calc!$E$606),"yyyy-mm-dd"),""),IF(ISNUMBER(INDEX('Vendor COIs'!$H$4:$H$503,(_calc!$E$606-500))),TEXT(INDEX('Vendor COIs'!$H$4:$H$503,(_calc!$E$606-500)),"yyyy-mm-dd"),"")))</f>
        <v/>
      </c>
      <c r="C604" s="46">
        <f>IF(_calc!$E$606="","",IF(_calc!$E$606&lt;=500,"Insurance","Certificate of insurance"))</f>
        <v/>
      </c>
      <c r="D604" s="46">
        <f>IF(_calc!$E$606="","",IF(_calc!$E$606&lt;=500,IF(ISNUMBER(INDEX('Our policies'!$I$4:$I$503,_calc!$E$606)),TEXT(INDEX('Our policies'!$I$4:$I$503,_calc!$E$606),"yyyy-mm-dd"),""),""))</f>
        <v/>
      </c>
      <c r="E604" s="46">
        <f>IF(_calc!$E$606="","",IF(_calc!$E$606&lt;=500,IF(LEN(INDEX('Our policies'!$Q$4:$Q$503,_calc!$E$606))=0,"",INDEX('Our policies'!$Q$4:$Q$503,_calc!$E$606)),"Medium"))</f>
        <v/>
      </c>
      <c r="F604" s="46">
        <f>IF(_calc!$E$606="","",IF(_calc!$E$606&lt;=500,TRIM(IF(LEN(IF(LEN(INDEX('Our policies'!$B$4:$B$503,_calc!$E$606))=0,"",INDEX('Our policies'!$B$4:$B$503,_calc!$E$606)))=0,"","Cover: "&amp;IF(LEN(INDEX('Our policies'!$B$4:$B$503,_calc!$E$606))=0,"",INDEX('Our policies'!$B$4:$B$503,_calc!$E$606))&amp;". ")&amp;IF(LEN(IF(LEN(INDEX('Our policies'!$C$4:$C$503,_calc!$E$606))=0,"",INDEX('Our policies'!$C$4:$C$503,_calc!$E$606)))=0,"","Insurer: "&amp;IF(LEN(INDEX('Our policies'!$C$4:$C$503,_calc!$E$606))=0,"",INDEX('Our policies'!$C$4:$C$503,_calc!$E$606))&amp;". ")&amp;IF(LEN(IF(LEN(INDEX('Our policies'!$D$4:$D$503,_calc!$E$606))=0,"",INDEX('Our policies'!$D$4:$D$503,_calc!$E$606)))=0,"","Broker: "&amp;IF(LEN(INDEX('Our policies'!$D$4:$D$503,_calc!$E$606))=0,"",INDEX('Our policies'!$D$4:$D$503,_calc!$E$606))&amp;". ")&amp;IF(LEN(IF(LEN(INDEX('Our policies'!$E$4:$E$503,_calc!$E$606))=0,"",INDEX('Our policies'!$E$4:$E$503,_calc!$E$606)))=0,"","Policy no.: "&amp;IF(LEN(INDEX('Our policies'!$E$4:$E$503,_calc!$E$606))=0,"",INDEX('Our policies'!$E$4:$E$503,_calc!$E$606))&amp;". ")&amp;IF(LEN(IF(LEN(INDEX('Our policies'!$S$4:$S$503,_calc!$E$606))=0,"",INDEX('Our policies'!$S$4:$S$503,_calc!$E$606)))=0,"",IF(LEN(INDEX('Our policies'!$S$4:$S$503,_calc!$E$606))=0,"",INDEX('Our policies'!$S$4:$S$503,_calc!$E$606)))),TRIM(IF(LEN(IF(LEN(INDEX('Vendor COIs'!$C$4:$C$503,(_calc!$E$606-500)))=0,"",INDEX('Vendor COIs'!$C$4:$C$503,(_calc!$E$606-500))))=0,"","Insurer: "&amp;IF(LEN(INDEX('Vendor COIs'!$C$4:$C$503,(_calc!$E$606-500)))=0,"",INDEX('Vendor COIs'!$C$4:$C$503,(_calc!$E$606-500)))&amp;". ")&amp;IF(LEN(IF(LEN(INDEX('Vendor COIs'!$D$4:$D$503,(_calc!$E$606-500)))=0,"",INDEX('Vendor COIs'!$D$4:$D$503,(_calc!$E$606-500))))=0,"","Policy no.: "&amp;IF(LEN(INDEX('Vendor COIs'!$D$4:$D$503,(_calc!$E$606-500)))=0,"",INDEX('Vendor COIs'!$D$4:$D$503,(_calc!$E$606-500)))&amp;". ")&amp;IF(LEN(IF(LEN(INDEX('Vendor COIs'!$F$4:$F$503,(_calc!$E$606-500)))=0,"",INDEX('Vendor COIs'!$F$4:$F$503,(_calc!$E$606-500))))=0,"","Meets minimum: "&amp;IF(LEN(INDEX('Vendor COIs'!$F$4:$F$503,(_calc!$E$606-500)))=0,"",INDEX('Vendor COIs'!$F$4:$F$503,(_calc!$E$606-500)))&amp;". ")&amp;IF(LEN(IF(LEN(INDEX('Vendor COIs'!$G$4:$G$503,(_calc!$E$606-500)))=0,"",INDEX('Vendor COIs'!$G$4:$G$503,(_calc!$E$606-500))))=0,"","Additional insured: "&amp;IF(LEN(INDEX('Vendor COIs'!$G$4:$G$503,(_calc!$E$606-500)))=0,"",INDEX('Vendor COIs'!$G$4:$G$503,(_calc!$E$606-500)))&amp;". ")&amp;IF(LEN(IF(LEN(INDEX('Vendor COIs'!$M$4:$M$503,(_calc!$E$606-500)))=0,"",INDEX('Vendor COIs'!$M$4:$M$503,(_calc!$E$606-500))))=0,"","Vendor contact: "&amp;IF(LEN(INDEX('Vendor COIs'!$M$4:$M$503,(_calc!$E$606-500)))=0,"",INDEX('Vendor COIs'!$M$4:$M$503,(_calc!$E$606-500)))&amp;". ")&amp;IF(LEN(IF(LEN(INDEX('Vendor COIs'!$P$4:$P$503,(_calc!$E$606-500)))=0,"",INDEX('Vendor COIs'!$P$4:$P$503,(_calc!$E$606-500))))=0,"",IF(LEN(INDEX('Vendor COIs'!$P$4:$P$503,(_calc!$E$606-500)))=0,"",INDEX('Vendor COIs'!$P$4:$P$503,(_calc!$E$606-500)))))))</f>
        <v/>
      </c>
      <c r="G604" s="46">
        <f>IF(_calc!$E$606="","",IF(_calc!$E$606&lt;=500,IF(LEN(INDEX('Our policies'!$R$4:$R$503,_calc!$E$606))=0,"",INDEX('Our policies'!$R$4:$R$503,_calc!$E$606)),IF(LEN(INDEX('Vendor COIs'!$O$4:$O$503,(_calc!$E$606-500)))=0,"",INDEX('Vendor COIs'!$O$4:$O$503,(_calc!$E$606-500)))))</f>
        <v/>
      </c>
      <c r="H604" s="46">
        <f>IF(_calc!$E$606="","",IF(_calc!$E$606&lt;=500,IF(LEN(INDEX('Our policies'!$G$4:$G$503,_calc!$E$606))=0,"",INDEX('Our policies'!$G$4:$G$503,_calc!$E$606)),""))</f>
        <v/>
      </c>
      <c r="I604" s="46">
        <f>IF(_calc!$E$606="","",IF(_calc!$E$606&lt;=500,IF(LEN(INDEX('Our policies'!$H$4:$H$503,_calc!$E$606))=0,"",INDEX('Our policies'!$H$4:$H$503,_calc!$E$606)),""))</f>
        <v/>
      </c>
      <c r="K604" s="46">
        <f>IF(_calc!$E$606="","",IF(_calc!$E$606&lt;=500,IF(LEN(INDEX('Our policies'!$P$4:$P$503,_calc!$E$606))=0,"",INDEX('Our policies'!$P$4:$P$503,_calc!$E$606)),IF(LEN(INDEX('Vendor COIs'!$N$4:$N$503,(_calc!$E$606-500)))=0,"",INDEX('Vendor COIs'!$N$4:$N$503,(_calc!$E$606-500)))))</f>
        <v/>
      </c>
    </row>
    <row r="605">
      <c r="A605" s="46">
        <f>IF(_calc!$E$607="","",IF(_calc!$E$607&lt;=500,IF(LEN(INDEX('Our policies'!$A$4:$A$503,_calc!$E$607))=0,"",INDEX('Our policies'!$A$4:$A$503,_calc!$E$607)),"COI – "&amp;IF(LEN(INDEX('Vendor COIs'!$A$4:$A$503,(_calc!$E$607-500)))=0,"",INDEX('Vendor COIs'!$A$4:$A$503,(_calc!$E$607-500)))&amp;" – "&amp;IF(LEN(INDEX('Vendor COIs'!$B$4:$B$503,(_calc!$E$607-500)))=0,"",INDEX('Vendor COIs'!$B$4:$B$503,(_calc!$E$607-500)))))</f>
        <v/>
      </c>
      <c r="B605" s="46">
        <f>IF(_calc!$E$607="","",IF(_calc!$E$607&lt;=500,IF(ISNUMBER(INDEX('Our policies'!$J$4:$J$503,_calc!$E$607)),TEXT(INDEX('Our policies'!$J$4:$J$503,_calc!$E$607),"yyyy-mm-dd"),""),IF(ISNUMBER(INDEX('Vendor COIs'!$H$4:$H$503,(_calc!$E$607-500))),TEXT(INDEX('Vendor COIs'!$H$4:$H$503,(_calc!$E$607-500)),"yyyy-mm-dd"),"")))</f>
        <v/>
      </c>
      <c r="C605" s="46">
        <f>IF(_calc!$E$607="","",IF(_calc!$E$607&lt;=500,"Insurance","Certificate of insurance"))</f>
        <v/>
      </c>
      <c r="D605" s="46">
        <f>IF(_calc!$E$607="","",IF(_calc!$E$607&lt;=500,IF(ISNUMBER(INDEX('Our policies'!$I$4:$I$503,_calc!$E$607)),TEXT(INDEX('Our policies'!$I$4:$I$503,_calc!$E$607),"yyyy-mm-dd"),""),""))</f>
        <v/>
      </c>
      <c r="E605" s="46">
        <f>IF(_calc!$E$607="","",IF(_calc!$E$607&lt;=500,IF(LEN(INDEX('Our policies'!$Q$4:$Q$503,_calc!$E$607))=0,"",INDEX('Our policies'!$Q$4:$Q$503,_calc!$E$607)),"Medium"))</f>
        <v/>
      </c>
      <c r="F605" s="46">
        <f>IF(_calc!$E$607="","",IF(_calc!$E$607&lt;=500,TRIM(IF(LEN(IF(LEN(INDEX('Our policies'!$B$4:$B$503,_calc!$E$607))=0,"",INDEX('Our policies'!$B$4:$B$503,_calc!$E$607)))=0,"","Cover: "&amp;IF(LEN(INDEX('Our policies'!$B$4:$B$503,_calc!$E$607))=0,"",INDEX('Our policies'!$B$4:$B$503,_calc!$E$607))&amp;". ")&amp;IF(LEN(IF(LEN(INDEX('Our policies'!$C$4:$C$503,_calc!$E$607))=0,"",INDEX('Our policies'!$C$4:$C$503,_calc!$E$607)))=0,"","Insurer: "&amp;IF(LEN(INDEX('Our policies'!$C$4:$C$503,_calc!$E$607))=0,"",INDEX('Our policies'!$C$4:$C$503,_calc!$E$607))&amp;". ")&amp;IF(LEN(IF(LEN(INDEX('Our policies'!$D$4:$D$503,_calc!$E$607))=0,"",INDEX('Our policies'!$D$4:$D$503,_calc!$E$607)))=0,"","Broker: "&amp;IF(LEN(INDEX('Our policies'!$D$4:$D$503,_calc!$E$607))=0,"",INDEX('Our policies'!$D$4:$D$503,_calc!$E$607))&amp;". ")&amp;IF(LEN(IF(LEN(INDEX('Our policies'!$E$4:$E$503,_calc!$E$607))=0,"",INDEX('Our policies'!$E$4:$E$503,_calc!$E$607)))=0,"","Policy no.: "&amp;IF(LEN(INDEX('Our policies'!$E$4:$E$503,_calc!$E$607))=0,"",INDEX('Our policies'!$E$4:$E$503,_calc!$E$607))&amp;". ")&amp;IF(LEN(IF(LEN(INDEX('Our policies'!$S$4:$S$503,_calc!$E$607))=0,"",INDEX('Our policies'!$S$4:$S$503,_calc!$E$607)))=0,"",IF(LEN(INDEX('Our policies'!$S$4:$S$503,_calc!$E$607))=0,"",INDEX('Our policies'!$S$4:$S$503,_calc!$E$607)))),TRIM(IF(LEN(IF(LEN(INDEX('Vendor COIs'!$C$4:$C$503,(_calc!$E$607-500)))=0,"",INDEX('Vendor COIs'!$C$4:$C$503,(_calc!$E$607-500))))=0,"","Insurer: "&amp;IF(LEN(INDEX('Vendor COIs'!$C$4:$C$503,(_calc!$E$607-500)))=0,"",INDEX('Vendor COIs'!$C$4:$C$503,(_calc!$E$607-500)))&amp;". ")&amp;IF(LEN(IF(LEN(INDEX('Vendor COIs'!$D$4:$D$503,(_calc!$E$607-500)))=0,"",INDEX('Vendor COIs'!$D$4:$D$503,(_calc!$E$607-500))))=0,"","Policy no.: "&amp;IF(LEN(INDEX('Vendor COIs'!$D$4:$D$503,(_calc!$E$607-500)))=0,"",INDEX('Vendor COIs'!$D$4:$D$503,(_calc!$E$607-500)))&amp;". ")&amp;IF(LEN(IF(LEN(INDEX('Vendor COIs'!$F$4:$F$503,(_calc!$E$607-500)))=0,"",INDEX('Vendor COIs'!$F$4:$F$503,(_calc!$E$607-500))))=0,"","Meets minimum: "&amp;IF(LEN(INDEX('Vendor COIs'!$F$4:$F$503,(_calc!$E$607-500)))=0,"",INDEX('Vendor COIs'!$F$4:$F$503,(_calc!$E$607-500)))&amp;". ")&amp;IF(LEN(IF(LEN(INDEX('Vendor COIs'!$G$4:$G$503,(_calc!$E$607-500)))=0,"",INDEX('Vendor COIs'!$G$4:$G$503,(_calc!$E$607-500))))=0,"","Additional insured: "&amp;IF(LEN(INDEX('Vendor COIs'!$G$4:$G$503,(_calc!$E$607-500)))=0,"",INDEX('Vendor COIs'!$G$4:$G$503,(_calc!$E$607-500)))&amp;". ")&amp;IF(LEN(IF(LEN(INDEX('Vendor COIs'!$M$4:$M$503,(_calc!$E$607-500)))=0,"",INDEX('Vendor COIs'!$M$4:$M$503,(_calc!$E$607-500))))=0,"","Vendor contact: "&amp;IF(LEN(INDEX('Vendor COIs'!$M$4:$M$503,(_calc!$E$607-500)))=0,"",INDEX('Vendor COIs'!$M$4:$M$503,(_calc!$E$607-500)))&amp;". ")&amp;IF(LEN(IF(LEN(INDEX('Vendor COIs'!$P$4:$P$503,(_calc!$E$607-500)))=0,"",INDEX('Vendor COIs'!$P$4:$P$503,(_calc!$E$607-500))))=0,"",IF(LEN(INDEX('Vendor COIs'!$P$4:$P$503,(_calc!$E$607-500)))=0,"",INDEX('Vendor COIs'!$P$4:$P$503,(_calc!$E$607-500)))))))</f>
        <v/>
      </c>
      <c r="G605" s="46">
        <f>IF(_calc!$E$607="","",IF(_calc!$E$607&lt;=500,IF(LEN(INDEX('Our policies'!$R$4:$R$503,_calc!$E$607))=0,"",INDEX('Our policies'!$R$4:$R$503,_calc!$E$607)),IF(LEN(INDEX('Vendor COIs'!$O$4:$O$503,(_calc!$E$607-500)))=0,"",INDEX('Vendor COIs'!$O$4:$O$503,(_calc!$E$607-500)))))</f>
        <v/>
      </c>
      <c r="H605" s="46">
        <f>IF(_calc!$E$607="","",IF(_calc!$E$607&lt;=500,IF(LEN(INDEX('Our policies'!$G$4:$G$503,_calc!$E$607))=0,"",INDEX('Our policies'!$G$4:$G$503,_calc!$E$607)),""))</f>
        <v/>
      </c>
      <c r="I605" s="46">
        <f>IF(_calc!$E$607="","",IF(_calc!$E$607&lt;=500,IF(LEN(INDEX('Our policies'!$H$4:$H$503,_calc!$E$607))=0,"",INDEX('Our policies'!$H$4:$H$503,_calc!$E$607)),""))</f>
        <v/>
      </c>
      <c r="K605" s="46">
        <f>IF(_calc!$E$607="","",IF(_calc!$E$607&lt;=500,IF(LEN(INDEX('Our policies'!$P$4:$P$503,_calc!$E$607))=0,"",INDEX('Our policies'!$P$4:$P$503,_calc!$E$607)),IF(LEN(INDEX('Vendor COIs'!$N$4:$N$503,(_calc!$E$607-500)))=0,"",INDEX('Vendor COIs'!$N$4:$N$503,(_calc!$E$607-500)))))</f>
        <v/>
      </c>
    </row>
    <row r="606">
      <c r="A606" s="46">
        <f>IF(_calc!$E$608="","",IF(_calc!$E$608&lt;=500,IF(LEN(INDEX('Our policies'!$A$4:$A$503,_calc!$E$608))=0,"",INDEX('Our policies'!$A$4:$A$503,_calc!$E$608)),"COI – "&amp;IF(LEN(INDEX('Vendor COIs'!$A$4:$A$503,(_calc!$E$608-500)))=0,"",INDEX('Vendor COIs'!$A$4:$A$503,(_calc!$E$608-500)))&amp;" – "&amp;IF(LEN(INDEX('Vendor COIs'!$B$4:$B$503,(_calc!$E$608-500)))=0,"",INDEX('Vendor COIs'!$B$4:$B$503,(_calc!$E$608-500)))))</f>
        <v/>
      </c>
      <c r="B606" s="46">
        <f>IF(_calc!$E$608="","",IF(_calc!$E$608&lt;=500,IF(ISNUMBER(INDEX('Our policies'!$J$4:$J$503,_calc!$E$608)),TEXT(INDEX('Our policies'!$J$4:$J$503,_calc!$E$608),"yyyy-mm-dd"),""),IF(ISNUMBER(INDEX('Vendor COIs'!$H$4:$H$503,(_calc!$E$608-500))),TEXT(INDEX('Vendor COIs'!$H$4:$H$503,(_calc!$E$608-500)),"yyyy-mm-dd"),"")))</f>
        <v/>
      </c>
      <c r="C606" s="46">
        <f>IF(_calc!$E$608="","",IF(_calc!$E$608&lt;=500,"Insurance","Certificate of insurance"))</f>
        <v/>
      </c>
      <c r="D606" s="46">
        <f>IF(_calc!$E$608="","",IF(_calc!$E$608&lt;=500,IF(ISNUMBER(INDEX('Our policies'!$I$4:$I$503,_calc!$E$608)),TEXT(INDEX('Our policies'!$I$4:$I$503,_calc!$E$608),"yyyy-mm-dd"),""),""))</f>
        <v/>
      </c>
      <c r="E606" s="46">
        <f>IF(_calc!$E$608="","",IF(_calc!$E$608&lt;=500,IF(LEN(INDEX('Our policies'!$Q$4:$Q$503,_calc!$E$608))=0,"",INDEX('Our policies'!$Q$4:$Q$503,_calc!$E$608)),"Medium"))</f>
        <v/>
      </c>
      <c r="F606" s="46">
        <f>IF(_calc!$E$608="","",IF(_calc!$E$608&lt;=500,TRIM(IF(LEN(IF(LEN(INDEX('Our policies'!$B$4:$B$503,_calc!$E$608))=0,"",INDEX('Our policies'!$B$4:$B$503,_calc!$E$608)))=0,"","Cover: "&amp;IF(LEN(INDEX('Our policies'!$B$4:$B$503,_calc!$E$608))=0,"",INDEX('Our policies'!$B$4:$B$503,_calc!$E$608))&amp;". ")&amp;IF(LEN(IF(LEN(INDEX('Our policies'!$C$4:$C$503,_calc!$E$608))=0,"",INDEX('Our policies'!$C$4:$C$503,_calc!$E$608)))=0,"","Insurer: "&amp;IF(LEN(INDEX('Our policies'!$C$4:$C$503,_calc!$E$608))=0,"",INDEX('Our policies'!$C$4:$C$503,_calc!$E$608))&amp;". ")&amp;IF(LEN(IF(LEN(INDEX('Our policies'!$D$4:$D$503,_calc!$E$608))=0,"",INDEX('Our policies'!$D$4:$D$503,_calc!$E$608)))=0,"","Broker: "&amp;IF(LEN(INDEX('Our policies'!$D$4:$D$503,_calc!$E$608))=0,"",INDEX('Our policies'!$D$4:$D$503,_calc!$E$608))&amp;". ")&amp;IF(LEN(IF(LEN(INDEX('Our policies'!$E$4:$E$503,_calc!$E$608))=0,"",INDEX('Our policies'!$E$4:$E$503,_calc!$E$608)))=0,"","Policy no.: "&amp;IF(LEN(INDEX('Our policies'!$E$4:$E$503,_calc!$E$608))=0,"",INDEX('Our policies'!$E$4:$E$503,_calc!$E$608))&amp;". ")&amp;IF(LEN(IF(LEN(INDEX('Our policies'!$S$4:$S$503,_calc!$E$608))=0,"",INDEX('Our policies'!$S$4:$S$503,_calc!$E$608)))=0,"",IF(LEN(INDEX('Our policies'!$S$4:$S$503,_calc!$E$608))=0,"",INDEX('Our policies'!$S$4:$S$503,_calc!$E$608)))),TRIM(IF(LEN(IF(LEN(INDEX('Vendor COIs'!$C$4:$C$503,(_calc!$E$608-500)))=0,"",INDEX('Vendor COIs'!$C$4:$C$503,(_calc!$E$608-500))))=0,"","Insurer: "&amp;IF(LEN(INDEX('Vendor COIs'!$C$4:$C$503,(_calc!$E$608-500)))=0,"",INDEX('Vendor COIs'!$C$4:$C$503,(_calc!$E$608-500)))&amp;". ")&amp;IF(LEN(IF(LEN(INDEX('Vendor COIs'!$D$4:$D$503,(_calc!$E$608-500)))=0,"",INDEX('Vendor COIs'!$D$4:$D$503,(_calc!$E$608-500))))=0,"","Policy no.: "&amp;IF(LEN(INDEX('Vendor COIs'!$D$4:$D$503,(_calc!$E$608-500)))=0,"",INDEX('Vendor COIs'!$D$4:$D$503,(_calc!$E$608-500)))&amp;". ")&amp;IF(LEN(IF(LEN(INDEX('Vendor COIs'!$F$4:$F$503,(_calc!$E$608-500)))=0,"",INDEX('Vendor COIs'!$F$4:$F$503,(_calc!$E$608-500))))=0,"","Meets minimum: "&amp;IF(LEN(INDEX('Vendor COIs'!$F$4:$F$503,(_calc!$E$608-500)))=0,"",INDEX('Vendor COIs'!$F$4:$F$503,(_calc!$E$608-500)))&amp;". ")&amp;IF(LEN(IF(LEN(INDEX('Vendor COIs'!$G$4:$G$503,(_calc!$E$608-500)))=0,"",INDEX('Vendor COIs'!$G$4:$G$503,(_calc!$E$608-500))))=0,"","Additional insured: "&amp;IF(LEN(INDEX('Vendor COIs'!$G$4:$G$503,(_calc!$E$608-500)))=0,"",INDEX('Vendor COIs'!$G$4:$G$503,(_calc!$E$608-500)))&amp;". ")&amp;IF(LEN(IF(LEN(INDEX('Vendor COIs'!$M$4:$M$503,(_calc!$E$608-500)))=0,"",INDEX('Vendor COIs'!$M$4:$M$503,(_calc!$E$608-500))))=0,"","Vendor contact: "&amp;IF(LEN(INDEX('Vendor COIs'!$M$4:$M$503,(_calc!$E$608-500)))=0,"",INDEX('Vendor COIs'!$M$4:$M$503,(_calc!$E$608-500)))&amp;". ")&amp;IF(LEN(IF(LEN(INDEX('Vendor COIs'!$P$4:$P$503,(_calc!$E$608-500)))=0,"",INDEX('Vendor COIs'!$P$4:$P$503,(_calc!$E$608-500))))=0,"",IF(LEN(INDEX('Vendor COIs'!$P$4:$P$503,(_calc!$E$608-500)))=0,"",INDEX('Vendor COIs'!$P$4:$P$503,(_calc!$E$608-500)))))))</f>
        <v/>
      </c>
      <c r="G606" s="46">
        <f>IF(_calc!$E$608="","",IF(_calc!$E$608&lt;=500,IF(LEN(INDEX('Our policies'!$R$4:$R$503,_calc!$E$608))=0,"",INDEX('Our policies'!$R$4:$R$503,_calc!$E$608)),IF(LEN(INDEX('Vendor COIs'!$O$4:$O$503,(_calc!$E$608-500)))=0,"",INDEX('Vendor COIs'!$O$4:$O$503,(_calc!$E$608-500)))))</f>
        <v/>
      </c>
      <c r="H606" s="46">
        <f>IF(_calc!$E$608="","",IF(_calc!$E$608&lt;=500,IF(LEN(INDEX('Our policies'!$G$4:$G$503,_calc!$E$608))=0,"",INDEX('Our policies'!$G$4:$G$503,_calc!$E$608)),""))</f>
        <v/>
      </c>
      <c r="I606" s="46">
        <f>IF(_calc!$E$608="","",IF(_calc!$E$608&lt;=500,IF(LEN(INDEX('Our policies'!$H$4:$H$503,_calc!$E$608))=0,"",INDEX('Our policies'!$H$4:$H$503,_calc!$E$608)),""))</f>
        <v/>
      </c>
      <c r="K606" s="46">
        <f>IF(_calc!$E$608="","",IF(_calc!$E$608&lt;=500,IF(LEN(INDEX('Our policies'!$P$4:$P$503,_calc!$E$608))=0,"",INDEX('Our policies'!$P$4:$P$503,_calc!$E$608)),IF(LEN(INDEX('Vendor COIs'!$N$4:$N$503,(_calc!$E$608-500)))=0,"",INDEX('Vendor COIs'!$N$4:$N$503,(_calc!$E$608-500)))))</f>
        <v/>
      </c>
    </row>
    <row r="607">
      <c r="A607" s="46">
        <f>IF(_calc!$E$609="","",IF(_calc!$E$609&lt;=500,IF(LEN(INDEX('Our policies'!$A$4:$A$503,_calc!$E$609))=0,"",INDEX('Our policies'!$A$4:$A$503,_calc!$E$609)),"COI – "&amp;IF(LEN(INDEX('Vendor COIs'!$A$4:$A$503,(_calc!$E$609-500)))=0,"",INDEX('Vendor COIs'!$A$4:$A$503,(_calc!$E$609-500)))&amp;" – "&amp;IF(LEN(INDEX('Vendor COIs'!$B$4:$B$503,(_calc!$E$609-500)))=0,"",INDEX('Vendor COIs'!$B$4:$B$503,(_calc!$E$609-500)))))</f>
        <v/>
      </c>
      <c r="B607" s="46">
        <f>IF(_calc!$E$609="","",IF(_calc!$E$609&lt;=500,IF(ISNUMBER(INDEX('Our policies'!$J$4:$J$503,_calc!$E$609)),TEXT(INDEX('Our policies'!$J$4:$J$503,_calc!$E$609),"yyyy-mm-dd"),""),IF(ISNUMBER(INDEX('Vendor COIs'!$H$4:$H$503,(_calc!$E$609-500))),TEXT(INDEX('Vendor COIs'!$H$4:$H$503,(_calc!$E$609-500)),"yyyy-mm-dd"),"")))</f>
        <v/>
      </c>
      <c r="C607" s="46">
        <f>IF(_calc!$E$609="","",IF(_calc!$E$609&lt;=500,"Insurance","Certificate of insurance"))</f>
        <v/>
      </c>
      <c r="D607" s="46">
        <f>IF(_calc!$E$609="","",IF(_calc!$E$609&lt;=500,IF(ISNUMBER(INDEX('Our policies'!$I$4:$I$503,_calc!$E$609)),TEXT(INDEX('Our policies'!$I$4:$I$503,_calc!$E$609),"yyyy-mm-dd"),""),""))</f>
        <v/>
      </c>
      <c r="E607" s="46">
        <f>IF(_calc!$E$609="","",IF(_calc!$E$609&lt;=500,IF(LEN(INDEX('Our policies'!$Q$4:$Q$503,_calc!$E$609))=0,"",INDEX('Our policies'!$Q$4:$Q$503,_calc!$E$609)),"Medium"))</f>
        <v/>
      </c>
      <c r="F607" s="46">
        <f>IF(_calc!$E$609="","",IF(_calc!$E$609&lt;=500,TRIM(IF(LEN(IF(LEN(INDEX('Our policies'!$B$4:$B$503,_calc!$E$609))=0,"",INDEX('Our policies'!$B$4:$B$503,_calc!$E$609)))=0,"","Cover: "&amp;IF(LEN(INDEX('Our policies'!$B$4:$B$503,_calc!$E$609))=0,"",INDEX('Our policies'!$B$4:$B$503,_calc!$E$609))&amp;". ")&amp;IF(LEN(IF(LEN(INDEX('Our policies'!$C$4:$C$503,_calc!$E$609))=0,"",INDEX('Our policies'!$C$4:$C$503,_calc!$E$609)))=0,"","Insurer: "&amp;IF(LEN(INDEX('Our policies'!$C$4:$C$503,_calc!$E$609))=0,"",INDEX('Our policies'!$C$4:$C$503,_calc!$E$609))&amp;". ")&amp;IF(LEN(IF(LEN(INDEX('Our policies'!$D$4:$D$503,_calc!$E$609))=0,"",INDEX('Our policies'!$D$4:$D$503,_calc!$E$609)))=0,"","Broker: "&amp;IF(LEN(INDEX('Our policies'!$D$4:$D$503,_calc!$E$609))=0,"",INDEX('Our policies'!$D$4:$D$503,_calc!$E$609))&amp;". ")&amp;IF(LEN(IF(LEN(INDEX('Our policies'!$E$4:$E$503,_calc!$E$609))=0,"",INDEX('Our policies'!$E$4:$E$503,_calc!$E$609)))=0,"","Policy no.: "&amp;IF(LEN(INDEX('Our policies'!$E$4:$E$503,_calc!$E$609))=0,"",INDEX('Our policies'!$E$4:$E$503,_calc!$E$609))&amp;". ")&amp;IF(LEN(IF(LEN(INDEX('Our policies'!$S$4:$S$503,_calc!$E$609))=0,"",INDEX('Our policies'!$S$4:$S$503,_calc!$E$609)))=0,"",IF(LEN(INDEX('Our policies'!$S$4:$S$503,_calc!$E$609))=0,"",INDEX('Our policies'!$S$4:$S$503,_calc!$E$609)))),TRIM(IF(LEN(IF(LEN(INDEX('Vendor COIs'!$C$4:$C$503,(_calc!$E$609-500)))=0,"",INDEX('Vendor COIs'!$C$4:$C$503,(_calc!$E$609-500))))=0,"","Insurer: "&amp;IF(LEN(INDEX('Vendor COIs'!$C$4:$C$503,(_calc!$E$609-500)))=0,"",INDEX('Vendor COIs'!$C$4:$C$503,(_calc!$E$609-500)))&amp;". ")&amp;IF(LEN(IF(LEN(INDEX('Vendor COIs'!$D$4:$D$503,(_calc!$E$609-500)))=0,"",INDEX('Vendor COIs'!$D$4:$D$503,(_calc!$E$609-500))))=0,"","Policy no.: "&amp;IF(LEN(INDEX('Vendor COIs'!$D$4:$D$503,(_calc!$E$609-500)))=0,"",INDEX('Vendor COIs'!$D$4:$D$503,(_calc!$E$609-500)))&amp;". ")&amp;IF(LEN(IF(LEN(INDEX('Vendor COIs'!$F$4:$F$503,(_calc!$E$609-500)))=0,"",INDEX('Vendor COIs'!$F$4:$F$503,(_calc!$E$609-500))))=0,"","Meets minimum: "&amp;IF(LEN(INDEX('Vendor COIs'!$F$4:$F$503,(_calc!$E$609-500)))=0,"",INDEX('Vendor COIs'!$F$4:$F$503,(_calc!$E$609-500)))&amp;". ")&amp;IF(LEN(IF(LEN(INDEX('Vendor COIs'!$G$4:$G$503,(_calc!$E$609-500)))=0,"",INDEX('Vendor COIs'!$G$4:$G$503,(_calc!$E$609-500))))=0,"","Additional insured: "&amp;IF(LEN(INDEX('Vendor COIs'!$G$4:$G$503,(_calc!$E$609-500)))=0,"",INDEX('Vendor COIs'!$G$4:$G$503,(_calc!$E$609-500)))&amp;". ")&amp;IF(LEN(IF(LEN(INDEX('Vendor COIs'!$M$4:$M$503,(_calc!$E$609-500)))=0,"",INDEX('Vendor COIs'!$M$4:$M$503,(_calc!$E$609-500))))=0,"","Vendor contact: "&amp;IF(LEN(INDEX('Vendor COIs'!$M$4:$M$503,(_calc!$E$609-500)))=0,"",INDEX('Vendor COIs'!$M$4:$M$503,(_calc!$E$609-500)))&amp;". ")&amp;IF(LEN(IF(LEN(INDEX('Vendor COIs'!$P$4:$P$503,(_calc!$E$609-500)))=0,"",INDEX('Vendor COIs'!$P$4:$P$503,(_calc!$E$609-500))))=0,"",IF(LEN(INDEX('Vendor COIs'!$P$4:$P$503,(_calc!$E$609-500)))=0,"",INDEX('Vendor COIs'!$P$4:$P$503,(_calc!$E$609-500)))))))</f>
        <v/>
      </c>
      <c r="G607" s="46">
        <f>IF(_calc!$E$609="","",IF(_calc!$E$609&lt;=500,IF(LEN(INDEX('Our policies'!$R$4:$R$503,_calc!$E$609))=0,"",INDEX('Our policies'!$R$4:$R$503,_calc!$E$609)),IF(LEN(INDEX('Vendor COIs'!$O$4:$O$503,(_calc!$E$609-500)))=0,"",INDEX('Vendor COIs'!$O$4:$O$503,(_calc!$E$609-500)))))</f>
        <v/>
      </c>
      <c r="H607" s="46">
        <f>IF(_calc!$E$609="","",IF(_calc!$E$609&lt;=500,IF(LEN(INDEX('Our policies'!$G$4:$G$503,_calc!$E$609))=0,"",INDEX('Our policies'!$G$4:$G$503,_calc!$E$609)),""))</f>
        <v/>
      </c>
      <c r="I607" s="46">
        <f>IF(_calc!$E$609="","",IF(_calc!$E$609&lt;=500,IF(LEN(INDEX('Our policies'!$H$4:$H$503,_calc!$E$609))=0,"",INDEX('Our policies'!$H$4:$H$503,_calc!$E$609)),""))</f>
        <v/>
      </c>
      <c r="K607" s="46">
        <f>IF(_calc!$E$609="","",IF(_calc!$E$609&lt;=500,IF(LEN(INDEX('Our policies'!$P$4:$P$503,_calc!$E$609))=0,"",INDEX('Our policies'!$P$4:$P$503,_calc!$E$609)),IF(LEN(INDEX('Vendor COIs'!$N$4:$N$503,(_calc!$E$609-500)))=0,"",INDEX('Vendor COIs'!$N$4:$N$503,(_calc!$E$609-500)))))</f>
        <v/>
      </c>
    </row>
    <row r="608">
      <c r="A608" s="46">
        <f>IF(_calc!$E$610="","",IF(_calc!$E$610&lt;=500,IF(LEN(INDEX('Our policies'!$A$4:$A$503,_calc!$E$610))=0,"",INDEX('Our policies'!$A$4:$A$503,_calc!$E$610)),"COI – "&amp;IF(LEN(INDEX('Vendor COIs'!$A$4:$A$503,(_calc!$E$610-500)))=0,"",INDEX('Vendor COIs'!$A$4:$A$503,(_calc!$E$610-500)))&amp;" – "&amp;IF(LEN(INDEX('Vendor COIs'!$B$4:$B$503,(_calc!$E$610-500)))=0,"",INDEX('Vendor COIs'!$B$4:$B$503,(_calc!$E$610-500)))))</f>
        <v/>
      </c>
      <c r="B608" s="46">
        <f>IF(_calc!$E$610="","",IF(_calc!$E$610&lt;=500,IF(ISNUMBER(INDEX('Our policies'!$J$4:$J$503,_calc!$E$610)),TEXT(INDEX('Our policies'!$J$4:$J$503,_calc!$E$610),"yyyy-mm-dd"),""),IF(ISNUMBER(INDEX('Vendor COIs'!$H$4:$H$503,(_calc!$E$610-500))),TEXT(INDEX('Vendor COIs'!$H$4:$H$503,(_calc!$E$610-500)),"yyyy-mm-dd"),"")))</f>
        <v/>
      </c>
      <c r="C608" s="46">
        <f>IF(_calc!$E$610="","",IF(_calc!$E$610&lt;=500,"Insurance","Certificate of insurance"))</f>
        <v/>
      </c>
      <c r="D608" s="46">
        <f>IF(_calc!$E$610="","",IF(_calc!$E$610&lt;=500,IF(ISNUMBER(INDEX('Our policies'!$I$4:$I$503,_calc!$E$610)),TEXT(INDEX('Our policies'!$I$4:$I$503,_calc!$E$610),"yyyy-mm-dd"),""),""))</f>
        <v/>
      </c>
      <c r="E608" s="46">
        <f>IF(_calc!$E$610="","",IF(_calc!$E$610&lt;=500,IF(LEN(INDEX('Our policies'!$Q$4:$Q$503,_calc!$E$610))=0,"",INDEX('Our policies'!$Q$4:$Q$503,_calc!$E$610)),"Medium"))</f>
        <v/>
      </c>
      <c r="F608" s="46">
        <f>IF(_calc!$E$610="","",IF(_calc!$E$610&lt;=500,TRIM(IF(LEN(IF(LEN(INDEX('Our policies'!$B$4:$B$503,_calc!$E$610))=0,"",INDEX('Our policies'!$B$4:$B$503,_calc!$E$610)))=0,"","Cover: "&amp;IF(LEN(INDEX('Our policies'!$B$4:$B$503,_calc!$E$610))=0,"",INDEX('Our policies'!$B$4:$B$503,_calc!$E$610))&amp;". ")&amp;IF(LEN(IF(LEN(INDEX('Our policies'!$C$4:$C$503,_calc!$E$610))=0,"",INDEX('Our policies'!$C$4:$C$503,_calc!$E$610)))=0,"","Insurer: "&amp;IF(LEN(INDEX('Our policies'!$C$4:$C$503,_calc!$E$610))=0,"",INDEX('Our policies'!$C$4:$C$503,_calc!$E$610))&amp;". ")&amp;IF(LEN(IF(LEN(INDEX('Our policies'!$D$4:$D$503,_calc!$E$610))=0,"",INDEX('Our policies'!$D$4:$D$503,_calc!$E$610)))=0,"","Broker: "&amp;IF(LEN(INDEX('Our policies'!$D$4:$D$503,_calc!$E$610))=0,"",INDEX('Our policies'!$D$4:$D$503,_calc!$E$610))&amp;". ")&amp;IF(LEN(IF(LEN(INDEX('Our policies'!$E$4:$E$503,_calc!$E$610))=0,"",INDEX('Our policies'!$E$4:$E$503,_calc!$E$610)))=0,"","Policy no.: "&amp;IF(LEN(INDEX('Our policies'!$E$4:$E$503,_calc!$E$610))=0,"",INDEX('Our policies'!$E$4:$E$503,_calc!$E$610))&amp;". ")&amp;IF(LEN(IF(LEN(INDEX('Our policies'!$S$4:$S$503,_calc!$E$610))=0,"",INDEX('Our policies'!$S$4:$S$503,_calc!$E$610)))=0,"",IF(LEN(INDEX('Our policies'!$S$4:$S$503,_calc!$E$610))=0,"",INDEX('Our policies'!$S$4:$S$503,_calc!$E$610)))),TRIM(IF(LEN(IF(LEN(INDEX('Vendor COIs'!$C$4:$C$503,(_calc!$E$610-500)))=0,"",INDEX('Vendor COIs'!$C$4:$C$503,(_calc!$E$610-500))))=0,"","Insurer: "&amp;IF(LEN(INDEX('Vendor COIs'!$C$4:$C$503,(_calc!$E$610-500)))=0,"",INDEX('Vendor COIs'!$C$4:$C$503,(_calc!$E$610-500)))&amp;". ")&amp;IF(LEN(IF(LEN(INDEX('Vendor COIs'!$D$4:$D$503,(_calc!$E$610-500)))=0,"",INDEX('Vendor COIs'!$D$4:$D$503,(_calc!$E$610-500))))=0,"","Policy no.: "&amp;IF(LEN(INDEX('Vendor COIs'!$D$4:$D$503,(_calc!$E$610-500)))=0,"",INDEX('Vendor COIs'!$D$4:$D$503,(_calc!$E$610-500)))&amp;". ")&amp;IF(LEN(IF(LEN(INDEX('Vendor COIs'!$F$4:$F$503,(_calc!$E$610-500)))=0,"",INDEX('Vendor COIs'!$F$4:$F$503,(_calc!$E$610-500))))=0,"","Meets minimum: "&amp;IF(LEN(INDEX('Vendor COIs'!$F$4:$F$503,(_calc!$E$610-500)))=0,"",INDEX('Vendor COIs'!$F$4:$F$503,(_calc!$E$610-500)))&amp;". ")&amp;IF(LEN(IF(LEN(INDEX('Vendor COIs'!$G$4:$G$503,(_calc!$E$610-500)))=0,"",INDEX('Vendor COIs'!$G$4:$G$503,(_calc!$E$610-500))))=0,"","Additional insured: "&amp;IF(LEN(INDEX('Vendor COIs'!$G$4:$G$503,(_calc!$E$610-500)))=0,"",INDEX('Vendor COIs'!$G$4:$G$503,(_calc!$E$610-500)))&amp;". ")&amp;IF(LEN(IF(LEN(INDEX('Vendor COIs'!$M$4:$M$503,(_calc!$E$610-500)))=0,"",INDEX('Vendor COIs'!$M$4:$M$503,(_calc!$E$610-500))))=0,"","Vendor contact: "&amp;IF(LEN(INDEX('Vendor COIs'!$M$4:$M$503,(_calc!$E$610-500)))=0,"",INDEX('Vendor COIs'!$M$4:$M$503,(_calc!$E$610-500)))&amp;". ")&amp;IF(LEN(IF(LEN(INDEX('Vendor COIs'!$P$4:$P$503,(_calc!$E$610-500)))=0,"",INDEX('Vendor COIs'!$P$4:$P$503,(_calc!$E$610-500))))=0,"",IF(LEN(INDEX('Vendor COIs'!$P$4:$P$503,(_calc!$E$610-500)))=0,"",INDEX('Vendor COIs'!$P$4:$P$503,(_calc!$E$610-500)))))))</f>
        <v/>
      </c>
      <c r="G608" s="46">
        <f>IF(_calc!$E$610="","",IF(_calc!$E$610&lt;=500,IF(LEN(INDEX('Our policies'!$R$4:$R$503,_calc!$E$610))=0,"",INDEX('Our policies'!$R$4:$R$503,_calc!$E$610)),IF(LEN(INDEX('Vendor COIs'!$O$4:$O$503,(_calc!$E$610-500)))=0,"",INDEX('Vendor COIs'!$O$4:$O$503,(_calc!$E$610-500)))))</f>
        <v/>
      </c>
      <c r="H608" s="46">
        <f>IF(_calc!$E$610="","",IF(_calc!$E$610&lt;=500,IF(LEN(INDEX('Our policies'!$G$4:$G$503,_calc!$E$610))=0,"",INDEX('Our policies'!$G$4:$G$503,_calc!$E$610)),""))</f>
        <v/>
      </c>
      <c r="I608" s="46">
        <f>IF(_calc!$E$610="","",IF(_calc!$E$610&lt;=500,IF(LEN(INDEX('Our policies'!$H$4:$H$503,_calc!$E$610))=0,"",INDEX('Our policies'!$H$4:$H$503,_calc!$E$610)),""))</f>
        <v/>
      </c>
      <c r="K608" s="46">
        <f>IF(_calc!$E$610="","",IF(_calc!$E$610&lt;=500,IF(LEN(INDEX('Our policies'!$P$4:$P$503,_calc!$E$610))=0,"",INDEX('Our policies'!$P$4:$P$503,_calc!$E$610)),IF(LEN(INDEX('Vendor COIs'!$N$4:$N$503,(_calc!$E$610-500)))=0,"",INDEX('Vendor COIs'!$N$4:$N$503,(_calc!$E$610-500)))))</f>
        <v/>
      </c>
    </row>
    <row r="609">
      <c r="A609" s="46">
        <f>IF(_calc!$E$611="","",IF(_calc!$E$611&lt;=500,IF(LEN(INDEX('Our policies'!$A$4:$A$503,_calc!$E$611))=0,"",INDEX('Our policies'!$A$4:$A$503,_calc!$E$611)),"COI – "&amp;IF(LEN(INDEX('Vendor COIs'!$A$4:$A$503,(_calc!$E$611-500)))=0,"",INDEX('Vendor COIs'!$A$4:$A$503,(_calc!$E$611-500)))&amp;" – "&amp;IF(LEN(INDEX('Vendor COIs'!$B$4:$B$503,(_calc!$E$611-500)))=0,"",INDEX('Vendor COIs'!$B$4:$B$503,(_calc!$E$611-500)))))</f>
        <v/>
      </c>
      <c r="B609" s="46">
        <f>IF(_calc!$E$611="","",IF(_calc!$E$611&lt;=500,IF(ISNUMBER(INDEX('Our policies'!$J$4:$J$503,_calc!$E$611)),TEXT(INDEX('Our policies'!$J$4:$J$503,_calc!$E$611),"yyyy-mm-dd"),""),IF(ISNUMBER(INDEX('Vendor COIs'!$H$4:$H$503,(_calc!$E$611-500))),TEXT(INDEX('Vendor COIs'!$H$4:$H$503,(_calc!$E$611-500)),"yyyy-mm-dd"),"")))</f>
        <v/>
      </c>
      <c r="C609" s="46">
        <f>IF(_calc!$E$611="","",IF(_calc!$E$611&lt;=500,"Insurance","Certificate of insurance"))</f>
        <v/>
      </c>
      <c r="D609" s="46">
        <f>IF(_calc!$E$611="","",IF(_calc!$E$611&lt;=500,IF(ISNUMBER(INDEX('Our policies'!$I$4:$I$503,_calc!$E$611)),TEXT(INDEX('Our policies'!$I$4:$I$503,_calc!$E$611),"yyyy-mm-dd"),""),""))</f>
        <v/>
      </c>
      <c r="E609" s="46">
        <f>IF(_calc!$E$611="","",IF(_calc!$E$611&lt;=500,IF(LEN(INDEX('Our policies'!$Q$4:$Q$503,_calc!$E$611))=0,"",INDEX('Our policies'!$Q$4:$Q$503,_calc!$E$611)),"Medium"))</f>
        <v/>
      </c>
      <c r="F609" s="46">
        <f>IF(_calc!$E$611="","",IF(_calc!$E$611&lt;=500,TRIM(IF(LEN(IF(LEN(INDEX('Our policies'!$B$4:$B$503,_calc!$E$611))=0,"",INDEX('Our policies'!$B$4:$B$503,_calc!$E$611)))=0,"","Cover: "&amp;IF(LEN(INDEX('Our policies'!$B$4:$B$503,_calc!$E$611))=0,"",INDEX('Our policies'!$B$4:$B$503,_calc!$E$611))&amp;". ")&amp;IF(LEN(IF(LEN(INDEX('Our policies'!$C$4:$C$503,_calc!$E$611))=0,"",INDEX('Our policies'!$C$4:$C$503,_calc!$E$611)))=0,"","Insurer: "&amp;IF(LEN(INDEX('Our policies'!$C$4:$C$503,_calc!$E$611))=0,"",INDEX('Our policies'!$C$4:$C$503,_calc!$E$611))&amp;". ")&amp;IF(LEN(IF(LEN(INDEX('Our policies'!$D$4:$D$503,_calc!$E$611))=0,"",INDEX('Our policies'!$D$4:$D$503,_calc!$E$611)))=0,"","Broker: "&amp;IF(LEN(INDEX('Our policies'!$D$4:$D$503,_calc!$E$611))=0,"",INDEX('Our policies'!$D$4:$D$503,_calc!$E$611))&amp;". ")&amp;IF(LEN(IF(LEN(INDEX('Our policies'!$E$4:$E$503,_calc!$E$611))=0,"",INDEX('Our policies'!$E$4:$E$503,_calc!$E$611)))=0,"","Policy no.: "&amp;IF(LEN(INDEX('Our policies'!$E$4:$E$503,_calc!$E$611))=0,"",INDEX('Our policies'!$E$4:$E$503,_calc!$E$611))&amp;". ")&amp;IF(LEN(IF(LEN(INDEX('Our policies'!$S$4:$S$503,_calc!$E$611))=0,"",INDEX('Our policies'!$S$4:$S$503,_calc!$E$611)))=0,"",IF(LEN(INDEX('Our policies'!$S$4:$S$503,_calc!$E$611))=0,"",INDEX('Our policies'!$S$4:$S$503,_calc!$E$611)))),TRIM(IF(LEN(IF(LEN(INDEX('Vendor COIs'!$C$4:$C$503,(_calc!$E$611-500)))=0,"",INDEX('Vendor COIs'!$C$4:$C$503,(_calc!$E$611-500))))=0,"","Insurer: "&amp;IF(LEN(INDEX('Vendor COIs'!$C$4:$C$503,(_calc!$E$611-500)))=0,"",INDEX('Vendor COIs'!$C$4:$C$503,(_calc!$E$611-500)))&amp;". ")&amp;IF(LEN(IF(LEN(INDEX('Vendor COIs'!$D$4:$D$503,(_calc!$E$611-500)))=0,"",INDEX('Vendor COIs'!$D$4:$D$503,(_calc!$E$611-500))))=0,"","Policy no.: "&amp;IF(LEN(INDEX('Vendor COIs'!$D$4:$D$503,(_calc!$E$611-500)))=0,"",INDEX('Vendor COIs'!$D$4:$D$503,(_calc!$E$611-500)))&amp;". ")&amp;IF(LEN(IF(LEN(INDEX('Vendor COIs'!$F$4:$F$503,(_calc!$E$611-500)))=0,"",INDEX('Vendor COIs'!$F$4:$F$503,(_calc!$E$611-500))))=0,"","Meets minimum: "&amp;IF(LEN(INDEX('Vendor COIs'!$F$4:$F$503,(_calc!$E$611-500)))=0,"",INDEX('Vendor COIs'!$F$4:$F$503,(_calc!$E$611-500)))&amp;". ")&amp;IF(LEN(IF(LEN(INDEX('Vendor COIs'!$G$4:$G$503,(_calc!$E$611-500)))=0,"",INDEX('Vendor COIs'!$G$4:$G$503,(_calc!$E$611-500))))=0,"","Additional insured: "&amp;IF(LEN(INDEX('Vendor COIs'!$G$4:$G$503,(_calc!$E$611-500)))=0,"",INDEX('Vendor COIs'!$G$4:$G$503,(_calc!$E$611-500)))&amp;". ")&amp;IF(LEN(IF(LEN(INDEX('Vendor COIs'!$M$4:$M$503,(_calc!$E$611-500)))=0,"",INDEX('Vendor COIs'!$M$4:$M$503,(_calc!$E$611-500))))=0,"","Vendor contact: "&amp;IF(LEN(INDEX('Vendor COIs'!$M$4:$M$503,(_calc!$E$611-500)))=0,"",INDEX('Vendor COIs'!$M$4:$M$503,(_calc!$E$611-500)))&amp;". ")&amp;IF(LEN(IF(LEN(INDEX('Vendor COIs'!$P$4:$P$503,(_calc!$E$611-500)))=0,"",INDEX('Vendor COIs'!$P$4:$P$503,(_calc!$E$611-500))))=0,"",IF(LEN(INDEX('Vendor COIs'!$P$4:$P$503,(_calc!$E$611-500)))=0,"",INDEX('Vendor COIs'!$P$4:$P$503,(_calc!$E$611-500)))))))</f>
        <v/>
      </c>
      <c r="G609" s="46">
        <f>IF(_calc!$E$611="","",IF(_calc!$E$611&lt;=500,IF(LEN(INDEX('Our policies'!$R$4:$R$503,_calc!$E$611))=0,"",INDEX('Our policies'!$R$4:$R$503,_calc!$E$611)),IF(LEN(INDEX('Vendor COIs'!$O$4:$O$503,(_calc!$E$611-500)))=0,"",INDEX('Vendor COIs'!$O$4:$O$503,(_calc!$E$611-500)))))</f>
        <v/>
      </c>
      <c r="H609" s="46">
        <f>IF(_calc!$E$611="","",IF(_calc!$E$611&lt;=500,IF(LEN(INDEX('Our policies'!$G$4:$G$503,_calc!$E$611))=0,"",INDEX('Our policies'!$G$4:$G$503,_calc!$E$611)),""))</f>
        <v/>
      </c>
      <c r="I609" s="46">
        <f>IF(_calc!$E$611="","",IF(_calc!$E$611&lt;=500,IF(LEN(INDEX('Our policies'!$H$4:$H$503,_calc!$E$611))=0,"",INDEX('Our policies'!$H$4:$H$503,_calc!$E$611)),""))</f>
        <v/>
      </c>
      <c r="K609" s="46">
        <f>IF(_calc!$E$611="","",IF(_calc!$E$611&lt;=500,IF(LEN(INDEX('Our policies'!$P$4:$P$503,_calc!$E$611))=0,"",INDEX('Our policies'!$P$4:$P$503,_calc!$E$611)),IF(LEN(INDEX('Vendor COIs'!$N$4:$N$503,(_calc!$E$611-500)))=0,"",INDEX('Vendor COIs'!$N$4:$N$503,(_calc!$E$611-500)))))</f>
        <v/>
      </c>
    </row>
    <row r="610">
      <c r="A610" s="46">
        <f>IF(_calc!$E$612="","",IF(_calc!$E$612&lt;=500,IF(LEN(INDEX('Our policies'!$A$4:$A$503,_calc!$E$612))=0,"",INDEX('Our policies'!$A$4:$A$503,_calc!$E$612)),"COI – "&amp;IF(LEN(INDEX('Vendor COIs'!$A$4:$A$503,(_calc!$E$612-500)))=0,"",INDEX('Vendor COIs'!$A$4:$A$503,(_calc!$E$612-500)))&amp;" – "&amp;IF(LEN(INDEX('Vendor COIs'!$B$4:$B$503,(_calc!$E$612-500)))=0,"",INDEX('Vendor COIs'!$B$4:$B$503,(_calc!$E$612-500)))))</f>
        <v/>
      </c>
      <c r="B610" s="46">
        <f>IF(_calc!$E$612="","",IF(_calc!$E$612&lt;=500,IF(ISNUMBER(INDEX('Our policies'!$J$4:$J$503,_calc!$E$612)),TEXT(INDEX('Our policies'!$J$4:$J$503,_calc!$E$612),"yyyy-mm-dd"),""),IF(ISNUMBER(INDEX('Vendor COIs'!$H$4:$H$503,(_calc!$E$612-500))),TEXT(INDEX('Vendor COIs'!$H$4:$H$503,(_calc!$E$612-500)),"yyyy-mm-dd"),"")))</f>
        <v/>
      </c>
      <c r="C610" s="46">
        <f>IF(_calc!$E$612="","",IF(_calc!$E$612&lt;=500,"Insurance","Certificate of insurance"))</f>
        <v/>
      </c>
      <c r="D610" s="46">
        <f>IF(_calc!$E$612="","",IF(_calc!$E$612&lt;=500,IF(ISNUMBER(INDEX('Our policies'!$I$4:$I$503,_calc!$E$612)),TEXT(INDEX('Our policies'!$I$4:$I$503,_calc!$E$612),"yyyy-mm-dd"),""),""))</f>
        <v/>
      </c>
      <c r="E610" s="46">
        <f>IF(_calc!$E$612="","",IF(_calc!$E$612&lt;=500,IF(LEN(INDEX('Our policies'!$Q$4:$Q$503,_calc!$E$612))=0,"",INDEX('Our policies'!$Q$4:$Q$503,_calc!$E$612)),"Medium"))</f>
        <v/>
      </c>
      <c r="F610" s="46">
        <f>IF(_calc!$E$612="","",IF(_calc!$E$612&lt;=500,TRIM(IF(LEN(IF(LEN(INDEX('Our policies'!$B$4:$B$503,_calc!$E$612))=0,"",INDEX('Our policies'!$B$4:$B$503,_calc!$E$612)))=0,"","Cover: "&amp;IF(LEN(INDEX('Our policies'!$B$4:$B$503,_calc!$E$612))=0,"",INDEX('Our policies'!$B$4:$B$503,_calc!$E$612))&amp;". ")&amp;IF(LEN(IF(LEN(INDEX('Our policies'!$C$4:$C$503,_calc!$E$612))=0,"",INDEX('Our policies'!$C$4:$C$503,_calc!$E$612)))=0,"","Insurer: "&amp;IF(LEN(INDEX('Our policies'!$C$4:$C$503,_calc!$E$612))=0,"",INDEX('Our policies'!$C$4:$C$503,_calc!$E$612))&amp;". ")&amp;IF(LEN(IF(LEN(INDEX('Our policies'!$D$4:$D$503,_calc!$E$612))=0,"",INDEX('Our policies'!$D$4:$D$503,_calc!$E$612)))=0,"","Broker: "&amp;IF(LEN(INDEX('Our policies'!$D$4:$D$503,_calc!$E$612))=0,"",INDEX('Our policies'!$D$4:$D$503,_calc!$E$612))&amp;". ")&amp;IF(LEN(IF(LEN(INDEX('Our policies'!$E$4:$E$503,_calc!$E$612))=0,"",INDEX('Our policies'!$E$4:$E$503,_calc!$E$612)))=0,"","Policy no.: "&amp;IF(LEN(INDEX('Our policies'!$E$4:$E$503,_calc!$E$612))=0,"",INDEX('Our policies'!$E$4:$E$503,_calc!$E$612))&amp;". ")&amp;IF(LEN(IF(LEN(INDEX('Our policies'!$S$4:$S$503,_calc!$E$612))=0,"",INDEX('Our policies'!$S$4:$S$503,_calc!$E$612)))=0,"",IF(LEN(INDEX('Our policies'!$S$4:$S$503,_calc!$E$612))=0,"",INDEX('Our policies'!$S$4:$S$503,_calc!$E$612)))),TRIM(IF(LEN(IF(LEN(INDEX('Vendor COIs'!$C$4:$C$503,(_calc!$E$612-500)))=0,"",INDEX('Vendor COIs'!$C$4:$C$503,(_calc!$E$612-500))))=0,"","Insurer: "&amp;IF(LEN(INDEX('Vendor COIs'!$C$4:$C$503,(_calc!$E$612-500)))=0,"",INDEX('Vendor COIs'!$C$4:$C$503,(_calc!$E$612-500)))&amp;". ")&amp;IF(LEN(IF(LEN(INDEX('Vendor COIs'!$D$4:$D$503,(_calc!$E$612-500)))=0,"",INDEX('Vendor COIs'!$D$4:$D$503,(_calc!$E$612-500))))=0,"","Policy no.: "&amp;IF(LEN(INDEX('Vendor COIs'!$D$4:$D$503,(_calc!$E$612-500)))=0,"",INDEX('Vendor COIs'!$D$4:$D$503,(_calc!$E$612-500)))&amp;". ")&amp;IF(LEN(IF(LEN(INDEX('Vendor COIs'!$F$4:$F$503,(_calc!$E$612-500)))=0,"",INDEX('Vendor COIs'!$F$4:$F$503,(_calc!$E$612-500))))=0,"","Meets minimum: "&amp;IF(LEN(INDEX('Vendor COIs'!$F$4:$F$503,(_calc!$E$612-500)))=0,"",INDEX('Vendor COIs'!$F$4:$F$503,(_calc!$E$612-500)))&amp;". ")&amp;IF(LEN(IF(LEN(INDEX('Vendor COIs'!$G$4:$G$503,(_calc!$E$612-500)))=0,"",INDEX('Vendor COIs'!$G$4:$G$503,(_calc!$E$612-500))))=0,"","Additional insured: "&amp;IF(LEN(INDEX('Vendor COIs'!$G$4:$G$503,(_calc!$E$612-500)))=0,"",INDEX('Vendor COIs'!$G$4:$G$503,(_calc!$E$612-500)))&amp;". ")&amp;IF(LEN(IF(LEN(INDEX('Vendor COIs'!$M$4:$M$503,(_calc!$E$612-500)))=0,"",INDEX('Vendor COIs'!$M$4:$M$503,(_calc!$E$612-500))))=0,"","Vendor contact: "&amp;IF(LEN(INDEX('Vendor COIs'!$M$4:$M$503,(_calc!$E$612-500)))=0,"",INDEX('Vendor COIs'!$M$4:$M$503,(_calc!$E$612-500)))&amp;". ")&amp;IF(LEN(IF(LEN(INDEX('Vendor COIs'!$P$4:$P$503,(_calc!$E$612-500)))=0,"",INDEX('Vendor COIs'!$P$4:$P$503,(_calc!$E$612-500))))=0,"",IF(LEN(INDEX('Vendor COIs'!$P$4:$P$503,(_calc!$E$612-500)))=0,"",INDEX('Vendor COIs'!$P$4:$P$503,(_calc!$E$612-500)))))))</f>
        <v/>
      </c>
      <c r="G610" s="46">
        <f>IF(_calc!$E$612="","",IF(_calc!$E$612&lt;=500,IF(LEN(INDEX('Our policies'!$R$4:$R$503,_calc!$E$612))=0,"",INDEX('Our policies'!$R$4:$R$503,_calc!$E$612)),IF(LEN(INDEX('Vendor COIs'!$O$4:$O$503,(_calc!$E$612-500)))=0,"",INDEX('Vendor COIs'!$O$4:$O$503,(_calc!$E$612-500)))))</f>
        <v/>
      </c>
      <c r="H610" s="46">
        <f>IF(_calc!$E$612="","",IF(_calc!$E$612&lt;=500,IF(LEN(INDEX('Our policies'!$G$4:$G$503,_calc!$E$612))=0,"",INDEX('Our policies'!$G$4:$G$503,_calc!$E$612)),""))</f>
        <v/>
      </c>
      <c r="I610" s="46">
        <f>IF(_calc!$E$612="","",IF(_calc!$E$612&lt;=500,IF(LEN(INDEX('Our policies'!$H$4:$H$503,_calc!$E$612))=0,"",INDEX('Our policies'!$H$4:$H$503,_calc!$E$612)),""))</f>
        <v/>
      </c>
      <c r="K610" s="46">
        <f>IF(_calc!$E$612="","",IF(_calc!$E$612&lt;=500,IF(LEN(INDEX('Our policies'!$P$4:$P$503,_calc!$E$612))=0,"",INDEX('Our policies'!$P$4:$P$503,_calc!$E$612)),IF(LEN(INDEX('Vendor COIs'!$N$4:$N$503,(_calc!$E$612-500)))=0,"",INDEX('Vendor COIs'!$N$4:$N$503,(_calc!$E$612-500)))))</f>
        <v/>
      </c>
    </row>
    <row r="611">
      <c r="A611" s="46">
        <f>IF(_calc!$E$613="","",IF(_calc!$E$613&lt;=500,IF(LEN(INDEX('Our policies'!$A$4:$A$503,_calc!$E$613))=0,"",INDEX('Our policies'!$A$4:$A$503,_calc!$E$613)),"COI – "&amp;IF(LEN(INDEX('Vendor COIs'!$A$4:$A$503,(_calc!$E$613-500)))=0,"",INDEX('Vendor COIs'!$A$4:$A$503,(_calc!$E$613-500)))&amp;" – "&amp;IF(LEN(INDEX('Vendor COIs'!$B$4:$B$503,(_calc!$E$613-500)))=0,"",INDEX('Vendor COIs'!$B$4:$B$503,(_calc!$E$613-500)))))</f>
        <v/>
      </c>
      <c r="B611" s="46">
        <f>IF(_calc!$E$613="","",IF(_calc!$E$613&lt;=500,IF(ISNUMBER(INDEX('Our policies'!$J$4:$J$503,_calc!$E$613)),TEXT(INDEX('Our policies'!$J$4:$J$503,_calc!$E$613),"yyyy-mm-dd"),""),IF(ISNUMBER(INDEX('Vendor COIs'!$H$4:$H$503,(_calc!$E$613-500))),TEXT(INDEX('Vendor COIs'!$H$4:$H$503,(_calc!$E$613-500)),"yyyy-mm-dd"),"")))</f>
        <v/>
      </c>
      <c r="C611" s="46">
        <f>IF(_calc!$E$613="","",IF(_calc!$E$613&lt;=500,"Insurance","Certificate of insurance"))</f>
        <v/>
      </c>
      <c r="D611" s="46">
        <f>IF(_calc!$E$613="","",IF(_calc!$E$613&lt;=500,IF(ISNUMBER(INDEX('Our policies'!$I$4:$I$503,_calc!$E$613)),TEXT(INDEX('Our policies'!$I$4:$I$503,_calc!$E$613),"yyyy-mm-dd"),""),""))</f>
        <v/>
      </c>
      <c r="E611" s="46">
        <f>IF(_calc!$E$613="","",IF(_calc!$E$613&lt;=500,IF(LEN(INDEX('Our policies'!$Q$4:$Q$503,_calc!$E$613))=0,"",INDEX('Our policies'!$Q$4:$Q$503,_calc!$E$613)),"Medium"))</f>
        <v/>
      </c>
      <c r="F611" s="46">
        <f>IF(_calc!$E$613="","",IF(_calc!$E$613&lt;=500,TRIM(IF(LEN(IF(LEN(INDEX('Our policies'!$B$4:$B$503,_calc!$E$613))=0,"",INDEX('Our policies'!$B$4:$B$503,_calc!$E$613)))=0,"","Cover: "&amp;IF(LEN(INDEX('Our policies'!$B$4:$B$503,_calc!$E$613))=0,"",INDEX('Our policies'!$B$4:$B$503,_calc!$E$613))&amp;". ")&amp;IF(LEN(IF(LEN(INDEX('Our policies'!$C$4:$C$503,_calc!$E$613))=0,"",INDEX('Our policies'!$C$4:$C$503,_calc!$E$613)))=0,"","Insurer: "&amp;IF(LEN(INDEX('Our policies'!$C$4:$C$503,_calc!$E$613))=0,"",INDEX('Our policies'!$C$4:$C$503,_calc!$E$613))&amp;". ")&amp;IF(LEN(IF(LEN(INDEX('Our policies'!$D$4:$D$503,_calc!$E$613))=0,"",INDEX('Our policies'!$D$4:$D$503,_calc!$E$613)))=0,"","Broker: "&amp;IF(LEN(INDEX('Our policies'!$D$4:$D$503,_calc!$E$613))=0,"",INDEX('Our policies'!$D$4:$D$503,_calc!$E$613))&amp;". ")&amp;IF(LEN(IF(LEN(INDEX('Our policies'!$E$4:$E$503,_calc!$E$613))=0,"",INDEX('Our policies'!$E$4:$E$503,_calc!$E$613)))=0,"","Policy no.: "&amp;IF(LEN(INDEX('Our policies'!$E$4:$E$503,_calc!$E$613))=0,"",INDEX('Our policies'!$E$4:$E$503,_calc!$E$613))&amp;". ")&amp;IF(LEN(IF(LEN(INDEX('Our policies'!$S$4:$S$503,_calc!$E$613))=0,"",INDEX('Our policies'!$S$4:$S$503,_calc!$E$613)))=0,"",IF(LEN(INDEX('Our policies'!$S$4:$S$503,_calc!$E$613))=0,"",INDEX('Our policies'!$S$4:$S$503,_calc!$E$613)))),TRIM(IF(LEN(IF(LEN(INDEX('Vendor COIs'!$C$4:$C$503,(_calc!$E$613-500)))=0,"",INDEX('Vendor COIs'!$C$4:$C$503,(_calc!$E$613-500))))=0,"","Insurer: "&amp;IF(LEN(INDEX('Vendor COIs'!$C$4:$C$503,(_calc!$E$613-500)))=0,"",INDEX('Vendor COIs'!$C$4:$C$503,(_calc!$E$613-500)))&amp;". ")&amp;IF(LEN(IF(LEN(INDEX('Vendor COIs'!$D$4:$D$503,(_calc!$E$613-500)))=0,"",INDEX('Vendor COIs'!$D$4:$D$503,(_calc!$E$613-500))))=0,"","Policy no.: "&amp;IF(LEN(INDEX('Vendor COIs'!$D$4:$D$503,(_calc!$E$613-500)))=0,"",INDEX('Vendor COIs'!$D$4:$D$503,(_calc!$E$613-500)))&amp;". ")&amp;IF(LEN(IF(LEN(INDEX('Vendor COIs'!$F$4:$F$503,(_calc!$E$613-500)))=0,"",INDEX('Vendor COIs'!$F$4:$F$503,(_calc!$E$613-500))))=0,"","Meets minimum: "&amp;IF(LEN(INDEX('Vendor COIs'!$F$4:$F$503,(_calc!$E$613-500)))=0,"",INDEX('Vendor COIs'!$F$4:$F$503,(_calc!$E$613-500)))&amp;". ")&amp;IF(LEN(IF(LEN(INDEX('Vendor COIs'!$G$4:$G$503,(_calc!$E$613-500)))=0,"",INDEX('Vendor COIs'!$G$4:$G$503,(_calc!$E$613-500))))=0,"","Additional insured: "&amp;IF(LEN(INDEX('Vendor COIs'!$G$4:$G$503,(_calc!$E$613-500)))=0,"",INDEX('Vendor COIs'!$G$4:$G$503,(_calc!$E$613-500)))&amp;". ")&amp;IF(LEN(IF(LEN(INDEX('Vendor COIs'!$M$4:$M$503,(_calc!$E$613-500)))=0,"",INDEX('Vendor COIs'!$M$4:$M$503,(_calc!$E$613-500))))=0,"","Vendor contact: "&amp;IF(LEN(INDEX('Vendor COIs'!$M$4:$M$503,(_calc!$E$613-500)))=0,"",INDEX('Vendor COIs'!$M$4:$M$503,(_calc!$E$613-500)))&amp;". ")&amp;IF(LEN(IF(LEN(INDEX('Vendor COIs'!$P$4:$P$503,(_calc!$E$613-500)))=0,"",INDEX('Vendor COIs'!$P$4:$P$503,(_calc!$E$613-500))))=0,"",IF(LEN(INDEX('Vendor COIs'!$P$4:$P$503,(_calc!$E$613-500)))=0,"",INDEX('Vendor COIs'!$P$4:$P$503,(_calc!$E$613-500)))))))</f>
        <v/>
      </c>
      <c r="G611" s="46">
        <f>IF(_calc!$E$613="","",IF(_calc!$E$613&lt;=500,IF(LEN(INDEX('Our policies'!$R$4:$R$503,_calc!$E$613))=0,"",INDEX('Our policies'!$R$4:$R$503,_calc!$E$613)),IF(LEN(INDEX('Vendor COIs'!$O$4:$O$503,(_calc!$E$613-500)))=0,"",INDEX('Vendor COIs'!$O$4:$O$503,(_calc!$E$613-500)))))</f>
        <v/>
      </c>
      <c r="H611" s="46">
        <f>IF(_calc!$E$613="","",IF(_calc!$E$613&lt;=500,IF(LEN(INDEX('Our policies'!$G$4:$G$503,_calc!$E$613))=0,"",INDEX('Our policies'!$G$4:$G$503,_calc!$E$613)),""))</f>
        <v/>
      </c>
      <c r="I611" s="46">
        <f>IF(_calc!$E$613="","",IF(_calc!$E$613&lt;=500,IF(LEN(INDEX('Our policies'!$H$4:$H$503,_calc!$E$613))=0,"",INDEX('Our policies'!$H$4:$H$503,_calc!$E$613)),""))</f>
        <v/>
      </c>
      <c r="K611" s="46">
        <f>IF(_calc!$E$613="","",IF(_calc!$E$613&lt;=500,IF(LEN(INDEX('Our policies'!$P$4:$P$503,_calc!$E$613))=0,"",INDEX('Our policies'!$P$4:$P$503,_calc!$E$613)),IF(LEN(INDEX('Vendor COIs'!$N$4:$N$503,(_calc!$E$613-500)))=0,"",INDEX('Vendor COIs'!$N$4:$N$503,(_calc!$E$613-500)))))</f>
        <v/>
      </c>
    </row>
    <row r="612">
      <c r="A612" s="46">
        <f>IF(_calc!$E$614="","",IF(_calc!$E$614&lt;=500,IF(LEN(INDEX('Our policies'!$A$4:$A$503,_calc!$E$614))=0,"",INDEX('Our policies'!$A$4:$A$503,_calc!$E$614)),"COI – "&amp;IF(LEN(INDEX('Vendor COIs'!$A$4:$A$503,(_calc!$E$614-500)))=0,"",INDEX('Vendor COIs'!$A$4:$A$503,(_calc!$E$614-500)))&amp;" – "&amp;IF(LEN(INDEX('Vendor COIs'!$B$4:$B$503,(_calc!$E$614-500)))=0,"",INDEX('Vendor COIs'!$B$4:$B$503,(_calc!$E$614-500)))))</f>
        <v/>
      </c>
      <c r="B612" s="46">
        <f>IF(_calc!$E$614="","",IF(_calc!$E$614&lt;=500,IF(ISNUMBER(INDEX('Our policies'!$J$4:$J$503,_calc!$E$614)),TEXT(INDEX('Our policies'!$J$4:$J$503,_calc!$E$614),"yyyy-mm-dd"),""),IF(ISNUMBER(INDEX('Vendor COIs'!$H$4:$H$503,(_calc!$E$614-500))),TEXT(INDEX('Vendor COIs'!$H$4:$H$503,(_calc!$E$614-500)),"yyyy-mm-dd"),"")))</f>
        <v/>
      </c>
      <c r="C612" s="46">
        <f>IF(_calc!$E$614="","",IF(_calc!$E$614&lt;=500,"Insurance","Certificate of insurance"))</f>
        <v/>
      </c>
      <c r="D612" s="46">
        <f>IF(_calc!$E$614="","",IF(_calc!$E$614&lt;=500,IF(ISNUMBER(INDEX('Our policies'!$I$4:$I$503,_calc!$E$614)),TEXT(INDEX('Our policies'!$I$4:$I$503,_calc!$E$614),"yyyy-mm-dd"),""),""))</f>
        <v/>
      </c>
      <c r="E612" s="46">
        <f>IF(_calc!$E$614="","",IF(_calc!$E$614&lt;=500,IF(LEN(INDEX('Our policies'!$Q$4:$Q$503,_calc!$E$614))=0,"",INDEX('Our policies'!$Q$4:$Q$503,_calc!$E$614)),"Medium"))</f>
        <v/>
      </c>
      <c r="F612" s="46">
        <f>IF(_calc!$E$614="","",IF(_calc!$E$614&lt;=500,TRIM(IF(LEN(IF(LEN(INDEX('Our policies'!$B$4:$B$503,_calc!$E$614))=0,"",INDEX('Our policies'!$B$4:$B$503,_calc!$E$614)))=0,"","Cover: "&amp;IF(LEN(INDEX('Our policies'!$B$4:$B$503,_calc!$E$614))=0,"",INDEX('Our policies'!$B$4:$B$503,_calc!$E$614))&amp;". ")&amp;IF(LEN(IF(LEN(INDEX('Our policies'!$C$4:$C$503,_calc!$E$614))=0,"",INDEX('Our policies'!$C$4:$C$503,_calc!$E$614)))=0,"","Insurer: "&amp;IF(LEN(INDEX('Our policies'!$C$4:$C$503,_calc!$E$614))=0,"",INDEX('Our policies'!$C$4:$C$503,_calc!$E$614))&amp;". ")&amp;IF(LEN(IF(LEN(INDEX('Our policies'!$D$4:$D$503,_calc!$E$614))=0,"",INDEX('Our policies'!$D$4:$D$503,_calc!$E$614)))=0,"","Broker: "&amp;IF(LEN(INDEX('Our policies'!$D$4:$D$503,_calc!$E$614))=0,"",INDEX('Our policies'!$D$4:$D$503,_calc!$E$614))&amp;". ")&amp;IF(LEN(IF(LEN(INDEX('Our policies'!$E$4:$E$503,_calc!$E$614))=0,"",INDEX('Our policies'!$E$4:$E$503,_calc!$E$614)))=0,"","Policy no.: "&amp;IF(LEN(INDEX('Our policies'!$E$4:$E$503,_calc!$E$614))=0,"",INDEX('Our policies'!$E$4:$E$503,_calc!$E$614))&amp;". ")&amp;IF(LEN(IF(LEN(INDEX('Our policies'!$S$4:$S$503,_calc!$E$614))=0,"",INDEX('Our policies'!$S$4:$S$503,_calc!$E$614)))=0,"",IF(LEN(INDEX('Our policies'!$S$4:$S$503,_calc!$E$614))=0,"",INDEX('Our policies'!$S$4:$S$503,_calc!$E$614)))),TRIM(IF(LEN(IF(LEN(INDEX('Vendor COIs'!$C$4:$C$503,(_calc!$E$614-500)))=0,"",INDEX('Vendor COIs'!$C$4:$C$503,(_calc!$E$614-500))))=0,"","Insurer: "&amp;IF(LEN(INDEX('Vendor COIs'!$C$4:$C$503,(_calc!$E$614-500)))=0,"",INDEX('Vendor COIs'!$C$4:$C$503,(_calc!$E$614-500)))&amp;". ")&amp;IF(LEN(IF(LEN(INDEX('Vendor COIs'!$D$4:$D$503,(_calc!$E$614-500)))=0,"",INDEX('Vendor COIs'!$D$4:$D$503,(_calc!$E$614-500))))=0,"","Policy no.: "&amp;IF(LEN(INDEX('Vendor COIs'!$D$4:$D$503,(_calc!$E$614-500)))=0,"",INDEX('Vendor COIs'!$D$4:$D$503,(_calc!$E$614-500)))&amp;". ")&amp;IF(LEN(IF(LEN(INDEX('Vendor COIs'!$F$4:$F$503,(_calc!$E$614-500)))=0,"",INDEX('Vendor COIs'!$F$4:$F$503,(_calc!$E$614-500))))=0,"","Meets minimum: "&amp;IF(LEN(INDEX('Vendor COIs'!$F$4:$F$503,(_calc!$E$614-500)))=0,"",INDEX('Vendor COIs'!$F$4:$F$503,(_calc!$E$614-500)))&amp;". ")&amp;IF(LEN(IF(LEN(INDEX('Vendor COIs'!$G$4:$G$503,(_calc!$E$614-500)))=0,"",INDEX('Vendor COIs'!$G$4:$G$503,(_calc!$E$614-500))))=0,"","Additional insured: "&amp;IF(LEN(INDEX('Vendor COIs'!$G$4:$G$503,(_calc!$E$614-500)))=0,"",INDEX('Vendor COIs'!$G$4:$G$503,(_calc!$E$614-500)))&amp;". ")&amp;IF(LEN(IF(LEN(INDEX('Vendor COIs'!$M$4:$M$503,(_calc!$E$614-500)))=0,"",INDEX('Vendor COIs'!$M$4:$M$503,(_calc!$E$614-500))))=0,"","Vendor contact: "&amp;IF(LEN(INDEX('Vendor COIs'!$M$4:$M$503,(_calc!$E$614-500)))=0,"",INDEX('Vendor COIs'!$M$4:$M$503,(_calc!$E$614-500)))&amp;". ")&amp;IF(LEN(IF(LEN(INDEX('Vendor COIs'!$P$4:$P$503,(_calc!$E$614-500)))=0,"",INDEX('Vendor COIs'!$P$4:$P$503,(_calc!$E$614-500))))=0,"",IF(LEN(INDEX('Vendor COIs'!$P$4:$P$503,(_calc!$E$614-500)))=0,"",INDEX('Vendor COIs'!$P$4:$P$503,(_calc!$E$614-500)))))))</f>
        <v/>
      </c>
      <c r="G612" s="46">
        <f>IF(_calc!$E$614="","",IF(_calc!$E$614&lt;=500,IF(LEN(INDEX('Our policies'!$R$4:$R$503,_calc!$E$614))=0,"",INDEX('Our policies'!$R$4:$R$503,_calc!$E$614)),IF(LEN(INDEX('Vendor COIs'!$O$4:$O$503,(_calc!$E$614-500)))=0,"",INDEX('Vendor COIs'!$O$4:$O$503,(_calc!$E$614-500)))))</f>
        <v/>
      </c>
      <c r="H612" s="46">
        <f>IF(_calc!$E$614="","",IF(_calc!$E$614&lt;=500,IF(LEN(INDEX('Our policies'!$G$4:$G$503,_calc!$E$614))=0,"",INDEX('Our policies'!$G$4:$G$503,_calc!$E$614)),""))</f>
        <v/>
      </c>
      <c r="I612" s="46">
        <f>IF(_calc!$E$614="","",IF(_calc!$E$614&lt;=500,IF(LEN(INDEX('Our policies'!$H$4:$H$503,_calc!$E$614))=0,"",INDEX('Our policies'!$H$4:$H$503,_calc!$E$614)),""))</f>
        <v/>
      </c>
      <c r="K612" s="46">
        <f>IF(_calc!$E$614="","",IF(_calc!$E$614&lt;=500,IF(LEN(INDEX('Our policies'!$P$4:$P$503,_calc!$E$614))=0,"",INDEX('Our policies'!$P$4:$P$503,_calc!$E$614)),IF(LEN(INDEX('Vendor COIs'!$N$4:$N$503,(_calc!$E$614-500)))=0,"",INDEX('Vendor COIs'!$N$4:$N$503,(_calc!$E$614-500)))))</f>
        <v/>
      </c>
    </row>
    <row r="613">
      <c r="A613" s="46">
        <f>IF(_calc!$E$615="","",IF(_calc!$E$615&lt;=500,IF(LEN(INDEX('Our policies'!$A$4:$A$503,_calc!$E$615))=0,"",INDEX('Our policies'!$A$4:$A$503,_calc!$E$615)),"COI – "&amp;IF(LEN(INDEX('Vendor COIs'!$A$4:$A$503,(_calc!$E$615-500)))=0,"",INDEX('Vendor COIs'!$A$4:$A$503,(_calc!$E$615-500)))&amp;" – "&amp;IF(LEN(INDEX('Vendor COIs'!$B$4:$B$503,(_calc!$E$615-500)))=0,"",INDEX('Vendor COIs'!$B$4:$B$503,(_calc!$E$615-500)))))</f>
        <v/>
      </c>
      <c r="B613" s="46">
        <f>IF(_calc!$E$615="","",IF(_calc!$E$615&lt;=500,IF(ISNUMBER(INDEX('Our policies'!$J$4:$J$503,_calc!$E$615)),TEXT(INDEX('Our policies'!$J$4:$J$503,_calc!$E$615),"yyyy-mm-dd"),""),IF(ISNUMBER(INDEX('Vendor COIs'!$H$4:$H$503,(_calc!$E$615-500))),TEXT(INDEX('Vendor COIs'!$H$4:$H$503,(_calc!$E$615-500)),"yyyy-mm-dd"),"")))</f>
        <v/>
      </c>
      <c r="C613" s="46">
        <f>IF(_calc!$E$615="","",IF(_calc!$E$615&lt;=500,"Insurance","Certificate of insurance"))</f>
        <v/>
      </c>
      <c r="D613" s="46">
        <f>IF(_calc!$E$615="","",IF(_calc!$E$615&lt;=500,IF(ISNUMBER(INDEX('Our policies'!$I$4:$I$503,_calc!$E$615)),TEXT(INDEX('Our policies'!$I$4:$I$503,_calc!$E$615),"yyyy-mm-dd"),""),""))</f>
        <v/>
      </c>
      <c r="E613" s="46">
        <f>IF(_calc!$E$615="","",IF(_calc!$E$615&lt;=500,IF(LEN(INDEX('Our policies'!$Q$4:$Q$503,_calc!$E$615))=0,"",INDEX('Our policies'!$Q$4:$Q$503,_calc!$E$615)),"Medium"))</f>
        <v/>
      </c>
      <c r="F613" s="46">
        <f>IF(_calc!$E$615="","",IF(_calc!$E$615&lt;=500,TRIM(IF(LEN(IF(LEN(INDEX('Our policies'!$B$4:$B$503,_calc!$E$615))=0,"",INDEX('Our policies'!$B$4:$B$503,_calc!$E$615)))=0,"","Cover: "&amp;IF(LEN(INDEX('Our policies'!$B$4:$B$503,_calc!$E$615))=0,"",INDEX('Our policies'!$B$4:$B$503,_calc!$E$615))&amp;". ")&amp;IF(LEN(IF(LEN(INDEX('Our policies'!$C$4:$C$503,_calc!$E$615))=0,"",INDEX('Our policies'!$C$4:$C$503,_calc!$E$615)))=0,"","Insurer: "&amp;IF(LEN(INDEX('Our policies'!$C$4:$C$503,_calc!$E$615))=0,"",INDEX('Our policies'!$C$4:$C$503,_calc!$E$615))&amp;". ")&amp;IF(LEN(IF(LEN(INDEX('Our policies'!$D$4:$D$503,_calc!$E$615))=0,"",INDEX('Our policies'!$D$4:$D$503,_calc!$E$615)))=0,"","Broker: "&amp;IF(LEN(INDEX('Our policies'!$D$4:$D$503,_calc!$E$615))=0,"",INDEX('Our policies'!$D$4:$D$503,_calc!$E$615))&amp;". ")&amp;IF(LEN(IF(LEN(INDEX('Our policies'!$E$4:$E$503,_calc!$E$615))=0,"",INDEX('Our policies'!$E$4:$E$503,_calc!$E$615)))=0,"","Policy no.: "&amp;IF(LEN(INDEX('Our policies'!$E$4:$E$503,_calc!$E$615))=0,"",INDEX('Our policies'!$E$4:$E$503,_calc!$E$615))&amp;". ")&amp;IF(LEN(IF(LEN(INDEX('Our policies'!$S$4:$S$503,_calc!$E$615))=0,"",INDEX('Our policies'!$S$4:$S$503,_calc!$E$615)))=0,"",IF(LEN(INDEX('Our policies'!$S$4:$S$503,_calc!$E$615))=0,"",INDEX('Our policies'!$S$4:$S$503,_calc!$E$615)))),TRIM(IF(LEN(IF(LEN(INDEX('Vendor COIs'!$C$4:$C$503,(_calc!$E$615-500)))=0,"",INDEX('Vendor COIs'!$C$4:$C$503,(_calc!$E$615-500))))=0,"","Insurer: "&amp;IF(LEN(INDEX('Vendor COIs'!$C$4:$C$503,(_calc!$E$615-500)))=0,"",INDEX('Vendor COIs'!$C$4:$C$503,(_calc!$E$615-500)))&amp;". ")&amp;IF(LEN(IF(LEN(INDEX('Vendor COIs'!$D$4:$D$503,(_calc!$E$615-500)))=0,"",INDEX('Vendor COIs'!$D$4:$D$503,(_calc!$E$615-500))))=0,"","Policy no.: "&amp;IF(LEN(INDEX('Vendor COIs'!$D$4:$D$503,(_calc!$E$615-500)))=0,"",INDEX('Vendor COIs'!$D$4:$D$503,(_calc!$E$615-500)))&amp;". ")&amp;IF(LEN(IF(LEN(INDEX('Vendor COIs'!$F$4:$F$503,(_calc!$E$615-500)))=0,"",INDEX('Vendor COIs'!$F$4:$F$503,(_calc!$E$615-500))))=0,"","Meets minimum: "&amp;IF(LEN(INDEX('Vendor COIs'!$F$4:$F$503,(_calc!$E$615-500)))=0,"",INDEX('Vendor COIs'!$F$4:$F$503,(_calc!$E$615-500)))&amp;". ")&amp;IF(LEN(IF(LEN(INDEX('Vendor COIs'!$G$4:$G$503,(_calc!$E$615-500)))=0,"",INDEX('Vendor COIs'!$G$4:$G$503,(_calc!$E$615-500))))=0,"","Additional insured: "&amp;IF(LEN(INDEX('Vendor COIs'!$G$4:$G$503,(_calc!$E$615-500)))=0,"",INDEX('Vendor COIs'!$G$4:$G$503,(_calc!$E$615-500)))&amp;". ")&amp;IF(LEN(IF(LEN(INDEX('Vendor COIs'!$M$4:$M$503,(_calc!$E$615-500)))=0,"",INDEX('Vendor COIs'!$M$4:$M$503,(_calc!$E$615-500))))=0,"","Vendor contact: "&amp;IF(LEN(INDEX('Vendor COIs'!$M$4:$M$503,(_calc!$E$615-500)))=0,"",INDEX('Vendor COIs'!$M$4:$M$503,(_calc!$E$615-500)))&amp;". ")&amp;IF(LEN(IF(LEN(INDEX('Vendor COIs'!$P$4:$P$503,(_calc!$E$615-500)))=0,"",INDEX('Vendor COIs'!$P$4:$P$503,(_calc!$E$615-500))))=0,"",IF(LEN(INDEX('Vendor COIs'!$P$4:$P$503,(_calc!$E$615-500)))=0,"",INDEX('Vendor COIs'!$P$4:$P$503,(_calc!$E$615-500)))))))</f>
        <v/>
      </c>
      <c r="G613" s="46">
        <f>IF(_calc!$E$615="","",IF(_calc!$E$615&lt;=500,IF(LEN(INDEX('Our policies'!$R$4:$R$503,_calc!$E$615))=0,"",INDEX('Our policies'!$R$4:$R$503,_calc!$E$615)),IF(LEN(INDEX('Vendor COIs'!$O$4:$O$503,(_calc!$E$615-500)))=0,"",INDEX('Vendor COIs'!$O$4:$O$503,(_calc!$E$615-500)))))</f>
        <v/>
      </c>
      <c r="H613" s="46">
        <f>IF(_calc!$E$615="","",IF(_calc!$E$615&lt;=500,IF(LEN(INDEX('Our policies'!$G$4:$G$503,_calc!$E$615))=0,"",INDEX('Our policies'!$G$4:$G$503,_calc!$E$615)),""))</f>
        <v/>
      </c>
      <c r="I613" s="46">
        <f>IF(_calc!$E$615="","",IF(_calc!$E$615&lt;=500,IF(LEN(INDEX('Our policies'!$H$4:$H$503,_calc!$E$615))=0,"",INDEX('Our policies'!$H$4:$H$503,_calc!$E$615)),""))</f>
        <v/>
      </c>
      <c r="K613" s="46">
        <f>IF(_calc!$E$615="","",IF(_calc!$E$615&lt;=500,IF(LEN(INDEX('Our policies'!$P$4:$P$503,_calc!$E$615))=0,"",INDEX('Our policies'!$P$4:$P$503,_calc!$E$615)),IF(LEN(INDEX('Vendor COIs'!$N$4:$N$503,(_calc!$E$615-500)))=0,"",INDEX('Vendor COIs'!$N$4:$N$503,(_calc!$E$615-500)))))</f>
        <v/>
      </c>
    </row>
    <row r="614">
      <c r="A614" s="46">
        <f>IF(_calc!$E$616="","",IF(_calc!$E$616&lt;=500,IF(LEN(INDEX('Our policies'!$A$4:$A$503,_calc!$E$616))=0,"",INDEX('Our policies'!$A$4:$A$503,_calc!$E$616)),"COI – "&amp;IF(LEN(INDEX('Vendor COIs'!$A$4:$A$503,(_calc!$E$616-500)))=0,"",INDEX('Vendor COIs'!$A$4:$A$503,(_calc!$E$616-500)))&amp;" – "&amp;IF(LEN(INDEX('Vendor COIs'!$B$4:$B$503,(_calc!$E$616-500)))=0,"",INDEX('Vendor COIs'!$B$4:$B$503,(_calc!$E$616-500)))))</f>
        <v/>
      </c>
      <c r="B614" s="46">
        <f>IF(_calc!$E$616="","",IF(_calc!$E$616&lt;=500,IF(ISNUMBER(INDEX('Our policies'!$J$4:$J$503,_calc!$E$616)),TEXT(INDEX('Our policies'!$J$4:$J$503,_calc!$E$616),"yyyy-mm-dd"),""),IF(ISNUMBER(INDEX('Vendor COIs'!$H$4:$H$503,(_calc!$E$616-500))),TEXT(INDEX('Vendor COIs'!$H$4:$H$503,(_calc!$E$616-500)),"yyyy-mm-dd"),"")))</f>
        <v/>
      </c>
      <c r="C614" s="46">
        <f>IF(_calc!$E$616="","",IF(_calc!$E$616&lt;=500,"Insurance","Certificate of insurance"))</f>
        <v/>
      </c>
      <c r="D614" s="46">
        <f>IF(_calc!$E$616="","",IF(_calc!$E$616&lt;=500,IF(ISNUMBER(INDEX('Our policies'!$I$4:$I$503,_calc!$E$616)),TEXT(INDEX('Our policies'!$I$4:$I$503,_calc!$E$616),"yyyy-mm-dd"),""),""))</f>
        <v/>
      </c>
      <c r="E614" s="46">
        <f>IF(_calc!$E$616="","",IF(_calc!$E$616&lt;=500,IF(LEN(INDEX('Our policies'!$Q$4:$Q$503,_calc!$E$616))=0,"",INDEX('Our policies'!$Q$4:$Q$503,_calc!$E$616)),"Medium"))</f>
        <v/>
      </c>
      <c r="F614" s="46">
        <f>IF(_calc!$E$616="","",IF(_calc!$E$616&lt;=500,TRIM(IF(LEN(IF(LEN(INDEX('Our policies'!$B$4:$B$503,_calc!$E$616))=0,"",INDEX('Our policies'!$B$4:$B$503,_calc!$E$616)))=0,"","Cover: "&amp;IF(LEN(INDEX('Our policies'!$B$4:$B$503,_calc!$E$616))=0,"",INDEX('Our policies'!$B$4:$B$503,_calc!$E$616))&amp;". ")&amp;IF(LEN(IF(LEN(INDEX('Our policies'!$C$4:$C$503,_calc!$E$616))=0,"",INDEX('Our policies'!$C$4:$C$503,_calc!$E$616)))=0,"","Insurer: "&amp;IF(LEN(INDEX('Our policies'!$C$4:$C$503,_calc!$E$616))=0,"",INDEX('Our policies'!$C$4:$C$503,_calc!$E$616))&amp;". ")&amp;IF(LEN(IF(LEN(INDEX('Our policies'!$D$4:$D$503,_calc!$E$616))=0,"",INDEX('Our policies'!$D$4:$D$503,_calc!$E$616)))=0,"","Broker: "&amp;IF(LEN(INDEX('Our policies'!$D$4:$D$503,_calc!$E$616))=0,"",INDEX('Our policies'!$D$4:$D$503,_calc!$E$616))&amp;". ")&amp;IF(LEN(IF(LEN(INDEX('Our policies'!$E$4:$E$503,_calc!$E$616))=0,"",INDEX('Our policies'!$E$4:$E$503,_calc!$E$616)))=0,"","Policy no.: "&amp;IF(LEN(INDEX('Our policies'!$E$4:$E$503,_calc!$E$616))=0,"",INDEX('Our policies'!$E$4:$E$503,_calc!$E$616))&amp;". ")&amp;IF(LEN(IF(LEN(INDEX('Our policies'!$S$4:$S$503,_calc!$E$616))=0,"",INDEX('Our policies'!$S$4:$S$503,_calc!$E$616)))=0,"",IF(LEN(INDEX('Our policies'!$S$4:$S$503,_calc!$E$616))=0,"",INDEX('Our policies'!$S$4:$S$503,_calc!$E$616)))),TRIM(IF(LEN(IF(LEN(INDEX('Vendor COIs'!$C$4:$C$503,(_calc!$E$616-500)))=0,"",INDEX('Vendor COIs'!$C$4:$C$503,(_calc!$E$616-500))))=0,"","Insurer: "&amp;IF(LEN(INDEX('Vendor COIs'!$C$4:$C$503,(_calc!$E$616-500)))=0,"",INDEX('Vendor COIs'!$C$4:$C$503,(_calc!$E$616-500)))&amp;". ")&amp;IF(LEN(IF(LEN(INDEX('Vendor COIs'!$D$4:$D$503,(_calc!$E$616-500)))=0,"",INDEX('Vendor COIs'!$D$4:$D$503,(_calc!$E$616-500))))=0,"","Policy no.: "&amp;IF(LEN(INDEX('Vendor COIs'!$D$4:$D$503,(_calc!$E$616-500)))=0,"",INDEX('Vendor COIs'!$D$4:$D$503,(_calc!$E$616-500)))&amp;". ")&amp;IF(LEN(IF(LEN(INDEX('Vendor COIs'!$F$4:$F$503,(_calc!$E$616-500)))=0,"",INDEX('Vendor COIs'!$F$4:$F$503,(_calc!$E$616-500))))=0,"","Meets minimum: "&amp;IF(LEN(INDEX('Vendor COIs'!$F$4:$F$503,(_calc!$E$616-500)))=0,"",INDEX('Vendor COIs'!$F$4:$F$503,(_calc!$E$616-500)))&amp;". ")&amp;IF(LEN(IF(LEN(INDEX('Vendor COIs'!$G$4:$G$503,(_calc!$E$616-500)))=0,"",INDEX('Vendor COIs'!$G$4:$G$503,(_calc!$E$616-500))))=0,"","Additional insured: "&amp;IF(LEN(INDEX('Vendor COIs'!$G$4:$G$503,(_calc!$E$616-500)))=0,"",INDEX('Vendor COIs'!$G$4:$G$503,(_calc!$E$616-500)))&amp;". ")&amp;IF(LEN(IF(LEN(INDEX('Vendor COIs'!$M$4:$M$503,(_calc!$E$616-500)))=0,"",INDEX('Vendor COIs'!$M$4:$M$503,(_calc!$E$616-500))))=0,"","Vendor contact: "&amp;IF(LEN(INDEX('Vendor COIs'!$M$4:$M$503,(_calc!$E$616-500)))=0,"",INDEX('Vendor COIs'!$M$4:$M$503,(_calc!$E$616-500)))&amp;". ")&amp;IF(LEN(IF(LEN(INDEX('Vendor COIs'!$P$4:$P$503,(_calc!$E$616-500)))=0,"",INDEX('Vendor COIs'!$P$4:$P$503,(_calc!$E$616-500))))=0,"",IF(LEN(INDEX('Vendor COIs'!$P$4:$P$503,(_calc!$E$616-500)))=0,"",INDEX('Vendor COIs'!$P$4:$P$503,(_calc!$E$616-500)))))))</f>
        <v/>
      </c>
      <c r="G614" s="46">
        <f>IF(_calc!$E$616="","",IF(_calc!$E$616&lt;=500,IF(LEN(INDEX('Our policies'!$R$4:$R$503,_calc!$E$616))=0,"",INDEX('Our policies'!$R$4:$R$503,_calc!$E$616)),IF(LEN(INDEX('Vendor COIs'!$O$4:$O$503,(_calc!$E$616-500)))=0,"",INDEX('Vendor COIs'!$O$4:$O$503,(_calc!$E$616-500)))))</f>
        <v/>
      </c>
      <c r="H614" s="46">
        <f>IF(_calc!$E$616="","",IF(_calc!$E$616&lt;=500,IF(LEN(INDEX('Our policies'!$G$4:$G$503,_calc!$E$616))=0,"",INDEX('Our policies'!$G$4:$G$503,_calc!$E$616)),""))</f>
        <v/>
      </c>
      <c r="I614" s="46">
        <f>IF(_calc!$E$616="","",IF(_calc!$E$616&lt;=500,IF(LEN(INDEX('Our policies'!$H$4:$H$503,_calc!$E$616))=0,"",INDEX('Our policies'!$H$4:$H$503,_calc!$E$616)),""))</f>
        <v/>
      </c>
      <c r="K614" s="46">
        <f>IF(_calc!$E$616="","",IF(_calc!$E$616&lt;=500,IF(LEN(INDEX('Our policies'!$P$4:$P$503,_calc!$E$616))=0,"",INDEX('Our policies'!$P$4:$P$503,_calc!$E$616)),IF(LEN(INDEX('Vendor COIs'!$N$4:$N$503,(_calc!$E$616-500)))=0,"",INDEX('Vendor COIs'!$N$4:$N$503,(_calc!$E$616-500)))))</f>
        <v/>
      </c>
    </row>
    <row r="615">
      <c r="A615" s="46">
        <f>IF(_calc!$E$617="","",IF(_calc!$E$617&lt;=500,IF(LEN(INDEX('Our policies'!$A$4:$A$503,_calc!$E$617))=0,"",INDEX('Our policies'!$A$4:$A$503,_calc!$E$617)),"COI – "&amp;IF(LEN(INDEX('Vendor COIs'!$A$4:$A$503,(_calc!$E$617-500)))=0,"",INDEX('Vendor COIs'!$A$4:$A$503,(_calc!$E$617-500)))&amp;" – "&amp;IF(LEN(INDEX('Vendor COIs'!$B$4:$B$503,(_calc!$E$617-500)))=0,"",INDEX('Vendor COIs'!$B$4:$B$503,(_calc!$E$617-500)))))</f>
        <v/>
      </c>
      <c r="B615" s="46">
        <f>IF(_calc!$E$617="","",IF(_calc!$E$617&lt;=500,IF(ISNUMBER(INDEX('Our policies'!$J$4:$J$503,_calc!$E$617)),TEXT(INDEX('Our policies'!$J$4:$J$503,_calc!$E$617),"yyyy-mm-dd"),""),IF(ISNUMBER(INDEX('Vendor COIs'!$H$4:$H$503,(_calc!$E$617-500))),TEXT(INDEX('Vendor COIs'!$H$4:$H$503,(_calc!$E$617-500)),"yyyy-mm-dd"),"")))</f>
        <v/>
      </c>
      <c r="C615" s="46">
        <f>IF(_calc!$E$617="","",IF(_calc!$E$617&lt;=500,"Insurance","Certificate of insurance"))</f>
        <v/>
      </c>
      <c r="D615" s="46">
        <f>IF(_calc!$E$617="","",IF(_calc!$E$617&lt;=500,IF(ISNUMBER(INDEX('Our policies'!$I$4:$I$503,_calc!$E$617)),TEXT(INDEX('Our policies'!$I$4:$I$503,_calc!$E$617),"yyyy-mm-dd"),""),""))</f>
        <v/>
      </c>
      <c r="E615" s="46">
        <f>IF(_calc!$E$617="","",IF(_calc!$E$617&lt;=500,IF(LEN(INDEX('Our policies'!$Q$4:$Q$503,_calc!$E$617))=0,"",INDEX('Our policies'!$Q$4:$Q$503,_calc!$E$617)),"Medium"))</f>
        <v/>
      </c>
      <c r="F615" s="46">
        <f>IF(_calc!$E$617="","",IF(_calc!$E$617&lt;=500,TRIM(IF(LEN(IF(LEN(INDEX('Our policies'!$B$4:$B$503,_calc!$E$617))=0,"",INDEX('Our policies'!$B$4:$B$503,_calc!$E$617)))=0,"","Cover: "&amp;IF(LEN(INDEX('Our policies'!$B$4:$B$503,_calc!$E$617))=0,"",INDEX('Our policies'!$B$4:$B$503,_calc!$E$617))&amp;". ")&amp;IF(LEN(IF(LEN(INDEX('Our policies'!$C$4:$C$503,_calc!$E$617))=0,"",INDEX('Our policies'!$C$4:$C$503,_calc!$E$617)))=0,"","Insurer: "&amp;IF(LEN(INDEX('Our policies'!$C$4:$C$503,_calc!$E$617))=0,"",INDEX('Our policies'!$C$4:$C$503,_calc!$E$617))&amp;". ")&amp;IF(LEN(IF(LEN(INDEX('Our policies'!$D$4:$D$503,_calc!$E$617))=0,"",INDEX('Our policies'!$D$4:$D$503,_calc!$E$617)))=0,"","Broker: "&amp;IF(LEN(INDEX('Our policies'!$D$4:$D$503,_calc!$E$617))=0,"",INDEX('Our policies'!$D$4:$D$503,_calc!$E$617))&amp;". ")&amp;IF(LEN(IF(LEN(INDEX('Our policies'!$E$4:$E$503,_calc!$E$617))=0,"",INDEX('Our policies'!$E$4:$E$503,_calc!$E$617)))=0,"","Policy no.: "&amp;IF(LEN(INDEX('Our policies'!$E$4:$E$503,_calc!$E$617))=0,"",INDEX('Our policies'!$E$4:$E$503,_calc!$E$617))&amp;". ")&amp;IF(LEN(IF(LEN(INDEX('Our policies'!$S$4:$S$503,_calc!$E$617))=0,"",INDEX('Our policies'!$S$4:$S$503,_calc!$E$617)))=0,"",IF(LEN(INDEX('Our policies'!$S$4:$S$503,_calc!$E$617))=0,"",INDEX('Our policies'!$S$4:$S$503,_calc!$E$617)))),TRIM(IF(LEN(IF(LEN(INDEX('Vendor COIs'!$C$4:$C$503,(_calc!$E$617-500)))=0,"",INDEX('Vendor COIs'!$C$4:$C$503,(_calc!$E$617-500))))=0,"","Insurer: "&amp;IF(LEN(INDEX('Vendor COIs'!$C$4:$C$503,(_calc!$E$617-500)))=0,"",INDEX('Vendor COIs'!$C$4:$C$503,(_calc!$E$617-500)))&amp;". ")&amp;IF(LEN(IF(LEN(INDEX('Vendor COIs'!$D$4:$D$503,(_calc!$E$617-500)))=0,"",INDEX('Vendor COIs'!$D$4:$D$503,(_calc!$E$617-500))))=0,"","Policy no.: "&amp;IF(LEN(INDEX('Vendor COIs'!$D$4:$D$503,(_calc!$E$617-500)))=0,"",INDEX('Vendor COIs'!$D$4:$D$503,(_calc!$E$617-500)))&amp;". ")&amp;IF(LEN(IF(LEN(INDEX('Vendor COIs'!$F$4:$F$503,(_calc!$E$617-500)))=0,"",INDEX('Vendor COIs'!$F$4:$F$503,(_calc!$E$617-500))))=0,"","Meets minimum: "&amp;IF(LEN(INDEX('Vendor COIs'!$F$4:$F$503,(_calc!$E$617-500)))=0,"",INDEX('Vendor COIs'!$F$4:$F$503,(_calc!$E$617-500)))&amp;". ")&amp;IF(LEN(IF(LEN(INDEX('Vendor COIs'!$G$4:$G$503,(_calc!$E$617-500)))=0,"",INDEX('Vendor COIs'!$G$4:$G$503,(_calc!$E$617-500))))=0,"","Additional insured: "&amp;IF(LEN(INDEX('Vendor COIs'!$G$4:$G$503,(_calc!$E$617-500)))=0,"",INDEX('Vendor COIs'!$G$4:$G$503,(_calc!$E$617-500)))&amp;". ")&amp;IF(LEN(IF(LEN(INDEX('Vendor COIs'!$M$4:$M$503,(_calc!$E$617-500)))=0,"",INDEX('Vendor COIs'!$M$4:$M$503,(_calc!$E$617-500))))=0,"","Vendor contact: "&amp;IF(LEN(INDEX('Vendor COIs'!$M$4:$M$503,(_calc!$E$617-500)))=0,"",INDEX('Vendor COIs'!$M$4:$M$503,(_calc!$E$617-500)))&amp;". ")&amp;IF(LEN(IF(LEN(INDEX('Vendor COIs'!$P$4:$P$503,(_calc!$E$617-500)))=0,"",INDEX('Vendor COIs'!$P$4:$P$503,(_calc!$E$617-500))))=0,"",IF(LEN(INDEX('Vendor COIs'!$P$4:$P$503,(_calc!$E$617-500)))=0,"",INDEX('Vendor COIs'!$P$4:$P$503,(_calc!$E$617-500)))))))</f>
        <v/>
      </c>
      <c r="G615" s="46">
        <f>IF(_calc!$E$617="","",IF(_calc!$E$617&lt;=500,IF(LEN(INDEX('Our policies'!$R$4:$R$503,_calc!$E$617))=0,"",INDEX('Our policies'!$R$4:$R$503,_calc!$E$617)),IF(LEN(INDEX('Vendor COIs'!$O$4:$O$503,(_calc!$E$617-500)))=0,"",INDEX('Vendor COIs'!$O$4:$O$503,(_calc!$E$617-500)))))</f>
        <v/>
      </c>
      <c r="H615" s="46">
        <f>IF(_calc!$E$617="","",IF(_calc!$E$617&lt;=500,IF(LEN(INDEX('Our policies'!$G$4:$G$503,_calc!$E$617))=0,"",INDEX('Our policies'!$G$4:$G$503,_calc!$E$617)),""))</f>
        <v/>
      </c>
      <c r="I615" s="46">
        <f>IF(_calc!$E$617="","",IF(_calc!$E$617&lt;=500,IF(LEN(INDEX('Our policies'!$H$4:$H$503,_calc!$E$617))=0,"",INDEX('Our policies'!$H$4:$H$503,_calc!$E$617)),""))</f>
        <v/>
      </c>
      <c r="K615" s="46">
        <f>IF(_calc!$E$617="","",IF(_calc!$E$617&lt;=500,IF(LEN(INDEX('Our policies'!$P$4:$P$503,_calc!$E$617))=0,"",INDEX('Our policies'!$P$4:$P$503,_calc!$E$617)),IF(LEN(INDEX('Vendor COIs'!$N$4:$N$503,(_calc!$E$617-500)))=0,"",INDEX('Vendor COIs'!$N$4:$N$503,(_calc!$E$617-500)))))</f>
        <v/>
      </c>
    </row>
    <row r="616">
      <c r="A616" s="46">
        <f>IF(_calc!$E$618="","",IF(_calc!$E$618&lt;=500,IF(LEN(INDEX('Our policies'!$A$4:$A$503,_calc!$E$618))=0,"",INDEX('Our policies'!$A$4:$A$503,_calc!$E$618)),"COI – "&amp;IF(LEN(INDEX('Vendor COIs'!$A$4:$A$503,(_calc!$E$618-500)))=0,"",INDEX('Vendor COIs'!$A$4:$A$503,(_calc!$E$618-500)))&amp;" – "&amp;IF(LEN(INDEX('Vendor COIs'!$B$4:$B$503,(_calc!$E$618-500)))=0,"",INDEX('Vendor COIs'!$B$4:$B$503,(_calc!$E$618-500)))))</f>
        <v/>
      </c>
      <c r="B616" s="46">
        <f>IF(_calc!$E$618="","",IF(_calc!$E$618&lt;=500,IF(ISNUMBER(INDEX('Our policies'!$J$4:$J$503,_calc!$E$618)),TEXT(INDEX('Our policies'!$J$4:$J$503,_calc!$E$618),"yyyy-mm-dd"),""),IF(ISNUMBER(INDEX('Vendor COIs'!$H$4:$H$503,(_calc!$E$618-500))),TEXT(INDEX('Vendor COIs'!$H$4:$H$503,(_calc!$E$618-500)),"yyyy-mm-dd"),"")))</f>
        <v/>
      </c>
      <c r="C616" s="46">
        <f>IF(_calc!$E$618="","",IF(_calc!$E$618&lt;=500,"Insurance","Certificate of insurance"))</f>
        <v/>
      </c>
      <c r="D616" s="46">
        <f>IF(_calc!$E$618="","",IF(_calc!$E$618&lt;=500,IF(ISNUMBER(INDEX('Our policies'!$I$4:$I$503,_calc!$E$618)),TEXT(INDEX('Our policies'!$I$4:$I$503,_calc!$E$618),"yyyy-mm-dd"),""),""))</f>
        <v/>
      </c>
      <c r="E616" s="46">
        <f>IF(_calc!$E$618="","",IF(_calc!$E$618&lt;=500,IF(LEN(INDEX('Our policies'!$Q$4:$Q$503,_calc!$E$618))=0,"",INDEX('Our policies'!$Q$4:$Q$503,_calc!$E$618)),"Medium"))</f>
        <v/>
      </c>
      <c r="F616" s="46">
        <f>IF(_calc!$E$618="","",IF(_calc!$E$618&lt;=500,TRIM(IF(LEN(IF(LEN(INDEX('Our policies'!$B$4:$B$503,_calc!$E$618))=0,"",INDEX('Our policies'!$B$4:$B$503,_calc!$E$618)))=0,"","Cover: "&amp;IF(LEN(INDEX('Our policies'!$B$4:$B$503,_calc!$E$618))=0,"",INDEX('Our policies'!$B$4:$B$503,_calc!$E$618))&amp;". ")&amp;IF(LEN(IF(LEN(INDEX('Our policies'!$C$4:$C$503,_calc!$E$618))=0,"",INDEX('Our policies'!$C$4:$C$503,_calc!$E$618)))=0,"","Insurer: "&amp;IF(LEN(INDEX('Our policies'!$C$4:$C$503,_calc!$E$618))=0,"",INDEX('Our policies'!$C$4:$C$503,_calc!$E$618))&amp;". ")&amp;IF(LEN(IF(LEN(INDEX('Our policies'!$D$4:$D$503,_calc!$E$618))=0,"",INDEX('Our policies'!$D$4:$D$503,_calc!$E$618)))=0,"","Broker: "&amp;IF(LEN(INDEX('Our policies'!$D$4:$D$503,_calc!$E$618))=0,"",INDEX('Our policies'!$D$4:$D$503,_calc!$E$618))&amp;". ")&amp;IF(LEN(IF(LEN(INDEX('Our policies'!$E$4:$E$503,_calc!$E$618))=0,"",INDEX('Our policies'!$E$4:$E$503,_calc!$E$618)))=0,"","Policy no.: "&amp;IF(LEN(INDEX('Our policies'!$E$4:$E$503,_calc!$E$618))=0,"",INDEX('Our policies'!$E$4:$E$503,_calc!$E$618))&amp;". ")&amp;IF(LEN(IF(LEN(INDEX('Our policies'!$S$4:$S$503,_calc!$E$618))=0,"",INDEX('Our policies'!$S$4:$S$503,_calc!$E$618)))=0,"",IF(LEN(INDEX('Our policies'!$S$4:$S$503,_calc!$E$618))=0,"",INDEX('Our policies'!$S$4:$S$503,_calc!$E$618)))),TRIM(IF(LEN(IF(LEN(INDEX('Vendor COIs'!$C$4:$C$503,(_calc!$E$618-500)))=0,"",INDEX('Vendor COIs'!$C$4:$C$503,(_calc!$E$618-500))))=0,"","Insurer: "&amp;IF(LEN(INDEX('Vendor COIs'!$C$4:$C$503,(_calc!$E$618-500)))=0,"",INDEX('Vendor COIs'!$C$4:$C$503,(_calc!$E$618-500)))&amp;". ")&amp;IF(LEN(IF(LEN(INDEX('Vendor COIs'!$D$4:$D$503,(_calc!$E$618-500)))=0,"",INDEX('Vendor COIs'!$D$4:$D$503,(_calc!$E$618-500))))=0,"","Policy no.: "&amp;IF(LEN(INDEX('Vendor COIs'!$D$4:$D$503,(_calc!$E$618-500)))=0,"",INDEX('Vendor COIs'!$D$4:$D$503,(_calc!$E$618-500)))&amp;". ")&amp;IF(LEN(IF(LEN(INDEX('Vendor COIs'!$F$4:$F$503,(_calc!$E$618-500)))=0,"",INDEX('Vendor COIs'!$F$4:$F$503,(_calc!$E$618-500))))=0,"","Meets minimum: "&amp;IF(LEN(INDEX('Vendor COIs'!$F$4:$F$503,(_calc!$E$618-500)))=0,"",INDEX('Vendor COIs'!$F$4:$F$503,(_calc!$E$618-500)))&amp;". ")&amp;IF(LEN(IF(LEN(INDEX('Vendor COIs'!$G$4:$G$503,(_calc!$E$618-500)))=0,"",INDEX('Vendor COIs'!$G$4:$G$503,(_calc!$E$618-500))))=0,"","Additional insured: "&amp;IF(LEN(INDEX('Vendor COIs'!$G$4:$G$503,(_calc!$E$618-500)))=0,"",INDEX('Vendor COIs'!$G$4:$G$503,(_calc!$E$618-500)))&amp;". ")&amp;IF(LEN(IF(LEN(INDEX('Vendor COIs'!$M$4:$M$503,(_calc!$E$618-500)))=0,"",INDEX('Vendor COIs'!$M$4:$M$503,(_calc!$E$618-500))))=0,"","Vendor contact: "&amp;IF(LEN(INDEX('Vendor COIs'!$M$4:$M$503,(_calc!$E$618-500)))=0,"",INDEX('Vendor COIs'!$M$4:$M$503,(_calc!$E$618-500)))&amp;". ")&amp;IF(LEN(IF(LEN(INDEX('Vendor COIs'!$P$4:$P$503,(_calc!$E$618-500)))=0,"",INDEX('Vendor COIs'!$P$4:$P$503,(_calc!$E$618-500))))=0,"",IF(LEN(INDEX('Vendor COIs'!$P$4:$P$503,(_calc!$E$618-500)))=0,"",INDEX('Vendor COIs'!$P$4:$P$503,(_calc!$E$618-500)))))))</f>
        <v/>
      </c>
      <c r="G616" s="46">
        <f>IF(_calc!$E$618="","",IF(_calc!$E$618&lt;=500,IF(LEN(INDEX('Our policies'!$R$4:$R$503,_calc!$E$618))=0,"",INDEX('Our policies'!$R$4:$R$503,_calc!$E$618)),IF(LEN(INDEX('Vendor COIs'!$O$4:$O$503,(_calc!$E$618-500)))=0,"",INDEX('Vendor COIs'!$O$4:$O$503,(_calc!$E$618-500)))))</f>
        <v/>
      </c>
      <c r="H616" s="46">
        <f>IF(_calc!$E$618="","",IF(_calc!$E$618&lt;=500,IF(LEN(INDEX('Our policies'!$G$4:$G$503,_calc!$E$618))=0,"",INDEX('Our policies'!$G$4:$G$503,_calc!$E$618)),""))</f>
        <v/>
      </c>
      <c r="I616" s="46">
        <f>IF(_calc!$E$618="","",IF(_calc!$E$618&lt;=500,IF(LEN(INDEX('Our policies'!$H$4:$H$503,_calc!$E$618))=0,"",INDEX('Our policies'!$H$4:$H$503,_calc!$E$618)),""))</f>
        <v/>
      </c>
      <c r="K616" s="46">
        <f>IF(_calc!$E$618="","",IF(_calc!$E$618&lt;=500,IF(LEN(INDEX('Our policies'!$P$4:$P$503,_calc!$E$618))=0,"",INDEX('Our policies'!$P$4:$P$503,_calc!$E$618)),IF(LEN(INDEX('Vendor COIs'!$N$4:$N$503,(_calc!$E$618-500)))=0,"",INDEX('Vendor COIs'!$N$4:$N$503,(_calc!$E$618-500)))))</f>
        <v/>
      </c>
    </row>
    <row r="617">
      <c r="A617" s="46">
        <f>IF(_calc!$E$619="","",IF(_calc!$E$619&lt;=500,IF(LEN(INDEX('Our policies'!$A$4:$A$503,_calc!$E$619))=0,"",INDEX('Our policies'!$A$4:$A$503,_calc!$E$619)),"COI – "&amp;IF(LEN(INDEX('Vendor COIs'!$A$4:$A$503,(_calc!$E$619-500)))=0,"",INDEX('Vendor COIs'!$A$4:$A$503,(_calc!$E$619-500)))&amp;" – "&amp;IF(LEN(INDEX('Vendor COIs'!$B$4:$B$503,(_calc!$E$619-500)))=0,"",INDEX('Vendor COIs'!$B$4:$B$503,(_calc!$E$619-500)))))</f>
        <v/>
      </c>
      <c r="B617" s="46">
        <f>IF(_calc!$E$619="","",IF(_calc!$E$619&lt;=500,IF(ISNUMBER(INDEX('Our policies'!$J$4:$J$503,_calc!$E$619)),TEXT(INDEX('Our policies'!$J$4:$J$503,_calc!$E$619),"yyyy-mm-dd"),""),IF(ISNUMBER(INDEX('Vendor COIs'!$H$4:$H$503,(_calc!$E$619-500))),TEXT(INDEX('Vendor COIs'!$H$4:$H$503,(_calc!$E$619-500)),"yyyy-mm-dd"),"")))</f>
        <v/>
      </c>
      <c r="C617" s="46">
        <f>IF(_calc!$E$619="","",IF(_calc!$E$619&lt;=500,"Insurance","Certificate of insurance"))</f>
        <v/>
      </c>
      <c r="D617" s="46">
        <f>IF(_calc!$E$619="","",IF(_calc!$E$619&lt;=500,IF(ISNUMBER(INDEX('Our policies'!$I$4:$I$503,_calc!$E$619)),TEXT(INDEX('Our policies'!$I$4:$I$503,_calc!$E$619),"yyyy-mm-dd"),""),""))</f>
        <v/>
      </c>
      <c r="E617" s="46">
        <f>IF(_calc!$E$619="","",IF(_calc!$E$619&lt;=500,IF(LEN(INDEX('Our policies'!$Q$4:$Q$503,_calc!$E$619))=0,"",INDEX('Our policies'!$Q$4:$Q$503,_calc!$E$619)),"Medium"))</f>
        <v/>
      </c>
      <c r="F617" s="46">
        <f>IF(_calc!$E$619="","",IF(_calc!$E$619&lt;=500,TRIM(IF(LEN(IF(LEN(INDEX('Our policies'!$B$4:$B$503,_calc!$E$619))=0,"",INDEX('Our policies'!$B$4:$B$503,_calc!$E$619)))=0,"","Cover: "&amp;IF(LEN(INDEX('Our policies'!$B$4:$B$503,_calc!$E$619))=0,"",INDEX('Our policies'!$B$4:$B$503,_calc!$E$619))&amp;". ")&amp;IF(LEN(IF(LEN(INDEX('Our policies'!$C$4:$C$503,_calc!$E$619))=0,"",INDEX('Our policies'!$C$4:$C$503,_calc!$E$619)))=0,"","Insurer: "&amp;IF(LEN(INDEX('Our policies'!$C$4:$C$503,_calc!$E$619))=0,"",INDEX('Our policies'!$C$4:$C$503,_calc!$E$619))&amp;". ")&amp;IF(LEN(IF(LEN(INDEX('Our policies'!$D$4:$D$503,_calc!$E$619))=0,"",INDEX('Our policies'!$D$4:$D$503,_calc!$E$619)))=0,"","Broker: "&amp;IF(LEN(INDEX('Our policies'!$D$4:$D$503,_calc!$E$619))=0,"",INDEX('Our policies'!$D$4:$D$503,_calc!$E$619))&amp;". ")&amp;IF(LEN(IF(LEN(INDEX('Our policies'!$E$4:$E$503,_calc!$E$619))=0,"",INDEX('Our policies'!$E$4:$E$503,_calc!$E$619)))=0,"","Policy no.: "&amp;IF(LEN(INDEX('Our policies'!$E$4:$E$503,_calc!$E$619))=0,"",INDEX('Our policies'!$E$4:$E$503,_calc!$E$619))&amp;". ")&amp;IF(LEN(IF(LEN(INDEX('Our policies'!$S$4:$S$503,_calc!$E$619))=0,"",INDEX('Our policies'!$S$4:$S$503,_calc!$E$619)))=0,"",IF(LEN(INDEX('Our policies'!$S$4:$S$503,_calc!$E$619))=0,"",INDEX('Our policies'!$S$4:$S$503,_calc!$E$619)))),TRIM(IF(LEN(IF(LEN(INDEX('Vendor COIs'!$C$4:$C$503,(_calc!$E$619-500)))=0,"",INDEX('Vendor COIs'!$C$4:$C$503,(_calc!$E$619-500))))=0,"","Insurer: "&amp;IF(LEN(INDEX('Vendor COIs'!$C$4:$C$503,(_calc!$E$619-500)))=0,"",INDEX('Vendor COIs'!$C$4:$C$503,(_calc!$E$619-500)))&amp;". ")&amp;IF(LEN(IF(LEN(INDEX('Vendor COIs'!$D$4:$D$503,(_calc!$E$619-500)))=0,"",INDEX('Vendor COIs'!$D$4:$D$503,(_calc!$E$619-500))))=0,"","Policy no.: "&amp;IF(LEN(INDEX('Vendor COIs'!$D$4:$D$503,(_calc!$E$619-500)))=0,"",INDEX('Vendor COIs'!$D$4:$D$503,(_calc!$E$619-500)))&amp;". ")&amp;IF(LEN(IF(LEN(INDEX('Vendor COIs'!$F$4:$F$503,(_calc!$E$619-500)))=0,"",INDEX('Vendor COIs'!$F$4:$F$503,(_calc!$E$619-500))))=0,"","Meets minimum: "&amp;IF(LEN(INDEX('Vendor COIs'!$F$4:$F$503,(_calc!$E$619-500)))=0,"",INDEX('Vendor COIs'!$F$4:$F$503,(_calc!$E$619-500)))&amp;". ")&amp;IF(LEN(IF(LEN(INDEX('Vendor COIs'!$G$4:$G$503,(_calc!$E$619-500)))=0,"",INDEX('Vendor COIs'!$G$4:$G$503,(_calc!$E$619-500))))=0,"","Additional insured: "&amp;IF(LEN(INDEX('Vendor COIs'!$G$4:$G$503,(_calc!$E$619-500)))=0,"",INDEX('Vendor COIs'!$G$4:$G$503,(_calc!$E$619-500)))&amp;". ")&amp;IF(LEN(IF(LEN(INDEX('Vendor COIs'!$M$4:$M$503,(_calc!$E$619-500)))=0,"",INDEX('Vendor COIs'!$M$4:$M$503,(_calc!$E$619-500))))=0,"","Vendor contact: "&amp;IF(LEN(INDEX('Vendor COIs'!$M$4:$M$503,(_calc!$E$619-500)))=0,"",INDEX('Vendor COIs'!$M$4:$M$503,(_calc!$E$619-500)))&amp;". ")&amp;IF(LEN(IF(LEN(INDEX('Vendor COIs'!$P$4:$P$503,(_calc!$E$619-500)))=0,"",INDEX('Vendor COIs'!$P$4:$P$503,(_calc!$E$619-500))))=0,"",IF(LEN(INDEX('Vendor COIs'!$P$4:$P$503,(_calc!$E$619-500)))=0,"",INDEX('Vendor COIs'!$P$4:$P$503,(_calc!$E$619-500)))))))</f>
        <v/>
      </c>
      <c r="G617" s="46">
        <f>IF(_calc!$E$619="","",IF(_calc!$E$619&lt;=500,IF(LEN(INDEX('Our policies'!$R$4:$R$503,_calc!$E$619))=0,"",INDEX('Our policies'!$R$4:$R$503,_calc!$E$619)),IF(LEN(INDEX('Vendor COIs'!$O$4:$O$503,(_calc!$E$619-500)))=0,"",INDEX('Vendor COIs'!$O$4:$O$503,(_calc!$E$619-500)))))</f>
        <v/>
      </c>
      <c r="H617" s="46">
        <f>IF(_calc!$E$619="","",IF(_calc!$E$619&lt;=500,IF(LEN(INDEX('Our policies'!$G$4:$G$503,_calc!$E$619))=0,"",INDEX('Our policies'!$G$4:$G$503,_calc!$E$619)),""))</f>
        <v/>
      </c>
      <c r="I617" s="46">
        <f>IF(_calc!$E$619="","",IF(_calc!$E$619&lt;=500,IF(LEN(INDEX('Our policies'!$H$4:$H$503,_calc!$E$619))=0,"",INDEX('Our policies'!$H$4:$H$503,_calc!$E$619)),""))</f>
        <v/>
      </c>
      <c r="K617" s="46">
        <f>IF(_calc!$E$619="","",IF(_calc!$E$619&lt;=500,IF(LEN(INDEX('Our policies'!$P$4:$P$503,_calc!$E$619))=0,"",INDEX('Our policies'!$P$4:$P$503,_calc!$E$619)),IF(LEN(INDEX('Vendor COIs'!$N$4:$N$503,(_calc!$E$619-500)))=0,"",INDEX('Vendor COIs'!$N$4:$N$503,(_calc!$E$619-500)))))</f>
        <v/>
      </c>
    </row>
    <row r="618">
      <c r="A618" s="46">
        <f>IF(_calc!$E$620="","",IF(_calc!$E$620&lt;=500,IF(LEN(INDEX('Our policies'!$A$4:$A$503,_calc!$E$620))=0,"",INDEX('Our policies'!$A$4:$A$503,_calc!$E$620)),"COI – "&amp;IF(LEN(INDEX('Vendor COIs'!$A$4:$A$503,(_calc!$E$620-500)))=0,"",INDEX('Vendor COIs'!$A$4:$A$503,(_calc!$E$620-500)))&amp;" – "&amp;IF(LEN(INDEX('Vendor COIs'!$B$4:$B$503,(_calc!$E$620-500)))=0,"",INDEX('Vendor COIs'!$B$4:$B$503,(_calc!$E$620-500)))))</f>
        <v/>
      </c>
      <c r="B618" s="46">
        <f>IF(_calc!$E$620="","",IF(_calc!$E$620&lt;=500,IF(ISNUMBER(INDEX('Our policies'!$J$4:$J$503,_calc!$E$620)),TEXT(INDEX('Our policies'!$J$4:$J$503,_calc!$E$620),"yyyy-mm-dd"),""),IF(ISNUMBER(INDEX('Vendor COIs'!$H$4:$H$503,(_calc!$E$620-500))),TEXT(INDEX('Vendor COIs'!$H$4:$H$503,(_calc!$E$620-500)),"yyyy-mm-dd"),"")))</f>
        <v/>
      </c>
      <c r="C618" s="46">
        <f>IF(_calc!$E$620="","",IF(_calc!$E$620&lt;=500,"Insurance","Certificate of insurance"))</f>
        <v/>
      </c>
      <c r="D618" s="46">
        <f>IF(_calc!$E$620="","",IF(_calc!$E$620&lt;=500,IF(ISNUMBER(INDEX('Our policies'!$I$4:$I$503,_calc!$E$620)),TEXT(INDEX('Our policies'!$I$4:$I$503,_calc!$E$620),"yyyy-mm-dd"),""),""))</f>
        <v/>
      </c>
      <c r="E618" s="46">
        <f>IF(_calc!$E$620="","",IF(_calc!$E$620&lt;=500,IF(LEN(INDEX('Our policies'!$Q$4:$Q$503,_calc!$E$620))=0,"",INDEX('Our policies'!$Q$4:$Q$503,_calc!$E$620)),"Medium"))</f>
        <v/>
      </c>
      <c r="F618" s="46">
        <f>IF(_calc!$E$620="","",IF(_calc!$E$620&lt;=500,TRIM(IF(LEN(IF(LEN(INDEX('Our policies'!$B$4:$B$503,_calc!$E$620))=0,"",INDEX('Our policies'!$B$4:$B$503,_calc!$E$620)))=0,"","Cover: "&amp;IF(LEN(INDEX('Our policies'!$B$4:$B$503,_calc!$E$620))=0,"",INDEX('Our policies'!$B$4:$B$503,_calc!$E$620))&amp;". ")&amp;IF(LEN(IF(LEN(INDEX('Our policies'!$C$4:$C$503,_calc!$E$620))=0,"",INDEX('Our policies'!$C$4:$C$503,_calc!$E$620)))=0,"","Insurer: "&amp;IF(LEN(INDEX('Our policies'!$C$4:$C$503,_calc!$E$620))=0,"",INDEX('Our policies'!$C$4:$C$503,_calc!$E$620))&amp;". ")&amp;IF(LEN(IF(LEN(INDEX('Our policies'!$D$4:$D$503,_calc!$E$620))=0,"",INDEX('Our policies'!$D$4:$D$503,_calc!$E$620)))=0,"","Broker: "&amp;IF(LEN(INDEX('Our policies'!$D$4:$D$503,_calc!$E$620))=0,"",INDEX('Our policies'!$D$4:$D$503,_calc!$E$620))&amp;". ")&amp;IF(LEN(IF(LEN(INDEX('Our policies'!$E$4:$E$503,_calc!$E$620))=0,"",INDEX('Our policies'!$E$4:$E$503,_calc!$E$620)))=0,"","Policy no.: "&amp;IF(LEN(INDEX('Our policies'!$E$4:$E$503,_calc!$E$620))=0,"",INDEX('Our policies'!$E$4:$E$503,_calc!$E$620))&amp;". ")&amp;IF(LEN(IF(LEN(INDEX('Our policies'!$S$4:$S$503,_calc!$E$620))=0,"",INDEX('Our policies'!$S$4:$S$503,_calc!$E$620)))=0,"",IF(LEN(INDEX('Our policies'!$S$4:$S$503,_calc!$E$620))=0,"",INDEX('Our policies'!$S$4:$S$503,_calc!$E$620)))),TRIM(IF(LEN(IF(LEN(INDEX('Vendor COIs'!$C$4:$C$503,(_calc!$E$620-500)))=0,"",INDEX('Vendor COIs'!$C$4:$C$503,(_calc!$E$620-500))))=0,"","Insurer: "&amp;IF(LEN(INDEX('Vendor COIs'!$C$4:$C$503,(_calc!$E$620-500)))=0,"",INDEX('Vendor COIs'!$C$4:$C$503,(_calc!$E$620-500)))&amp;". ")&amp;IF(LEN(IF(LEN(INDEX('Vendor COIs'!$D$4:$D$503,(_calc!$E$620-500)))=0,"",INDEX('Vendor COIs'!$D$4:$D$503,(_calc!$E$620-500))))=0,"","Policy no.: "&amp;IF(LEN(INDEX('Vendor COIs'!$D$4:$D$503,(_calc!$E$620-500)))=0,"",INDEX('Vendor COIs'!$D$4:$D$503,(_calc!$E$620-500)))&amp;". ")&amp;IF(LEN(IF(LEN(INDEX('Vendor COIs'!$F$4:$F$503,(_calc!$E$620-500)))=0,"",INDEX('Vendor COIs'!$F$4:$F$503,(_calc!$E$620-500))))=0,"","Meets minimum: "&amp;IF(LEN(INDEX('Vendor COIs'!$F$4:$F$503,(_calc!$E$620-500)))=0,"",INDEX('Vendor COIs'!$F$4:$F$503,(_calc!$E$620-500)))&amp;". ")&amp;IF(LEN(IF(LEN(INDEX('Vendor COIs'!$G$4:$G$503,(_calc!$E$620-500)))=0,"",INDEX('Vendor COIs'!$G$4:$G$503,(_calc!$E$620-500))))=0,"","Additional insured: "&amp;IF(LEN(INDEX('Vendor COIs'!$G$4:$G$503,(_calc!$E$620-500)))=0,"",INDEX('Vendor COIs'!$G$4:$G$503,(_calc!$E$620-500)))&amp;". ")&amp;IF(LEN(IF(LEN(INDEX('Vendor COIs'!$M$4:$M$503,(_calc!$E$620-500)))=0,"",INDEX('Vendor COIs'!$M$4:$M$503,(_calc!$E$620-500))))=0,"","Vendor contact: "&amp;IF(LEN(INDEX('Vendor COIs'!$M$4:$M$503,(_calc!$E$620-500)))=0,"",INDEX('Vendor COIs'!$M$4:$M$503,(_calc!$E$620-500)))&amp;". ")&amp;IF(LEN(IF(LEN(INDEX('Vendor COIs'!$P$4:$P$503,(_calc!$E$620-500)))=0,"",INDEX('Vendor COIs'!$P$4:$P$503,(_calc!$E$620-500))))=0,"",IF(LEN(INDEX('Vendor COIs'!$P$4:$P$503,(_calc!$E$620-500)))=0,"",INDEX('Vendor COIs'!$P$4:$P$503,(_calc!$E$620-500)))))))</f>
        <v/>
      </c>
      <c r="G618" s="46">
        <f>IF(_calc!$E$620="","",IF(_calc!$E$620&lt;=500,IF(LEN(INDEX('Our policies'!$R$4:$R$503,_calc!$E$620))=0,"",INDEX('Our policies'!$R$4:$R$503,_calc!$E$620)),IF(LEN(INDEX('Vendor COIs'!$O$4:$O$503,(_calc!$E$620-500)))=0,"",INDEX('Vendor COIs'!$O$4:$O$503,(_calc!$E$620-500)))))</f>
        <v/>
      </c>
      <c r="H618" s="46">
        <f>IF(_calc!$E$620="","",IF(_calc!$E$620&lt;=500,IF(LEN(INDEX('Our policies'!$G$4:$G$503,_calc!$E$620))=0,"",INDEX('Our policies'!$G$4:$G$503,_calc!$E$620)),""))</f>
        <v/>
      </c>
      <c r="I618" s="46">
        <f>IF(_calc!$E$620="","",IF(_calc!$E$620&lt;=500,IF(LEN(INDEX('Our policies'!$H$4:$H$503,_calc!$E$620))=0,"",INDEX('Our policies'!$H$4:$H$503,_calc!$E$620)),""))</f>
        <v/>
      </c>
      <c r="K618" s="46">
        <f>IF(_calc!$E$620="","",IF(_calc!$E$620&lt;=500,IF(LEN(INDEX('Our policies'!$P$4:$P$503,_calc!$E$620))=0,"",INDEX('Our policies'!$P$4:$P$503,_calc!$E$620)),IF(LEN(INDEX('Vendor COIs'!$N$4:$N$503,(_calc!$E$620-500)))=0,"",INDEX('Vendor COIs'!$N$4:$N$503,(_calc!$E$620-500)))))</f>
        <v/>
      </c>
    </row>
    <row r="619">
      <c r="A619" s="46">
        <f>IF(_calc!$E$621="","",IF(_calc!$E$621&lt;=500,IF(LEN(INDEX('Our policies'!$A$4:$A$503,_calc!$E$621))=0,"",INDEX('Our policies'!$A$4:$A$503,_calc!$E$621)),"COI – "&amp;IF(LEN(INDEX('Vendor COIs'!$A$4:$A$503,(_calc!$E$621-500)))=0,"",INDEX('Vendor COIs'!$A$4:$A$503,(_calc!$E$621-500)))&amp;" – "&amp;IF(LEN(INDEX('Vendor COIs'!$B$4:$B$503,(_calc!$E$621-500)))=0,"",INDEX('Vendor COIs'!$B$4:$B$503,(_calc!$E$621-500)))))</f>
        <v/>
      </c>
      <c r="B619" s="46">
        <f>IF(_calc!$E$621="","",IF(_calc!$E$621&lt;=500,IF(ISNUMBER(INDEX('Our policies'!$J$4:$J$503,_calc!$E$621)),TEXT(INDEX('Our policies'!$J$4:$J$503,_calc!$E$621),"yyyy-mm-dd"),""),IF(ISNUMBER(INDEX('Vendor COIs'!$H$4:$H$503,(_calc!$E$621-500))),TEXT(INDEX('Vendor COIs'!$H$4:$H$503,(_calc!$E$621-500)),"yyyy-mm-dd"),"")))</f>
        <v/>
      </c>
      <c r="C619" s="46">
        <f>IF(_calc!$E$621="","",IF(_calc!$E$621&lt;=500,"Insurance","Certificate of insurance"))</f>
        <v/>
      </c>
      <c r="D619" s="46">
        <f>IF(_calc!$E$621="","",IF(_calc!$E$621&lt;=500,IF(ISNUMBER(INDEX('Our policies'!$I$4:$I$503,_calc!$E$621)),TEXT(INDEX('Our policies'!$I$4:$I$503,_calc!$E$621),"yyyy-mm-dd"),""),""))</f>
        <v/>
      </c>
      <c r="E619" s="46">
        <f>IF(_calc!$E$621="","",IF(_calc!$E$621&lt;=500,IF(LEN(INDEX('Our policies'!$Q$4:$Q$503,_calc!$E$621))=0,"",INDEX('Our policies'!$Q$4:$Q$503,_calc!$E$621)),"Medium"))</f>
        <v/>
      </c>
      <c r="F619" s="46">
        <f>IF(_calc!$E$621="","",IF(_calc!$E$621&lt;=500,TRIM(IF(LEN(IF(LEN(INDEX('Our policies'!$B$4:$B$503,_calc!$E$621))=0,"",INDEX('Our policies'!$B$4:$B$503,_calc!$E$621)))=0,"","Cover: "&amp;IF(LEN(INDEX('Our policies'!$B$4:$B$503,_calc!$E$621))=0,"",INDEX('Our policies'!$B$4:$B$503,_calc!$E$621))&amp;". ")&amp;IF(LEN(IF(LEN(INDEX('Our policies'!$C$4:$C$503,_calc!$E$621))=0,"",INDEX('Our policies'!$C$4:$C$503,_calc!$E$621)))=0,"","Insurer: "&amp;IF(LEN(INDEX('Our policies'!$C$4:$C$503,_calc!$E$621))=0,"",INDEX('Our policies'!$C$4:$C$503,_calc!$E$621))&amp;". ")&amp;IF(LEN(IF(LEN(INDEX('Our policies'!$D$4:$D$503,_calc!$E$621))=0,"",INDEX('Our policies'!$D$4:$D$503,_calc!$E$621)))=0,"","Broker: "&amp;IF(LEN(INDEX('Our policies'!$D$4:$D$503,_calc!$E$621))=0,"",INDEX('Our policies'!$D$4:$D$503,_calc!$E$621))&amp;". ")&amp;IF(LEN(IF(LEN(INDEX('Our policies'!$E$4:$E$503,_calc!$E$621))=0,"",INDEX('Our policies'!$E$4:$E$503,_calc!$E$621)))=0,"","Policy no.: "&amp;IF(LEN(INDEX('Our policies'!$E$4:$E$503,_calc!$E$621))=0,"",INDEX('Our policies'!$E$4:$E$503,_calc!$E$621))&amp;". ")&amp;IF(LEN(IF(LEN(INDEX('Our policies'!$S$4:$S$503,_calc!$E$621))=0,"",INDEX('Our policies'!$S$4:$S$503,_calc!$E$621)))=0,"",IF(LEN(INDEX('Our policies'!$S$4:$S$503,_calc!$E$621))=0,"",INDEX('Our policies'!$S$4:$S$503,_calc!$E$621)))),TRIM(IF(LEN(IF(LEN(INDEX('Vendor COIs'!$C$4:$C$503,(_calc!$E$621-500)))=0,"",INDEX('Vendor COIs'!$C$4:$C$503,(_calc!$E$621-500))))=0,"","Insurer: "&amp;IF(LEN(INDEX('Vendor COIs'!$C$4:$C$503,(_calc!$E$621-500)))=0,"",INDEX('Vendor COIs'!$C$4:$C$503,(_calc!$E$621-500)))&amp;". ")&amp;IF(LEN(IF(LEN(INDEX('Vendor COIs'!$D$4:$D$503,(_calc!$E$621-500)))=0,"",INDEX('Vendor COIs'!$D$4:$D$503,(_calc!$E$621-500))))=0,"","Policy no.: "&amp;IF(LEN(INDEX('Vendor COIs'!$D$4:$D$503,(_calc!$E$621-500)))=0,"",INDEX('Vendor COIs'!$D$4:$D$503,(_calc!$E$621-500)))&amp;". ")&amp;IF(LEN(IF(LEN(INDEX('Vendor COIs'!$F$4:$F$503,(_calc!$E$621-500)))=0,"",INDEX('Vendor COIs'!$F$4:$F$503,(_calc!$E$621-500))))=0,"","Meets minimum: "&amp;IF(LEN(INDEX('Vendor COIs'!$F$4:$F$503,(_calc!$E$621-500)))=0,"",INDEX('Vendor COIs'!$F$4:$F$503,(_calc!$E$621-500)))&amp;". ")&amp;IF(LEN(IF(LEN(INDEX('Vendor COIs'!$G$4:$G$503,(_calc!$E$621-500)))=0,"",INDEX('Vendor COIs'!$G$4:$G$503,(_calc!$E$621-500))))=0,"","Additional insured: "&amp;IF(LEN(INDEX('Vendor COIs'!$G$4:$G$503,(_calc!$E$621-500)))=0,"",INDEX('Vendor COIs'!$G$4:$G$503,(_calc!$E$621-500)))&amp;". ")&amp;IF(LEN(IF(LEN(INDEX('Vendor COIs'!$M$4:$M$503,(_calc!$E$621-500)))=0,"",INDEX('Vendor COIs'!$M$4:$M$503,(_calc!$E$621-500))))=0,"","Vendor contact: "&amp;IF(LEN(INDEX('Vendor COIs'!$M$4:$M$503,(_calc!$E$621-500)))=0,"",INDEX('Vendor COIs'!$M$4:$M$503,(_calc!$E$621-500)))&amp;". ")&amp;IF(LEN(IF(LEN(INDEX('Vendor COIs'!$P$4:$P$503,(_calc!$E$621-500)))=0,"",INDEX('Vendor COIs'!$P$4:$P$503,(_calc!$E$621-500))))=0,"",IF(LEN(INDEX('Vendor COIs'!$P$4:$P$503,(_calc!$E$621-500)))=0,"",INDEX('Vendor COIs'!$P$4:$P$503,(_calc!$E$621-500)))))))</f>
        <v/>
      </c>
      <c r="G619" s="46">
        <f>IF(_calc!$E$621="","",IF(_calc!$E$621&lt;=500,IF(LEN(INDEX('Our policies'!$R$4:$R$503,_calc!$E$621))=0,"",INDEX('Our policies'!$R$4:$R$503,_calc!$E$621)),IF(LEN(INDEX('Vendor COIs'!$O$4:$O$503,(_calc!$E$621-500)))=0,"",INDEX('Vendor COIs'!$O$4:$O$503,(_calc!$E$621-500)))))</f>
        <v/>
      </c>
      <c r="H619" s="46">
        <f>IF(_calc!$E$621="","",IF(_calc!$E$621&lt;=500,IF(LEN(INDEX('Our policies'!$G$4:$G$503,_calc!$E$621))=0,"",INDEX('Our policies'!$G$4:$G$503,_calc!$E$621)),""))</f>
        <v/>
      </c>
      <c r="I619" s="46">
        <f>IF(_calc!$E$621="","",IF(_calc!$E$621&lt;=500,IF(LEN(INDEX('Our policies'!$H$4:$H$503,_calc!$E$621))=0,"",INDEX('Our policies'!$H$4:$H$503,_calc!$E$621)),""))</f>
        <v/>
      </c>
      <c r="K619" s="46">
        <f>IF(_calc!$E$621="","",IF(_calc!$E$621&lt;=500,IF(LEN(INDEX('Our policies'!$P$4:$P$503,_calc!$E$621))=0,"",INDEX('Our policies'!$P$4:$P$503,_calc!$E$621)),IF(LEN(INDEX('Vendor COIs'!$N$4:$N$503,(_calc!$E$621-500)))=0,"",INDEX('Vendor COIs'!$N$4:$N$503,(_calc!$E$621-500)))))</f>
        <v/>
      </c>
    </row>
    <row r="620">
      <c r="A620" s="46">
        <f>IF(_calc!$E$622="","",IF(_calc!$E$622&lt;=500,IF(LEN(INDEX('Our policies'!$A$4:$A$503,_calc!$E$622))=0,"",INDEX('Our policies'!$A$4:$A$503,_calc!$E$622)),"COI – "&amp;IF(LEN(INDEX('Vendor COIs'!$A$4:$A$503,(_calc!$E$622-500)))=0,"",INDEX('Vendor COIs'!$A$4:$A$503,(_calc!$E$622-500)))&amp;" – "&amp;IF(LEN(INDEX('Vendor COIs'!$B$4:$B$503,(_calc!$E$622-500)))=0,"",INDEX('Vendor COIs'!$B$4:$B$503,(_calc!$E$622-500)))))</f>
        <v/>
      </c>
      <c r="B620" s="46">
        <f>IF(_calc!$E$622="","",IF(_calc!$E$622&lt;=500,IF(ISNUMBER(INDEX('Our policies'!$J$4:$J$503,_calc!$E$622)),TEXT(INDEX('Our policies'!$J$4:$J$503,_calc!$E$622),"yyyy-mm-dd"),""),IF(ISNUMBER(INDEX('Vendor COIs'!$H$4:$H$503,(_calc!$E$622-500))),TEXT(INDEX('Vendor COIs'!$H$4:$H$503,(_calc!$E$622-500)),"yyyy-mm-dd"),"")))</f>
        <v/>
      </c>
      <c r="C620" s="46">
        <f>IF(_calc!$E$622="","",IF(_calc!$E$622&lt;=500,"Insurance","Certificate of insurance"))</f>
        <v/>
      </c>
      <c r="D620" s="46">
        <f>IF(_calc!$E$622="","",IF(_calc!$E$622&lt;=500,IF(ISNUMBER(INDEX('Our policies'!$I$4:$I$503,_calc!$E$622)),TEXT(INDEX('Our policies'!$I$4:$I$503,_calc!$E$622),"yyyy-mm-dd"),""),""))</f>
        <v/>
      </c>
      <c r="E620" s="46">
        <f>IF(_calc!$E$622="","",IF(_calc!$E$622&lt;=500,IF(LEN(INDEX('Our policies'!$Q$4:$Q$503,_calc!$E$622))=0,"",INDEX('Our policies'!$Q$4:$Q$503,_calc!$E$622)),"Medium"))</f>
        <v/>
      </c>
      <c r="F620" s="46">
        <f>IF(_calc!$E$622="","",IF(_calc!$E$622&lt;=500,TRIM(IF(LEN(IF(LEN(INDEX('Our policies'!$B$4:$B$503,_calc!$E$622))=0,"",INDEX('Our policies'!$B$4:$B$503,_calc!$E$622)))=0,"","Cover: "&amp;IF(LEN(INDEX('Our policies'!$B$4:$B$503,_calc!$E$622))=0,"",INDEX('Our policies'!$B$4:$B$503,_calc!$E$622))&amp;". ")&amp;IF(LEN(IF(LEN(INDEX('Our policies'!$C$4:$C$503,_calc!$E$622))=0,"",INDEX('Our policies'!$C$4:$C$503,_calc!$E$622)))=0,"","Insurer: "&amp;IF(LEN(INDEX('Our policies'!$C$4:$C$503,_calc!$E$622))=0,"",INDEX('Our policies'!$C$4:$C$503,_calc!$E$622))&amp;". ")&amp;IF(LEN(IF(LEN(INDEX('Our policies'!$D$4:$D$503,_calc!$E$622))=0,"",INDEX('Our policies'!$D$4:$D$503,_calc!$E$622)))=0,"","Broker: "&amp;IF(LEN(INDEX('Our policies'!$D$4:$D$503,_calc!$E$622))=0,"",INDEX('Our policies'!$D$4:$D$503,_calc!$E$622))&amp;". ")&amp;IF(LEN(IF(LEN(INDEX('Our policies'!$E$4:$E$503,_calc!$E$622))=0,"",INDEX('Our policies'!$E$4:$E$503,_calc!$E$622)))=0,"","Policy no.: "&amp;IF(LEN(INDEX('Our policies'!$E$4:$E$503,_calc!$E$622))=0,"",INDEX('Our policies'!$E$4:$E$503,_calc!$E$622))&amp;". ")&amp;IF(LEN(IF(LEN(INDEX('Our policies'!$S$4:$S$503,_calc!$E$622))=0,"",INDEX('Our policies'!$S$4:$S$503,_calc!$E$622)))=0,"",IF(LEN(INDEX('Our policies'!$S$4:$S$503,_calc!$E$622))=0,"",INDEX('Our policies'!$S$4:$S$503,_calc!$E$622)))),TRIM(IF(LEN(IF(LEN(INDEX('Vendor COIs'!$C$4:$C$503,(_calc!$E$622-500)))=0,"",INDEX('Vendor COIs'!$C$4:$C$503,(_calc!$E$622-500))))=0,"","Insurer: "&amp;IF(LEN(INDEX('Vendor COIs'!$C$4:$C$503,(_calc!$E$622-500)))=0,"",INDEX('Vendor COIs'!$C$4:$C$503,(_calc!$E$622-500)))&amp;". ")&amp;IF(LEN(IF(LEN(INDEX('Vendor COIs'!$D$4:$D$503,(_calc!$E$622-500)))=0,"",INDEX('Vendor COIs'!$D$4:$D$503,(_calc!$E$622-500))))=0,"","Policy no.: "&amp;IF(LEN(INDEX('Vendor COIs'!$D$4:$D$503,(_calc!$E$622-500)))=0,"",INDEX('Vendor COIs'!$D$4:$D$503,(_calc!$E$622-500)))&amp;". ")&amp;IF(LEN(IF(LEN(INDEX('Vendor COIs'!$F$4:$F$503,(_calc!$E$622-500)))=0,"",INDEX('Vendor COIs'!$F$4:$F$503,(_calc!$E$622-500))))=0,"","Meets minimum: "&amp;IF(LEN(INDEX('Vendor COIs'!$F$4:$F$503,(_calc!$E$622-500)))=0,"",INDEX('Vendor COIs'!$F$4:$F$503,(_calc!$E$622-500)))&amp;". ")&amp;IF(LEN(IF(LEN(INDEX('Vendor COIs'!$G$4:$G$503,(_calc!$E$622-500)))=0,"",INDEX('Vendor COIs'!$G$4:$G$503,(_calc!$E$622-500))))=0,"","Additional insured: "&amp;IF(LEN(INDEX('Vendor COIs'!$G$4:$G$503,(_calc!$E$622-500)))=0,"",INDEX('Vendor COIs'!$G$4:$G$503,(_calc!$E$622-500)))&amp;". ")&amp;IF(LEN(IF(LEN(INDEX('Vendor COIs'!$M$4:$M$503,(_calc!$E$622-500)))=0,"",INDEX('Vendor COIs'!$M$4:$M$503,(_calc!$E$622-500))))=0,"","Vendor contact: "&amp;IF(LEN(INDEX('Vendor COIs'!$M$4:$M$503,(_calc!$E$622-500)))=0,"",INDEX('Vendor COIs'!$M$4:$M$503,(_calc!$E$622-500)))&amp;". ")&amp;IF(LEN(IF(LEN(INDEX('Vendor COIs'!$P$4:$P$503,(_calc!$E$622-500)))=0,"",INDEX('Vendor COIs'!$P$4:$P$503,(_calc!$E$622-500))))=0,"",IF(LEN(INDEX('Vendor COIs'!$P$4:$P$503,(_calc!$E$622-500)))=0,"",INDEX('Vendor COIs'!$P$4:$P$503,(_calc!$E$622-500)))))))</f>
        <v/>
      </c>
      <c r="G620" s="46">
        <f>IF(_calc!$E$622="","",IF(_calc!$E$622&lt;=500,IF(LEN(INDEX('Our policies'!$R$4:$R$503,_calc!$E$622))=0,"",INDEX('Our policies'!$R$4:$R$503,_calc!$E$622)),IF(LEN(INDEX('Vendor COIs'!$O$4:$O$503,(_calc!$E$622-500)))=0,"",INDEX('Vendor COIs'!$O$4:$O$503,(_calc!$E$622-500)))))</f>
        <v/>
      </c>
      <c r="H620" s="46">
        <f>IF(_calc!$E$622="","",IF(_calc!$E$622&lt;=500,IF(LEN(INDEX('Our policies'!$G$4:$G$503,_calc!$E$622))=0,"",INDEX('Our policies'!$G$4:$G$503,_calc!$E$622)),""))</f>
        <v/>
      </c>
      <c r="I620" s="46">
        <f>IF(_calc!$E$622="","",IF(_calc!$E$622&lt;=500,IF(LEN(INDEX('Our policies'!$H$4:$H$503,_calc!$E$622))=0,"",INDEX('Our policies'!$H$4:$H$503,_calc!$E$622)),""))</f>
        <v/>
      </c>
      <c r="K620" s="46">
        <f>IF(_calc!$E$622="","",IF(_calc!$E$622&lt;=500,IF(LEN(INDEX('Our policies'!$P$4:$P$503,_calc!$E$622))=0,"",INDEX('Our policies'!$P$4:$P$503,_calc!$E$622)),IF(LEN(INDEX('Vendor COIs'!$N$4:$N$503,(_calc!$E$622-500)))=0,"",INDEX('Vendor COIs'!$N$4:$N$503,(_calc!$E$622-500)))))</f>
        <v/>
      </c>
    </row>
    <row r="621">
      <c r="A621" s="46">
        <f>IF(_calc!$E$623="","",IF(_calc!$E$623&lt;=500,IF(LEN(INDEX('Our policies'!$A$4:$A$503,_calc!$E$623))=0,"",INDEX('Our policies'!$A$4:$A$503,_calc!$E$623)),"COI – "&amp;IF(LEN(INDEX('Vendor COIs'!$A$4:$A$503,(_calc!$E$623-500)))=0,"",INDEX('Vendor COIs'!$A$4:$A$503,(_calc!$E$623-500)))&amp;" – "&amp;IF(LEN(INDEX('Vendor COIs'!$B$4:$B$503,(_calc!$E$623-500)))=0,"",INDEX('Vendor COIs'!$B$4:$B$503,(_calc!$E$623-500)))))</f>
        <v/>
      </c>
      <c r="B621" s="46">
        <f>IF(_calc!$E$623="","",IF(_calc!$E$623&lt;=500,IF(ISNUMBER(INDEX('Our policies'!$J$4:$J$503,_calc!$E$623)),TEXT(INDEX('Our policies'!$J$4:$J$503,_calc!$E$623),"yyyy-mm-dd"),""),IF(ISNUMBER(INDEX('Vendor COIs'!$H$4:$H$503,(_calc!$E$623-500))),TEXT(INDEX('Vendor COIs'!$H$4:$H$503,(_calc!$E$623-500)),"yyyy-mm-dd"),"")))</f>
        <v/>
      </c>
      <c r="C621" s="46">
        <f>IF(_calc!$E$623="","",IF(_calc!$E$623&lt;=500,"Insurance","Certificate of insurance"))</f>
        <v/>
      </c>
      <c r="D621" s="46">
        <f>IF(_calc!$E$623="","",IF(_calc!$E$623&lt;=500,IF(ISNUMBER(INDEX('Our policies'!$I$4:$I$503,_calc!$E$623)),TEXT(INDEX('Our policies'!$I$4:$I$503,_calc!$E$623),"yyyy-mm-dd"),""),""))</f>
        <v/>
      </c>
      <c r="E621" s="46">
        <f>IF(_calc!$E$623="","",IF(_calc!$E$623&lt;=500,IF(LEN(INDEX('Our policies'!$Q$4:$Q$503,_calc!$E$623))=0,"",INDEX('Our policies'!$Q$4:$Q$503,_calc!$E$623)),"Medium"))</f>
        <v/>
      </c>
      <c r="F621" s="46">
        <f>IF(_calc!$E$623="","",IF(_calc!$E$623&lt;=500,TRIM(IF(LEN(IF(LEN(INDEX('Our policies'!$B$4:$B$503,_calc!$E$623))=0,"",INDEX('Our policies'!$B$4:$B$503,_calc!$E$623)))=0,"","Cover: "&amp;IF(LEN(INDEX('Our policies'!$B$4:$B$503,_calc!$E$623))=0,"",INDEX('Our policies'!$B$4:$B$503,_calc!$E$623))&amp;". ")&amp;IF(LEN(IF(LEN(INDEX('Our policies'!$C$4:$C$503,_calc!$E$623))=0,"",INDEX('Our policies'!$C$4:$C$503,_calc!$E$623)))=0,"","Insurer: "&amp;IF(LEN(INDEX('Our policies'!$C$4:$C$503,_calc!$E$623))=0,"",INDEX('Our policies'!$C$4:$C$503,_calc!$E$623))&amp;". ")&amp;IF(LEN(IF(LEN(INDEX('Our policies'!$D$4:$D$503,_calc!$E$623))=0,"",INDEX('Our policies'!$D$4:$D$503,_calc!$E$623)))=0,"","Broker: "&amp;IF(LEN(INDEX('Our policies'!$D$4:$D$503,_calc!$E$623))=0,"",INDEX('Our policies'!$D$4:$D$503,_calc!$E$623))&amp;". ")&amp;IF(LEN(IF(LEN(INDEX('Our policies'!$E$4:$E$503,_calc!$E$623))=0,"",INDEX('Our policies'!$E$4:$E$503,_calc!$E$623)))=0,"","Policy no.: "&amp;IF(LEN(INDEX('Our policies'!$E$4:$E$503,_calc!$E$623))=0,"",INDEX('Our policies'!$E$4:$E$503,_calc!$E$623))&amp;". ")&amp;IF(LEN(IF(LEN(INDEX('Our policies'!$S$4:$S$503,_calc!$E$623))=0,"",INDEX('Our policies'!$S$4:$S$503,_calc!$E$623)))=0,"",IF(LEN(INDEX('Our policies'!$S$4:$S$503,_calc!$E$623))=0,"",INDEX('Our policies'!$S$4:$S$503,_calc!$E$623)))),TRIM(IF(LEN(IF(LEN(INDEX('Vendor COIs'!$C$4:$C$503,(_calc!$E$623-500)))=0,"",INDEX('Vendor COIs'!$C$4:$C$503,(_calc!$E$623-500))))=0,"","Insurer: "&amp;IF(LEN(INDEX('Vendor COIs'!$C$4:$C$503,(_calc!$E$623-500)))=0,"",INDEX('Vendor COIs'!$C$4:$C$503,(_calc!$E$623-500)))&amp;". ")&amp;IF(LEN(IF(LEN(INDEX('Vendor COIs'!$D$4:$D$503,(_calc!$E$623-500)))=0,"",INDEX('Vendor COIs'!$D$4:$D$503,(_calc!$E$623-500))))=0,"","Policy no.: "&amp;IF(LEN(INDEX('Vendor COIs'!$D$4:$D$503,(_calc!$E$623-500)))=0,"",INDEX('Vendor COIs'!$D$4:$D$503,(_calc!$E$623-500)))&amp;". ")&amp;IF(LEN(IF(LEN(INDEX('Vendor COIs'!$F$4:$F$503,(_calc!$E$623-500)))=0,"",INDEX('Vendor COIs'!$F$4:$F$503,(_calc!$E$623-500))))=0,"","Meets minimum: "&amp;IF(LEN(INDEX('Vendor COIs'!$F$4:$F$503,(_calc!$E$623-500)))=0,"",INDEX('Vendor COIs'!$F$4:$F$503,(_calc!$E$623-500)))&amp;". ")&amp;IF(LEN(IF(LEN(INDEX('Vendor COIs'!$G$4:$G$503,(_calc!$E$623-500)))=0,"",INDEX('Vendor COIs'!$G$4:$G$503,(_calc!$E$623-500))))=0,"","Additional insured: "&amp;IF(LEN(INDEX('Vendor COIs'!$G$4:$G$503,(_calc!$E$623-500)))=0,"",INDEX('Vendor COIs'!$G$4:$G$503,(_calc!$E$623-500)))&amp;". ")&amp;IF(LEN(IF(LEN(INDEX('Vendor COIs'!$M$4:$M$503,(_calc!$E$623-500)))=0,"",INDEX('Vendor COIs'!$M$4:$M$503,(_calc!$E$623-500))))=0,"","Vendor contact: "&amp;IF(LEN(INDEX('Vendor COIs'!$M$4:$M$503,(_calc!$E$623-500)))=0,"",INDEX('Vendor COIs'!$M$4:$M$503,(_calc!$E$623-500)))&amp;". ")&amp;IF(LEN(IF(LEN(INDEX('Vendor COIs'!$P$4:$P$503,(_calc!$E$623-500)))=0,"",INDEX('Vendor COIs'!$P$4:$P$503,(_calc!$E$623-500))))=0,"",IF(LEN(INDEX('Vendor COIs'!$P$4:$P$503,(_calc!$E$623-500)))=0,"",INDEX('Vendor COIs'!$P$4:$P$503,(_calc!$E$623-500)))))))</f>
        <v/>
      </c>
      <c r="G621" s="46">
        <f>IF(_calc!$E$623="","",IF(_calc!$E$623&lt;=500,IF(LEN(INDEX('Our policies'!$R$4:$R$503,_calc!$E$623))=0,"",INDEX('Our policies'!$R$4:$R$503,_calc!$E$623)),IF(LEN(INDEX('Vendor COIs'!$O$4:$O$503,(_calc!$E$623-500)))=0,"",INDEX('Vendor COIs'!$O$4:$O$503,(_calc!$E$623-500)))))</f>
        <v/>
      </c>
      <c r="H621" s="46">
        <f>IF(_calc!$E$623="","",IF(_calc!$E$623&lt;=500,IF(LEN(INDEX('Our policies'!$G$4:$G$503,_calc!$E$623))=0,"",INDEX('Our policies'!$G$4:$G$503,_calc!$E$623)),""))</f>
        <v/>
      </c>
      <c r="I621" s="46">
        <f>IF(_calc!$E$623="","",IF(_calc!$E$623&lt;=500,IF(LEN(INDEX('Our policies'!$H$4:$H$503,_calc!$E$623))=0,"",INDEX('Our policies'!$H$4:$H$503,_calc!$E$623)),""))</f>
        <v/>
      </c>
      <c r="K621" s="46">
        <f>IF(_calc!$E$623="","",IF(_calc!$E$623&lt;=500,IF(LEN(INDEX('Our policies'!$P$4:$P$503,_calc!$E$623))=0,"",INDEX('Our policies'!$P$4:$P$503,_calc!$E$623)),IF(LEN(INDEX('Vendor COIs'!$N$4:$N$503,(_calc!$E$623-500)))=0,"",INDEX('Vendor COIs'!$N$4:$N$503,(_calc!$E$623-500)))))</f>
        <v/>
      </c>
    </row>
    <row r="622">
      <c r="A622" s="46">
        <f>IF(_calc!$E$624="","",IF(_calc!$E$624&lt;=500,IF(LEN(INDEX('Our policies'!$A$4:$A$503,_calc!$E$624))=0,"",INDEX('Our policies'!$A$4:$A$503,_calc!$E$624)),"COI – "&amp;IF(LEN(INDEX('Vendor COIs'!$A$4:$A$503,(_calc!$E$624-500)))=0,"",INDEX('Vendor COIs'!$A$4:$A$503,(_calc!$E$624-500)))&amp;" – "&amp;IF(LEN(INDEX('Vendor COIs'!$B$4:$B$503,(_calc!$E$624-500)))=0,"",INDEX('Vendor COIs'!$B$4:$B$503,(_calc!$E$624-500)))))</f>
        <v/>
      </c>
      <c r="B622" s="46">
        <f>IF(_calc!$E$624="","",IF(_calc!$E$624&lt;=500,IF(ISNUMBER(INDEX('Our policies'!$J$4:$J$503,_calc!$E$624)),TEXT(INDEX('Our policies'!$J$4:$J$503,_calc!$E$624),"yyyy-mm-dd"),""),IF(ISNUMBER(INDEX('Vendor COIs'!$H$4:$H$503,(_calc!$E$624-500))),TEXT(INDEX('Vendor COIs'!$H$4:$H$503,(_calc!$E$624-500)),"yyyy-mm-dd"),"")))</f>
        <v/>
      </c>
      <c r="C622" s="46">
        <f>IF(_calc!$E$624="","",IF(_calc!$E$624&lt;=500,"Insurance","Certificate of insurance"))</f>
        <v/>
      </c>
      <c r="D622" s="46">
        <f>IF(_calc!$E$624="","",IF(_calc!$E$624&lt;=500,IF(ISNUMBER(INDEX('Our policies'!$I$4:$I$503,_calc!$E$624)),TEXT(INDEX('Our policies'!$I$4:$I$503,_calc!$E$624),"yyyy-mm-dd"),""),""))</f>
        <v/>
      </c>
      <c r="E622" s="46">
        <f>IF(_calc!$E$624="","",IF(_calc!$E$624&lt;=500,IF(LEN(INDEX('Our policies'!$Q$4:$Q$503,_calc!$E$624))=0,"",INDEX('Our policies'!$Q$4:$Q$503,_calc!$E$624)),"Medium"))</f>
        <v/>
      </c>
      <c r="F622" s="46">
        <f>IF(_calc!$E$624="","",IF(_calc!$E$624&lt;=500,TRIM(IF(LEN(IF(LEN(INDEX('Our policies'!$B$4:$B$503,_calc!$E$624))=0,"",INDEX('Our policies'!$B$4:$B$503,_calc!$E$624)))=0,"","Cover: "&amp;IF(LEN(INDEX('Our policies'!$B$4:$B$503,_calc!$E$624))=0,"",INDEX('Our policies'!$B$4:$B$503,_calc!$E$624))&amp;". ")&amp;IF(LEN(IF(LEN(INDEX('Our policies'!$C$4:$C$503,_calc!$E$624))=0,"",INDEX('Our policies'!$C$4:$C$503,_calc!$E$624)))=0,"","Insurer: "&amp;IF(LEN(INDEX('Our policies'!$C$4:$C$503,_calc!$E$624))=0,"",INDEX('Our policies'!$C$4:$C$503,_calc!$E$624))&amp;". ")&amp;IF(LEN(IF(LEN(INDEX('Our policies'!$D$4:$D$503,_calc!$E$624))=0,"",INDEX('Our policies'!$D$4:$D$503,_calc!$E$624)))=0,"","Broker: "&amp;IF(LEN(INDEX('Our policies'!$D$4:$D$503,_calc!$E$624))=0,"",INDEX('Our policies'!$D$4:$D$503,_calc!$E$624))&amp;". ")&amp;IF(LEN(IF(LEN(INDEX('Our policies'!$E$4:$E$503,_calc!$E$624))=0,"",INDEX('Our policies'!$E$4:$E$503,_calc!$E$624)))=0,"","Policy no.: "&amp;IF(LEN(INDEX('Our policies'!$E$4:$E$503,_calc!$E$624))=0,"",INDEX('Our policies'!$E$4:$E$503,_calc!$E$624))&amp;". ")&amp;IF(LEN(IF(LEN(INDEX('Our policies'!$S$4:$S$503,_calc!$E$624))=0,"",INDEX('Our policies'!$S$4:$S$503,_calc!$E$624)))=0,"",IF(LEN(INDEX('Our policies'!$S$4:$S$503,_calc!$E$624))=0,"",INDEX('Our policies'!$S$4:$S$503,_calc!$E$624)))),TRIM(IF(LEN(IF(LEN(INDEX('Vendor COIs'!$C$4:$C$503,(_calc!$E$624-500)))=0,"",INDEX('Vendor COIs'!$C$4:$C$503,(_calc!$E$624-500))))=0,"","Insurer: "&amp;IF(LEN(INDEX('Vendor COIs'!$C$4:$C$503,(_calc!$E$624-500)))=0,"",INDEX('Vendor COIs'!$C$4:$C$503,(_calc!$E$624-500)))&amp;". ")&amp;IF(LEN(IF(LEN(INDEX('Vendor COIs'!$D$4:$D$503,(_calc!$E$624-500)))=0,"",INDEX('Vendor COIs'!$D$4:$D$503,(_calc!$E$624-500))))=0,"","Policy no.: "&amp;IF(LEN(INDEX('Vendor COIs'!$D$4:$D$503,(_calc!$E$624-500)))=0,"",INDEX('Vendor COIs'!$D$4:$D$503,(_calc!$E$624-500)))&amp;". ")&amp;IF(LEN(IF(LEN(INDEX('Vendor COIs'!$F$4:$F$503,(_calc!$E$624-500)))=0,"",INDEX('Vendor COIs'!$F$4:$F$503,(_calc!$E$624-500))))=0,"","Meets minimum: "&amp;IF(LEN(INDEX('Vendor COIs'!$F$4:$F$503,(_calc!$E$624-500)))=0,"",INDEX('Vendor COIs'!$F$4:$F$503,(_calc!$E$624-500)))&amp;". ")&amp;IF(LEN(IF(LEN(INDEX('Vendor COIs'!$G$4:$G$503,(_calc!$E$624-500)))=0,"",INDEX('Vendor COIs'!$G$4:$G$503,(_calc!$E$624-500))))=0,"","Additional insured: "&amp;IF(LEN(INDEX('Vendor COIs'!$G$4:$G$503,(_calc!$E$624-500)))=0,"",INDEX('Vendor COIs'!$G$4:$G$503,(_calc!$E$624-500)))&amp;". ")&amp;IF(LEN(IF(LEN(INDEX('Vendor COIs'!$M$4:$M$503,(_calc!$E$624-500)))=0,"",INDEX('Vendor COIs'!$M$4:$M$503,(_calc!$E$624-500))))=0,"","Vendor contact: "&amp;IF(LEN(INDEX('Vendor COIs'!$M$4:$M$503,(_calc!$E$624-500)))=0,"",INDEX('Vendor COIs'!$M$4:$M$503,(_calc!$E$624-500)))&amp;". ")&amp;IF(LEN(IF(LEN(INDEX('Vendor COIs'!$P$4:$P$503,(_calc!$E$624-500)))=0,"",INDEX('Vendor COIs'!$P$4:$P$503,(_calc!$E$624-500))))=0,"",IF(LEN(INDEX('Vendor COIs'!$P$4:$P$503,(_calc!$E$624-500)))=0,"",INDEX('Vendor COIs'!$P$4:$P$503,(_calc!$E$624-500)))))))</f>
        <v/>
      </c>
      <c r="G622" s="46">
        <f>IF(_calc!$E$624="","",IF(_calc!$E$624&lt;=500,IF(LEN(INDEX('Our policies'!$R$4:$R$503,_calc!$E$624))=0,"",INDEX('Our policies'!$R$4:$R$503,_calc!$E$624)),IF(LEN(INDEX('Vendor COIs'!$O$4:$O$503,(_calc!$E$624-500)))=0,"",INDEX('Vendor COIs'!$O$4:$O$503,(_calc!$E$624-500)))))</f>
        <v/>
      </c>
      <c r="H622" s="46">
        <f>IF(_calc!$E$624="","",IF(_calc!$E$624&lt;=500,IF(LEN(INDEX('Our policies'!$G$4:$G$503,_calc!$E$624))=0,"",INDEX('Our policies'!$G$4:$G$503,_calc!$E$624)),""))</f>
        <v/>
      </c>
      <c r="I622" s="46">
        <f>IF(_calc!$E$624="","",IF(_calc!$E$624&lt;=500,IF(LEN(INDEX('Our policies'!$H$4:$H$503,_calc!$E$624))=0,"",INDEX('Our policies'!$H$4:$H$503,_calc!$E$624)),""))</f>
        <v/>
      </c>
      <c r="K622" s="46">
        <f>IF(_calc!$E$624="","",IF(_calc!$E$624&lt;=500,IF(LEN(INDEX('Our policies'!$P$4:$P$503,_calc!$E$624))=0,"",INDEX('Our policies'!$P$4:$P$503,_calc!$E$624)),IF(LEN(INDEX('Vendor COIs'!$N$4:$N$503,(_calc!$E$624-500)))=0,"",INDEX('Vendor COIs'!$N$4:$N$503,(_calc!$E$624-500)))))</f>
        <v/>
      </c>
    </row>
    <row r="623">
      <c r="A623" s="46">
        <f>IF(_calc!$E$625="","",IF(_calc!$E$625&lt;=500,IF(LEN(INDEX('Our policies'!$A$4:$A$503,_calc!$E$625))=0,"",INDEX('Our policies'!$A$4:$A$503,_calc!$E$625)),"COI – "&amp;IF(LEN(INDEX('Vendor COIs'!$A$4:$A$503,(_calc!$E$625-500)))=0,"",INDEX('Vendor COIs'!$A$4:$A$503,(_calc!$E$625-500)))&amp;" – "&amp;IF(LEN(INDEX('Vendor COIs'!$B$4:$B$503,(_calc!$E$625-500)))=0,"",INDEX('Vendor COIs'!$B$4:$B$503,(_calc!$E$625-500)))))</f>
        <v/>
      </c>
      <c r="B623" s="46">
        <f>IF(_calc!$E$625="","",IF(_calc!$E$625&lt;=500,IF(ISNUMBER(INDEX('Our policies'!$J$4:$J$503,_calc!$E$625)),TEXT(INDEX('Our policies'!$J$4:$J$503,_calc!$E$625),"yyyy-mm-dd"),""),IF(ISNUMBER(INDEX('Vendor COIs'!$H$4:$H$503,(_calc!$E$625-500))),TEXT(INDEX('Vendor COIs'!$H$4:$H$503,(_calc!$E$625-500)),"yyyy-mm-dd"),"")))</f>
        <v/>
      </c>
      <c r="C623" s="46">
        <f>IF(_calc!$E$625="","",IF(_calc!$E$625&lt;=500,"Insurance","Certificate of insurance"))</f>
        <v/>
      </c>
      <c r="D623" s="46">
        <f>IF(_calc!$E$625="","",IF(_calc!$E$625&lt;=500,IF(ISNUMBER(INDEX('Our policies'!$I$4:$I$503,_calc!$E$625)),TEXT(INDEX('Our policies'!$I$4:$I$503,_calc!$E$625),"yyyy-mm-dd"),""),""))</f>
        <v/>
      </c>
      <c r="E623" s="46">
        <f>IF(_calc!$E$625="","",IF(_calc!$E$625&lt;=500,IF(LEN(INDEX('Our policies'!$Q$4:$Q$503,_calc!$E$625))=0,"",INDEX('Our policies'!$Q$4:$Q$503,_calc!$E$625)),"Medium"))</f>
        <v/>
      </c>
      <c r="F623" s="46">
        <f>IF(_calc!$E$625="","",IF(_calc!$E$625&lt;=500,TRIM(IF(LEN(IF(LEN(INDEX('Our policies'!$B$4:$B$503,_calc!$E$625))=0,"",INDEX('Our policies'!$B$4:$B$503,_calc!$E$625)))=0,"","Cover: "&amp;IF(LEN(INDEX('Our policies'!$B$4:$B$503,_calc!$E$625))=0,"",INDEX('Our policies'!$B$4:$B$503,_calc!$E$625))&amp;". ")&amp;IF(LEN(IF(LEN(INDEX('Our policies'!$C$4:$C$503,_calc!$E$625))=0,"",INDEX('Our policies'!$C$4:$C$503,_calc!$E$625)))=0,"","Insurer: "&amp;IF(LEN(INDEX('Our policies'!$C$4:$C$503,_calc!$E$625))=0,"",INDEX('Our policies'!$C$4:$C$503,_calc!$E$625))&amp;". ")&amp;IF(LEN(IF(LEN(INDEX('Our policies'!$D$4:$D$503,_calc!$E$625))=0,"",INDEX('Our policies'!$D$4:$D$503,_calc!$E$625)))=0,"","Broker: "&amp;IF(LEN(INDEX('Our policies'!$D$4:$D$503,_calc!$E$625))=0,"",INDEX('Our policies'!$D$4:$D$503,_calc!$E$625))&amp;". ")&amp;IF(LEN(IF(LEN(INDEX('Our policies'!$E$4:$E$503,_calc!$E$625))=0,"",INDEX('Our policies'!$E$4:$E$503,_calc!$E$625)))=0,"","Policy no.: "&amp;IF(LEN(INDEX('Our policies'!$E$4:$E$503,_calc!$E$625))=0,"",INDEX('Our policies'!$E$4:$E$503,_calc!$E$625))&amp;". ")&amp;IF(LEN(IF(LEN(INDEX('Our policies'!$S$4:$S$503,_calc!$E$625))=0,"",INDEX('Our policies'!$S$4:$S$503,_calc!$E$625)))=0,"",IF(LEN(INDEX('Our policies'!$S$4:$S$503,_calc!$E$625))=0,"",INDEX('Our policies'!$S$4:$S$503,_calc!$E$625)))),TRIM(IF(LEN(IF(LEN(INDEX('Vendor COIs'!$C$4:$C$503,(_calc!$E$625-500)))=0,"",INDEX('Vendor COIs'!$C$4:$C$503,(_calc!$E$625-500))))=0,"","Insurer: "&amp;IF(LEN(INDEX('Vendor COIs'!$C$4:$C$503,(_calc!$E$625-500)))=0,"",INDEX('Vendor COIs'!$C$4:$C$503,(_calc!$E$625-500)))&amp;". ")&amp;IF(LEN(IF(LEN(INDEX('Vendor COIs'!$D$4:$D$503,(_calc!$E$625-500)))=0,"",INDEX('Vendor COIs'!$D$4:$D$503,(_calc!$E$625-500))))=0,"","Policy no.: "&amp;IF(LEN(INDEX('Vendor COIs'!$D$4:$D$503,(_calc!$E$625-500)))=0,"",INDEX('Vendor COIs'!$D$4:$D$503,(_calc!$E$625-500)))&amp;". ")&amp;IF(LEN(IF(LEN(INDEX('Vendor COIs'!$F$4:$F$503,(_calc!$E$625-500)))=0,"",INDEX('Vendor COIs'!$F$4:$F$503,(_calc!$E$625-500))))=0,"","Meets minimum: "&amp;IF(LEN(INDEX('Vendor COIs'!$F$4:$F$503,(_calc!$E$625-500)))=0,"",INDEX('Vendor COIs'!$F$4:$F$503,(_calc!$E$625-500)))&amp;". ")&amp;IF(LEN(IF(LEN(INDEX('Vendor COIs'!$G$4:$G$503,(_calc!$E$625-500)))=0,"",INDEX('Vendor COIs'!$G$4:$G$503,(_calc!$E$625-500))))=0,"","Additional insured: "&amp;IF(LEN(INDEX('Vendor COIs'!$G$4:$G$503,(_calc!$E$625-500)))=0,"",INDEX('Vendor COIs'!$G$4:$G$503,(_calc!$E$625-500)))&amp;". ")&amp;IF(LEN(IF(LEN(INDEX('Vendor COIs'!$M$4:$M$503,(_calc!$E$625-500)))=0,"",INDEX('Vendor COIs'!$M$4:$M$503,(_calc!$E$625-500))))=0,"","Vendor contact: "&amp;IF(LEN(INDEX('Vendor COIs'!$M$4:$M$503,(_calc!$E$625-500)))=0,"",INDEX('Vendor COIs'!$M$4:$M$503,(_calc!$E$625-500)))&amp;". ")&amp;IF(LEN(IF(LEN(INDEX('Vendor COIs'!$P$4:$P$503,(_calc!$E$625-500)))=0,"",INDEX('Vendor COIs'!$P$4:$P$503,(_calc!$E$625-500))))=0,"",IF(LEN(INDEX('Vendor COIs'!$P$4:$P$503,(_calc!$E$625-500)))=0,"",INDEX('Vendor COIs'!$P$4:$P$503,(_calc!$E$625-500)))))))</f>
        <v/>
      </c>
      <c r="G623" s="46">
        <f>IF(_calc!$E$625="","",IF(_calc!$E$625&lt;=500,IF(LEN(INDEX('Our policies'!$R$4:$R$503,_calc!$E$625))=0,"",INDEX('Our policies'!$R$4:$R$503,_calc!$E$625)),IF(LEN(INDEX('Vendor COIs'!$O$4:$O$503,(_calc!$E$625-500)))=0,"",INDEX('Vendor COIs'!$O$4:$O$503,(_calc!$E$625-500)))))</f>
        <v/>
      </c>
      <c r="H623" s="46">
        <f>IF(_calc!$E$625="","",IF(_calc!$E$625&lt;=500,IF(LEN(INDEX('Our policies'!$G$4:$G$503,_calc!$E$625))=0,"",INDEX('Our policies'!$G$4:$G$503,_calc!$E$625)),""))</f>
        <v/>
      </c>
      <c r="I623" s="46">
        <f>IF(_calc!$E$625="","",IF(_calc!$E$625&lt;=500,IF(LEN(INDEX('Our policies'!$H$4:$H$503,_calc!$E$625))=0,"",INDEX('Our policies'!$H$4:$H$503,_calc!$E$625)),""))</f>
        <v/>
      </c>
      <c r="K623" s="46">
        <f>IF(_calc!$E$625="","",IF(_calc!$E$625&lt;=500,IF(LEN(INDEX('Our policies'!$P$4:$P$503,_calc!$E$625))=0,"",INDEX('Our policies'!$P$4:$P$503,_calc!$E$625)),IF(LEN(INDEX('Vendor COIs'!$N$4:$N$503,(_calc!$E$625-500)))=0,"",INDEX('Vendor COIs'!$N$4:$N$503,(_calc!$E$625-500)))))</f>
        <v/>
      </c>
    </row>
    <row r="624">
      <c r="A624" s="46">
        <f>IF(_calc!$E$626="","",IF(_calc!$E$626&lt;=500,IF(LEN(INDEX('Our policies'!$A$4:$A$503,_calc!$E$626))=0,"",INDEX('Our policies'!$A$4:$A$503,_calc!$E$626)),"COI – "&amp;IF(LEN(INDEX('Vendor COIs'!$A$4:$A$503,(_calc!$E$626-500)))=0,"",INDEX('Vendor COIs'!$A$4:$A$503,(_calc!$E$626-500)))&amp;" – "&amp;IF(LEN(INDEX('Vendor COIs'!$B$4:$B$503,(_calc!$E$626-500)))=0,"",INDEX('Vendor COIs'!$B$4:$B$503,(_calc!$E$626-500)))))</f>
        <v/>
      </c>
      <c r="B624" s="46">
        <f>IF(_calc!$E$626="","",IF(_calc!$E$626&lt;=500,IF(ISNUMBER(INDEX('Our policies'!$J$4:$J$503,_calc!$E$626)),TEXT(INDEX('Our policies'!$J$4:$J$503,_calc!$E$626),"yyyy-mm-dd"),""),IF(ISNUMBER(INDEX('Vendor COIs'!$H$4:$H$503,(_calc!$E$626-500))),TEXT(INDEX('Vendor COIs'!$H$4:$H$503,(_calc!$E$626-500)),"yyyy-mm-dd"),"")))</f>
        <v/>
      </c>
      <c r="C624" s="46">
        <f>IF(_calc!$E$626="","",IF(_calc!$E$626&lt;=500,"Insurance","Certificate of insurance"))</f>
        <v/>
      </c>
      <c r="D624" s="46">
        <f>IF(_calc!$E$626="","",IF(_calc!$E$626&lt;=500,IF(ISNUMBER(INDEX('Our policies'!$I$4:$I$503,_calc!$E$626)),TEXT(INDEX('Our policies'!$I$4:$I$503,_calc!$E$626),"yyyy-mm-dd"),""),""))</f>
        <v/>
      </c>
      <c r="E624" s="46">
        <f>IF(_calc!$E$626="","",IF(_calc!$E$626&lt;=500,IF(LEN(INDEX('Our policies'!$Q$4:$Q$503,_calc!$E$626))=0,"",INDEX('Our policies'!$Q$4:$Q$503,_calc!$E$626)),"Medium"))</f>
        <v/>
      </c>
      <c r="F624" s="46">
        <f>IF(_calc!$E$626="","",IF(_calc!$E$626&lt;=500,TRIM(IF(LEN(IF(LEN(INDEX('Our policies'!$B$4:$B$503,_calc!$E$626))=0,"",INDEX('Our policies'!$B$4:$B$503,_calc!$E$626)))=0,"","Cover: "&amp;IF(LEN(INDEX('Our policies'!$B$4:$B$503,_calc!$E$626))=0,"",INDEX('Our policies'!$B$4:$B$503,_calc!$E$626))&amp;". ")&amp;IF(LEN(IF(LEN(INDEX('Our policies'!$C$4:$C$503,_calc!$E$626))=0,"",INDEX('Our policies'!$C$4:$C$503,_calc!$E$626)))=0,"","Insurer: "&amp;IF(LEN(INDEX('Our policies'!$C$4:$C$503,_calc!$E$626))=0,"",INDEX('Our policies'!$C$4:$C$503,_calc!$E$626))&amp;". ")&amp;IF(LEN(IF(LEN(INDEX('Our policies'!$D$4:$D$503,_calc!$E$626))=0,"",INDEX('Our policies'!$D$4:$D$503,_calc!$E$626)))=0,"","Broker: "&amp;IF(LEN(INDEX('Our policies'!$D$4:$D$503,_calc!$E$626))=0,"",INDEX('Our policies'!$D$4:$D$503,_calc!$E$626))&amp;". ")&amp;IF(LEN(IF(LEN(INDEX('Our policies'!$E$4:$E$503,_calc!$E$626))=0,"",INDEX('Our policies'!$E$4:$E$503,_calc!$E$626)))=0,"","Policy no.: "&amp;IF(LEN(INDEX('Our policies'!$E$4:$E$503,_calc!$E$626))=0,"",INDEX('Our policies'!$E$4:$E$503,_calc!$E$626))&amp;". ")&amp;IF(LEN(IF(LEN(INDEX('Our policies'!$S$4:$S$503,_calc!$E$626))=0,"",INDEX('Our policies'!$S$4:$S$503,_calc!$E$626)))=0,"",IF(LEN(INDEX('Our policies'!$S$4:$S$503,_calc!$E$626))=0,"",INDEX('Our policies'!$S$4:$S$503,_calc!$E$626)))),TRIM(IF(LEN(IF(LEN(INDEX('Vendor COIs'!$C$4:$C$503,(_calc!$E$626-500)))=0,"",INDEX('Vendor COIs'!$C$4:$C$503,(_calc!$E$626-500))))=0,"","Insurer: "&amp;IF(LEN(INDEX('Vendor COIs'!$C$4:$C$503,(_calc!$E$626-500)))=0,"",INDEX('Vendor COIs'!$C$4:$C$503,(_calc!$E$626-500)))&amp;". ")&amp;IF(LEN(IF(LEN(INDEX('Vendor COIs'!$D$4:$D$503,(_calc!$E$626-500)))=0,"",INDEX('Vendor COIs'!$D$4:$D$503,(_calc!$E$626-500))))=0,"","Policy no.: "&amp;IF(LEN(INDEX('Vendor COIs'!$D$4:$D$503,(_calc!$E$626-500)))=0,"",INDEX('Vendor COIs'!$D$4:$D$503,(_calc!$E$626-500)))&amp;". ")&amp;IF(LEN(IF(LEN(INDEX('Vendor COIs'!$F$4:$F$503,(_calc!$E$626-500)))=0,"",INDEX('Vendor COIs'!$F$4:$F$503,(_calc!$E$626-500))))=0,"","Meets minimum: "&amp;IF(LEN(INDEX('Vendor COIs'!$F$4:$F$503,(_calc!$E$626-500)))=0,"",INDEX('Vendor COIs'!$F$4:$F$503,(_calc!$E$626-500)))&amp;". ")&amp;IF(LEN(IF(LEN(INDEX('Vendor COIs'!$G$4:$G$503,(_calc!$E$626-500)))=0,"",INDEX('Vendor COIs'!$G$4:$G$503,(_calc!$E$626-500))))=0,"","Additional insured: "&amp;IF(LEN(INDEX('Vendor COIs'!$G$4:$G$503,(_calc!$E$626-500)))=0,"",INDEX('Vendor COIs'!$G$4:$G$503,(_calc!$E$626-500)))&amp;". ")&amp;IF(LEN(IF(LEN(INDEX('Vendor COIs'!$M$4:$M$503,(_calc!$E$626-500)))=0,"",INDEX('Vendor COIs'!$M$4:$M$503,(_calc!$E$626-500))))=0,"","Vendor contact: "&amp;IF(LEN(INDEX('Vendor COIs'!$M$4:$M$503,(_calc!$E$626-500)))=0,"",INDEX('Vendor COIs'!$M$4:$M$503,(_calc!$E$626-500)))&amp;". ")&amp;IF(LEN(IF(LEN(INDEX('Vendor COIs'!$P$4:$P$503,(_calc!$E$626-500)))=0,"",INDEX('Vendor COIs'!$P$4:$P$503,(_calc!$E$626-500))))=0,"",IF(LEN(INDEX('Vendor COIs'!$P$4:$P$503,(_calc!$E$626-500)))=0,"",INDEX('Vendor COIs'!$P$4:$P$503,(_calc!$E$626-500)))))))</f>
        <v/>
      </c>
      <c r="G624" s="46">
        <f>IF(_calc!$E$626="","",IF(_calc!$E$626&lt;=500,IF(LEN(INDEX('Our policies'!$R$4:$R$503,_calc!$E$626))=0,"",INDEX('Our policies'!$R$4:$R$503,_calc!$E$626)),IF(LEN(INDEX('Vendor COIs'!$O$4:$O$503,(_calc!$E$626-500)))=0,"",INDEX('Vendor COIs'!$O$4:$O$503,(_calc!$E$626-500)))))</f>
        <v/>
      </c>
      <c r="H624" s="46">
        <f>IF(_calc!$E$626="","",IF(_calc!$E$626&lt;=500,IF(LEN(INDEX('Our policies'!$G$4:$G$503,_calc!$E$626))=0,"",INDEX('Our policies'!$G$4:$G$503,_calc!$E$626)),""))</f>
        <v/>
      </c>
      <c r="I624" s="46">
        <f>IF(_calc!$E$626="","",IF(_calc!$E$626&lt;=500,IF(LEN(INDEX('Our policies'!$H$4:$H$503,_calc!$E$626))=0,"",INDEX('Our policies'!$H$4:$H$503,_calc!$E$626)),""))</f>
        <v/>
      </c>
      <c r="K624" s="46">
        <f>IF(_calc!$E$626="","",IF(_calc!$E$626&lt;=500,IF(LEN(INDEX('Our policies'!$P$4:$P$503,_calc!$E$626))=0,"",INDEX('Our policies'!$P$4:$P$503,_calc!$E$626)),IF(LEN(INDEX('Vendor COIs'!$N$4:$N$503,(_calc!$E$626-500)))=0,"",INDEX('Vendor COIs'!$N$4:$N$503,(_calc!$E$626-500)))))</f>
        <v/>
      </c>
    </row>
    <row r="625">
      <c r="A625" s="46">
        <f>IF(_calc!$E$627="","",IF(_calc!$E$627&lt;=500,IF(LEN(INDEX('Our policies'!$A$4:$A$503,_calc!$E$627))=0,"",INDEX('Our policies'!$A$4:$A$503,_calc!$E$627)),"COI – "&amp;IF(LEN(INDEX('Vendor COIs'!$A$4:$A$503,(_calc!$E$627-500)))=0,"",INDEX('Vendor COIs'!$A$4:$A$503,(_calc!$E$627-500)))&amp;" – "&amp;IF(LEN(INDEX('Vendor COIs'!$B$4:$B$503,(_calc!$E$627-500)))=0,"",INDEX('Vendor COIs'!$B$4:$B$503,(_calc!$E$627-500)))))</f>
        <v/>
      </c>
      <c r="B625" s="46">
        <f>IF(_calc!$E$627="","",IF(_calc!$E$627&lt;=500,IF(ISNUMBER(INDEX('Our policies'!$J$4:$J$503,_calc!$E$627)),TEXT(INDEX('Our policies'!$J$4:$J$503,_calc!$E$627),"yyyy-mm-dd"),""),IF(ISNUMBER(INDEX('Vendor COIs'!$H$4:$H$503,(_calc!$E$627-500))),TEXT(INDEX('Vendor COIs'!$H$4:$H$503,(_calc!$E$627-500)),"yyyy-mm-dd"),"")))</f>
        <v/>
      </c>
      <c r="C625" s="46">
        <f>IF(_calc!$E$627="","",IF(_calc!$E$627&lt;=500,"Insurance","Certificate of insurance"))</f>
        <v/>
      </c>
      <c r="D625" s="46">
        <f>IF(_calc!$E$627="","",IF(_calc!$E$627&lt;=500,IF(ISNUMBER(INDEX('Our policies'!$I$4:$I$503,_calc!$E$627)),TEXT(INDEX('Our policies'!$I$4:$I$503,_calc!$E$627),"yyyy-mm-dd"),""),""))</f>
        <v/>
      </c>
      <c r="E625" s="46">
        <f>IF(_calc!$E$627="","",IF(_calc!$E$627&lt;=500,IF(LEN(INDEX('Our policies'!$Q$4:$Q$503,_calc!$E$627))=0,"",INDEX('Our policies'!$Q$4:$Q$503,_calc!$E$627)),"Medium"))</f>
        <v/>
      </c>
      <c r="F625" s="46">
        <f>IF(_calc!$E$627="","",IF(_calc!$E$627&lt;=500,TRIM(IF(LEN(IF(LEN(INDEX('Our policies'!$B$4:$B$503,_calc!$E$627))=0,"",INDEX('Our policies'!$B$4:$B$503,_calc!$E$627)))=0,"","Cover: "&amp;IF(LEN(INDEX('Our policies'!$B$4:$B$503,_calc!$E$627))=0,"",INDEX('Our policies'!$B$4:$B$503,_calc!$E$627))&amp;". ")&amp;IF(LEN(IF(LEN(INDEX('Our policies'!$C$4:$C$503,_calc!$E$627))=0,"",INDEX('Our policies'!$C$4:$C$503,_calc!$E$627)))=0,"","Insurer: "&amp;IF(LEN(INDEX('Our policies'!$C$4:$C$503,_calc!$E$627))=0,"",INDEX('Our policies'!$C$4:$C$503,_calc!$E$627))&amp;". ")&amp;IF(LEN(IF(LEN(INDEX('Our policies'!$D$4:$D$503,_calc!$E$627))=0,"",INDEX('Our policies'!$D$4:$D$503,_calc!$E$627)))=0,"","Broker: "&amp;IF(LEN(INDEX('Our policies'!$D$4:$D$503,_calc!$E$627))=0,"",INDEX('Our policies'!$D$4:$D$503,_calc!$E$627))&amp;". ")&amp;IF(LEN(IF(LEN(INDEX('Our policies'!$E$4:$E$503,_calc!$E$627))=0,"",INDEX('Our policies'!$E$4:$E$503,_calc!$E$627)))=0,"","Policy no.: "&amp;IF(LEN(INDEX('Our policies'!$E$4:$E$503,_calc!$E$627))=0,"",INDEX('Our policies'!$E$4:$E$503,_calc!$E$627))&amp;". ")&amp;IF(LEN(IF(LEN(INDEX('Our policies'!$S$4:$S$503,_calc!$E$627))=0,"",INDEX('Our policies'!$S$4:$S$503,_calc!$E$627)))=0,"",IF(LEN(INDEX('Our policies'!$S$4:$S$503,_calc!$E$627))=0,"",INDEX('Our policies'!$S$4:$S$503,_calc!$E$627)))),TRIM(IF(LEN(IF(LEN(INDEX('Vendor COIs'!$C$4:$C$503,(_calc!$E$627-500)))=0,"",INDEX('Vendor COIs'!$C$4:$C$503,(_calc!$E$627-500))))=0,"","Insurer: "&amp;IF(LEN(INDEX('Vendor COIs'!$C$4:$C$503,(_calc!$E$627-500)))=0,"",INDEX('Vendor COIs'!$C$4:$C$503,(_calc!$E$627-500)))&amp;". ")&amp;IF(LEN(IF(LEN(INDEX('Vendor COIs'!$D$4:$D$503,(_calc!$E$627-500)))=0,"",INDEX('Vendor COIs'!$D$4:$D$503,(_calc!$E$627-500))))=0,"","Policy no.: "&amp;IF(LEN(INDEX('Vendor COIs'!$D$4:$D$503,(_calc!$E$627-500)))=0,"",INDEX('Vendor COIs'!$D$4:$D$503,(_calc!$E$627-500)))&amp;". ")&amp;IF(LEN(IF(LEN(INDEX('Vendor COIs'!$F$4:$F$503,(_calc!$E$627-500)))=0,"",INDEX('Vendor COIs'!$F$4:$F$503,(_calc!$E$627-500))))=0,"","Meets minimum: "&amp;IF(LEN(INDEX('Vendor COIs'!$F$4:$F$503,(_calc!$E$627-500)))=0,"",INDEX('Vendor COIs'!$F$4:$F$503,(_calc!$E$627-500)))&amp;". ")&amp;IF(LEN(IF(LEN(INDEX('Vendor COIs'!$G$4:$G$503,(_calc!$E$627-500)))=0,"",INDEX('Vendor COIs'!$G$4:$G$503,(_calc!$E$627-500))))=0,"","Additional insured: "&amp;IF(LEN(INDEX('Vendor COIs'!$G$4:$G$503,(_calc!$E$627-500)))=0,"",INDEX('Vendor COIs'!$G$4:$G$503,(_calc!$E$627-500)))&amp;". ")&amp;IF(LEN(IF(LEN(INDEX('Vendor COIs'!$M$4:$M$503,(_calc!$E$627-500)))=0,"",INDEX('Vendor COIs'!$M$4:$M$503,(_calc!$E$627-500))))=0,"","Vendor contact: "&amp;IF(LEN(INDEX('Vendor COIs'!$M$4:$M$503,(_calc!$E$627-500)))=0,"",INDEX('Vendor COIs'!$M$4:$M$503,(_calc!$E$627-500)))&amp;". ")&amp;IF(LEN(IF(LEN(INDEX('Vendor COIs'!$P$4:$P$503,(_calc!$E$627-500)))=0,"",INDEX('Vendor COIs'!$P$4:$P$503,(_calc!$E$627-500))))=0,"",IF(LEN(INDEX('Vendor COIs'!$P$4:$P$503,(_calc!$E$627-500)))=0,"",INDEX('Vendor COIs'!$P$4:$P$503,(_calc!$E$627-500)))))))</f>
        <v/>
      </c>
      <c r="G625" s="46">
        <f>IF(_calc!$E$627="","",IF(_calc!$E$627&lt;=500,IF(LEN(INDEX('Our policies'!$R$4:$R$503,_calc!$E$627))=0,"",INDEX('Our policies'!$R$4:$R$503,_calc!$E$627)),IF(LEN(INDEX('Vendor COIs'!$O$4:$O$503,(_calc!$E$627-500)))=0,"",INDEX('Vendor COIs'!$O$4:$O$503,(_calc!$E$627-500)))))</f>
        <v/>
      </c>
      <c r="H625" s="46">
        <f>IF(_calc!$E$627="","",IF(_calc!$E$627&lt;=500,IF(LEN(INDEX('Our policies'!$G$4:$G$503,_calc!$E$627))=0,"",INDEX('Our policies'!$G$4:$G$503,_calc!$E$627)),""))</f>
        <v/>
      </c>
      <c r="I625" s="46">
        <f>IF(_calc!$E$627="","",IF(_calc!$E$627&lt;=500,IF(LEN(INDEX('Our policies'!$H$4:$H$503,_calc!$E$627))=0,"",INDEX('Our policies'!$H$4:$H$503,_calc!$E$627)),""))</f>
        <v/>
      </c>
      <c r="K625" s="46">
        <f>IF(_calc!$E$627="","",IF(_calc!$E$627&lt;=500,IF(LEN(INDEX('Our policies'!$P$4:$P$503,_calc!$E$627))=0,"",INDEX('Our policies'!$P$4:$P$503,_calc!$E$627)),IF(LEN(INDEX('Vendor COIs'!$N$4:$N$503,(_calc!$E$627-500)))=0,"",INDEX('Vendor COIs'!$N$4:$N$503,(_calc!$E$627-500)))))</f>
        <v/>
      </c>
    </row>
    <row r="626">
      <c r="A626" s="46">
        <f>IF(_calc!$E$628="","",IF(_calc!$E$628&lt;=500,IF(LEN(INDEX('Our policies'!$A$4:$A$503,_calc!$E$628))=0,"",INDEX('Our policies'!$A$4:$A$503,_calc!$E$628)),"COI – "&amp;IF(LEN(INDEX('Vendor COIs'!$A$4:$A$503,(_calc!$E$628-500)))=0,"",INDEX('Vendor COIs'!$A$4:$A$503,(_calc!$E$628-500)))&amp;" – "&amp;IF(LEN(INDEX('Vendor COIs'!$B$4:$B$503,(_calc!$E$628-500)))=0,"",INDEX('Vendor COIs'!$B$4:$B$503,(_calc!$E$628-500)))))</f>
        <v/>
      </c>
      <c r="B626" s="46">
        <f>IF(_calc!$E$628="","",IF(_calc!$E$628&lt;=500,IF(ISNUMBER(INDEX('Our policies'!$J$4:$J$503,_calc!$E$628)),TEXT(INDEX('Our policies'!$J$4:$J$503,_calc!$E$628),"yyyy-mm-dd"),""),IF(ISNUMBER(INDEX('Vendor COIs'!$H$4:$H$503,(_calc!$E$628-500))),TEXT(INDEX('Vendor COIs'!$H$4:$H$503,(_calc!$E$628-500)),"yyyy-mm-dd"),"")))</f>
        <v/>
      </c>
      <c r="C626" s="46">
        <f>IF(_calc!$E$628="","",IF(_calc!$E$628&lt;=500,"Insurance","Certificate of insurance"))</f>
        <v/>
      </c>
      <c r="D626" s="46">
        <f>IF(_calc!$E$628="","",IF(_calc!$E$628&lt;=500,IF(ISNUMBER(INDEX('Our policies'!$I$4:$I$503,_calc!$E$628)),TEXT(INDEX('Our policies'!$I$4:$I$503,_calc!$E$628),"yyyy-mm-dd"),""),""))</f>
        <v/>
      </c>
      <c r="E626" s="46">
        <f>IF(_calc!$E$628="","",IF(_calc!$E$628&lt;=500,IF(LEN(INDEX('Our policies'!$Q$4:$Q$503,_calc!$E$628))=0,"",INDEX('Our policies'!$Q$4:$Q$503,_calc!$E$628)),"Medium"))</f>
        <v/>
      </c>
      <c r="F626" s="46">
        <f>IF(_calc!$E$628="","",IF(_calc!$E$628&lt;=500,TRIM(IF(LEN(IF(LEN(INDEX('Our policies'!$B$4:$B$503,_calc!$E$628))=0,"",INDEX('Our policies'!$B$4:$B$503,_calc!$E$628)))=0,"","Cover: "&amp;IF(LEN(INDEX('Our policies'!$B$4:$B$503,_calc!$E$628))=0,"",INDEX('Our policies'!$B$4:$B$503,_calc!$E$628))&amp;". ")&amp;IF(LEN(IF(LEN(INDEX('Our policies'!$C$4:$C$503,_calc!$E$628))=0,"",INDEX('Our policies'!$C$4:$C$503,_calc!$E$628)))=0,"","Insurer: "&amp;IF(LEN(INDEX('Our policies'!$C$4:$C$503,_calc!$E$628))=0,"",INDEX('Our policies'!$C$4:$C$503,_calc!$E$628))&amp;". ")&amp;IF(LEN(IF(LEN(INDEX('Our policies'!$D$4:$D$503,_calc!$E$628))=0,"",INDEX('Our policies'!$D$4:$D$503,_calc!$E$628)))=0,"","Broker: "&amp;IF(LEN(INDEX('Our policies'!$D$4:$D$503,_calc!$E$628))=0,"",INDEX('Our policies'!$D$4:$D$503,_calc!$E$628))&amp;". ")&amp;IF(LEN(IF(LEN(INDEX('Our policies'!$E$4:$E$503,_calc!$E$628))=0,"",INDEX('Our policies'!$E$4:$E$503,_calc!$E$628)))=0,"","Policy no.: "&amp;IF(LEN(INDEX('Our policies'!$E$4:$E$503,_calc!$E$628))=0,"",INDEX('Our policies'!$E$4:$E$503,_calc!$E$628))&amp;". ")&amp;IF(LEN(IF(LEN(INDEX('Our policies'!$S$4:$S$503,_calc!$E$628))=0,"",INDEX('Our policies'!$S$4:$S$503,_calc!$E$628)))=0,"",IF(LEN(INDEX('Our policies'!$S$4:$S$503,_calc!$E$628))=0,"",INDEX('Our policies'!$S$4:$S$503,_calc!$E$628)))),TRIM(IF(LEN(IF(LEN(INDEX('Vendor COIs'!$C$4:$C$503,(_calc!$E$628-500)))=0,"",INDEX('Vendor COIs'!$C$4:$C$503,(_calc!$E$628-500))))=0,"","Insurer: "&amp;IF(LEN(INDEX('Vendor COIs'!$C$4:$C$503,(_calc!$E$628-500)))=0,"",INDEX('Vendor COIs'!$C$4:$C$503,(_calc!$E$628-500)))&amp;". ")&amp;IF(LEN(IF(LEN(INDEX('Vendor COIs'!$D$4:$D$503,(_calc!$E$628-500)))=0,"",INDEX('Vendor COIs'!$D$4:$D$503,(_calc!$E$628-500))))=0,"","Policy no.: "&amp;IF(LEN(INDEX('Vendor COIs'!$D$4:$D$503,(_calc!$E$628-500)))=0,"",INDEX('Vendor COIs'!$D$4:$D$503,(_calc!$E$628-500)))&amp;". ")&amp;IF(LEN(IF(LEN(INDEX('Vendor COIs'!$F$4:$F$503,(_calc!$E$628-500)))=0,"",INDEX('Vendor COIs'!$F$4:$F$503,(_calc!$E$628-500))))=0,"","Meets minimum: "&amp;IF(LEN(INDEX('Vendor COIs'!$F$4:$F$503,(_calc!$E$628-500)))=0,"",INDEX('Vendor COIs'!$F$4:$F$503,(_calc!$E$628-500)))&amp;". ")&amp;IF(LEN(IF(LEN(INDEX('Vendor COIs'!$G$4:$G$503,(_calc!$E$628-500)))=0,"",INDEX('Vendor COIs'!$G$4:$G$503,(_calc!$E$628-500))))=0,"","Additional insured: "&amp;IF(LEN(INDEX('Vendor COIs'!$G$4:$G$503,(_calc!$E$628-500)))=0,"",INDEX('Vendor COIs'!$G$4:$G$503,(_calc!$E$628-500)))&amp;". ")&amp;IF(LEN(IF(LEN(INDEX('Vendor COIs'!$M$4:$M$503,(_calc!$E$628-500)))=0,"",INDEX('Vendor COIs'!$M$4:$M$503,(_calc!$E$628-500))))=0,"","Vendor contact: "&amp;IF(LEN(INDEX('Vendor COIs'!$M$4:$M$503,(_calc!$E$628-500)))=0,"",INDEX('Vendor COIs'!$M$4:$M$503,(_calc!$E$628-500)))&amp;". ")&amp;IF(LEN(IF(LEN(INDEX('Vendor COIs'!$P$4:$P$503,(_calc!$E$628-500)))=0,"",INDEX('Vendor COIs'!$P$4:$P$503,(_calc!$E$628-500))))=0,"",IF(LEN(INDEX('Vendor COIs'!$P$4:$P$503,(_calc!$E$628-500)))=0,"",INDEX('Vendor COIs'!$P$4:$P$503,(_calc!$E$628-500)))))))</f>
        <v/>
      </c>
      <c r="G626" s="46">
        <f>IF(_calc!$E$628="","",IF(_calc!$E$628&lt;=500,IF(LEN(INDEX('Our policies'!$R$4:$R$503,_calc!$E$628))=0,"",INDEX('Our policies'!$R$4:$R$503,_calc!$E$628)),IF(LEN(INDEX('Vendor COIs'!$O$4:$O$503,(_calc!$E$628-500)))=0,"",INDEX('Vendor COIs'!$O$4:$O$503,(_calc!$E$628-500)))))</f>
        <v/>
      </c>
      <c r="H626" s="46">
        <f>IF(_calc!$E$628="","",IF(_calc!$E$628&lt;=500,IF(LEN(INDEX('Our policies'!$G$4:$G$503,_calc!$E$628))=0,"",INDEX('Our policies'!$G$4:$G$503,_calc!$E$628)),""))</f>
        <v/>
      </c>
      <c r="I626" s="46">
        <f>IF(_calc!$E$628="","",IF(_calc!$E$628&lt;=500,IF(LEN(INDEX('Our policies'!$H$4:$H$503,_calc!$E$628))=0,"",INDEX('Our policies'!$H$4:$H$503,_calc!$E$628)),""))</f>
        <v/>
      </c>
      <c r="K626" s="46">
        <f>IF(_calc!$E$628="","",IF(_calc!$E$628&lt;=500,IF(LEN(INDEX('Our policies'!$P$4:$P$503,_calc!$E$628))=0,"",INDEX('Our policies'!$P$4:$P$503,_calc!$E$628)),IF(LEN(INDEX('Vendor COIs'!$N$4:$N$503,(_calc!$E$628-500)))=0,"",INDEX('Vendor COIs'!$N$4:$N$503,(_calc!$E$628-500)))))</f>
        <v/>
      </c>
    </row>
    <row r="627">
      <c r="A627" s="46">
        <f>IF(_calc!$E$629="","",IF(_calc!$E$629&lt;=500,IF(LEN(INDEX('Our policies'!$A$4:$A$503,_calc!$E$629))=0,"",INDEX('Our policies'!$A$4:$A$503,_calc!$E$629)),"COI – "&amp;IF(LEN(INDEX('Vendor COIs'!$A$4:$A$503,(_calc!$E$629-500)))=0,"",INDEX('Vendor COIs'!$A$4:$A$503,(_calc!$E$629-500)))&amp;" – "&amp;IF(LEN(INDEX('Vendor COIs'!$B$4:$B$503,(_calc!$E$629-500)))=0,"",INDEX('Vendor COIs'!$B$4:$B$503,(_calc!$E$629-500)))))</f>
        <v/>
      </c>
      <c r="B627" s="46">
        <f>IF(_calc!$E$629="","",IF(_calc!$E$629&lt;=500,IF(ISNUMBER(INDEX('Our policies'!$J$4:$J$503,_calc!$E$629)),TEXT(INDEX('Our policies'!$J$4:$J$503,_calc!$E$629),"yyyy-mm-dd"),""),IF(ISNUMBER(INDEX('Vendor COIs'!$H$4:$H$503,(_calc!$E$629-500))),TEXT(INDEX('Vendor COIs'!$H$4:$H$503,(_calc!$E$629-500)),"yyyy-mm-dd"),"")))</f>
        <v/>
      </c>
      <c r="C627" s="46">
        <f>IF(_calc!$E$629="","",IF(_calc!$E$629&lt;=500,"Insurance","Certificate of insurance"))</f>
        <v/>
      </c>
      <c r="D627" s="46">
        <f>IF(_calc!$E$629="","",IF(_calc!$E$629&lt;=500,IF(ISNUMBER(INDEX('Our policies'!$I$4:$I$503,_calc!$E$629)),TEXT(INDEX('Our policies'!$I$4:$I$503,_calc!$E$629),"yyyy-mm-dd"),""),""))</f>
        <v/>
      </c>
      <c r="E627" s="46">
        <f>IF(_calc!$E$629="","",IF(_calc!$E$629&lt;=500,IF(LEN(INDEX('Our policies'!$Q$4:$Q$503,_calc!$E$629))=0,"",INDEX('Our policies'!$Q$4:$Q$503,_calc!$E$629)),"Medium"))</f>
        <v/>
      </c>
      <c r="F627" s="46">
        <f>IF(_calc!$E$629="","",IF(_calc!$E$629&lt;=500,TRIM(IF(LEN(IF(LEN(INDEX('Our policies'!$B$4:$B$503,_calc!$E$629))=0,"",INDEX('Our policies'!$B$4:$B$503,_calc!$E$629)))=0,"","Cover: "&amp;IF(LEN(INDEX('Our policies'!$B$4:$B$503,_calc!$E$629))=0,"",INDEX('Our policies'!$B$4:$B$503,_calc!$E$629))&amp;". ")&amp;IF(LEN(IF(LEN(INDEX('Our policies'!$C$4:$C$503,_calc!$E$629))=0,"",INDEX('Our policies'!$C$4:$C$503,_calc!$E$629)))=0,"","Insurer: "&amp;IF(LEN(INDEX('Our policies'!$C$4:$C$503,_calc!$E$629))=0,"",INDEX('Our policies'!$C$4:$C$503,_calc!$E$629))&amp;". ")&amp;IF(LEN(IF(LEN(INDEX('Our policies'!$D$4:$D$503,_calc!$E$629))=0,"",INDEX('Our policies'!$D$4:$D$503,_calc!$E$629)))=0,"","Broker: "&amp;IF(LEN(INDEX('Our policies'!$D$4:$D$503,_calc!$E$629))=0,"",INDEX('Our policies'!$D$4:$D$503,_calc!$E$629))&amp;". ")&amp;IF(LEN(IF(LEN(INDEX('Our policies'!$E$4:$E$503,_calc!$E$629))=0,"",INDEX('Our policies'!$E$4:$E$503,_calc!$E$629)))=0,"","Policy no.: "&amp;IF(LEN(INDEX('Our policies'!$E$4:$E$503,_calc!$E$629))=0,"",INDEX('Our policies'!$E$4:$E$503,_calc!$E$629))&amp;". ")&amp;IF(LEN(IF(LEN(INDEX('Our policies'!$S$4:$S$503,_calc!$E$629))=0,"",INDEX('Our policies'!$S$4:$S$503,_calc!$E$629)))=0,"",IF(LEN(INDEX('Our policies'!$S$4:$S$503,_calc!$E$629))=0,"",INDEX('Our policies'!$S$4:$S$503,_calc!$E$629)))),TRIM(IF(LEN(IF(LEN(INDEX('Vendor COIs'!$C$4:$C$503,(_calc!$E$629-500)))=0,"",INDEX('Vendor COIs'!$C$4:$C$503,(_calc!$E$629-500))))=0,"","Insurer: "&amp;IF(LEN(INDEX('Vendor COIs'!$C$4:$C$503,(_calc!$E$629-500)))=0,"",INDEX('Vendor COIs'!$C$4:$C$503,(_calc!$E$629-500)))&amp;". ")&amp;IF(LEN(IF(LEN(INDEX('Vendor COIs'!$D$4:$D$503,(_calc!$E$629-500)))=0,"",INDEX('Vendor COIs'!$D$4:$D$503,(_calc!$E$629-500))))=0,"","Policy no.: "&amp;IF(LEN(INDEX('Vendor COIs'!$D$4:$D$503,(_calc!$E$629-500)))=0,"",INDEX('Vendor COIs'!$D$4:$D$503,(_calc!$E$629-500)))&amp;". ")&amp;IF(LEN(IF(LEN(INDEX('Vendor COIs'!$F$4:$F$503,(_calc!$E$629-500)))=0,"",INDEX('Vendor COIs'!$F$4:$F$503,(_calc!$E$629-500))))=0,"","Meets minimum: "&amp;IF(LEN(INDEX('Vendor COIs'!$F$4:$F$503,(_calc!$E$629-500)))=0,"",INDEX('Vendor COIs'!$F$4:$F$503,(_calc!$E$629-500)))&amp;". ")&amp;IF(LEN(IF(LEN(INDEX('Vendor COIs'!$G$4:$G$503,(_calc!$E$629-500)))=0,"",INDEX('Vendor COIs'!$G$4:$G$503,(_calc!$E$629-500))))=0,"","Additional insured: "&amp;IF(LEN(INDEX('Vendor COIs'!$G$4:$G$503,(_calc!$E$629-500)))=0,"",INDEX('Vendor COIs'!$G$4:$G$503,(_calc!$E$629-500)))&amp;". ")&amp;IF(LEN(IF(LEN(INDEX('Vendor COIs'!$M$4:$M$503,(_calc!$E$629-500)))=0,"",INDEX('Vendor COIs'!$M$4:$M$503,(_calc!$E$629-500))))=0,"","Vendor contact: "&amp;IF(LEN(INDEX('Vendor COIs'!$M$4:$M$503,(_calc!$E$629-500)))=0,"",INDEX('Vendor COIs'!$M$4:$M$503,(_calc!$E$629-500)))&amp;". ")&amp;IF(LEN(IF(LEN(INDEX('Vendor COIs'!$P$4:$P$503,(_calc!$E$629-500)))=0,"",INDEX('Vendor COIs'!$P$4:$P$503,(_calc!$E$629-500))))=0,"",IF(LEN(INDEX('Vendor COIs'!$P$4:$P$503,(_calc!$E$629-500)))=0,"",INDEX('Vendor COIs'!$P$4:$P$503,(_calc!$E$629-500)))))))</f>
        <v/>
      </c>
      <c r="G627" s="46">
        <f>IF(_calc!$E$629="","",IF(_calc!$E$629&lt;=500,IF(LEN(INDEX('Our policies'!$R$4:$R$503,_calc!$E$629))=0,"",INDEX('Our policies'!$R$4:$R$503,_calc!$E$629)),IF(LEN(INDEX('Vendor COIs'!$O$4:$O$503,(_calc!$E$629-500)))=0,"",INDEX('Vendor COIs'!$O$4:$O$503,(_calc!$E$629-500)))))</f>
        <v/>
      </c>
      <c r="H627" s="46">
        <f>IF(_calc!$E$629="","",IF(_calc!$E$629&lt;=500,IF(LEN(INDEX('Our policies'!$G$4:$G$503,_calc!$E$629))=0,"",INDEX('Our policies'!$G$4:$G$503,_calc!$E$629)),""))</f>
        <v/>
      </c>
      <c r="I627" s="46">
        <f>IF(_calc!$E$629="","",IF(_calc!$E$629&lt;=500,IF(LEN(INDEX('Our policies'!$H$4:$H$503,_calc!$E$629))=0,"",INDEX('Our policies'!$H$4:$H$503,_calc!$E$629)),""))</f>
        <v/>
      </c>
      <c r="K627" s="46">
        <f>IF(_calc!$E$629="","",IF(_calc!$E$629&lt;=500,IF(LEN(INDEX('Our policies'!$P$4:$P$503,_calc!$E$629))=0,"",INDEX('Our policies'!$P$4:$P$503,_calc!$E$629)),IF(LEN(INDEX('Vendor COIs'!$N$4:$N$503,(_calc!$E$629-500)))=0,"",INDEX('Vendor COIs'!$N$4:$N$503,(_calc!$E$629-500)))))</f>
        <v/>
      </c>
    </row>
    <row r="628">
      <c r="A628" s="46">
        <f>IF(_calc!$E$630="","",IF(_calc!$E$630&lt;=500,IF(LEN(INDEX('Our policies'!$A$4:$A$503,_calc!$E$630))=0,"",INDEX('Our policies'!$A$4:$A$503,_calc!$E$630)),"COI – "&amp;IF(LEN(INDEX('Vendor COIs'!$A$4:$A$503,(_calc!$E$630-500)))=0,"",INDEX('Vendor COIs'!$A$4:$A$503,(_calc!$E$630-500)))&amp;" – "&amp;IF(LEN(INDEX('Vendor COIs'!$B$4:$B$503,(_calc!$E$630-500)))=0,"",INDEX('Vendor COIs'!$B$4:$B$503,(_calc!$E$630-500)))))</f>
        <v/>
      </c>
      <c r="B628" s="46">
        <f>IF(_calc!$E$630="","",IF(_calc!$E$630&lt;=500,IF(ISNUMBER(INDEX('Our policies'!$J$4:$J$503,_calc!$E$630)),TEXT(INDEX('Our policies'!$J$4:$J$503,_calc!$E$630),"yyyy-mm-dd"),""),IF(ISNUMBER(INDEX('Vendor COIs'!$H$4:$H$503,(_calc!$E$630-500))),TEXT(INDEX('Vendor COIs'!$H$4:$H$503,(_calc!$E$630-500)),"yyyy-mm-dd"),"")))</f>
        <v/>
      </c>
      <c r="C628" s="46">
        <f>IF(_calc!$E$630="","",IF(_calc!$E$630&lt;=500,"Insurance","Certificate of insurance"))</f>
        <v/>
      </c>
      <c r="D628" s="46">
        <f>IF(_calc!$E$630="","",IF(_calc!$E$630&lt;=500,IF(ISNUMBER(INDEX('Our policies'!$I$4:$I$503,_calc!$E$630)),TEXT(INDEX('Our policies'!$I$4:$I$503,_calc!$E$630),"yyyy-mm-dd"),""),""))</f>
        <v/>
      </c>
      <c r="E628" s="46">
        <f>IF(_calc!$E$630="","",IF(_calc!$E$630&lt;=500,IF(LEN(INDEX('Our policies'!$Q$4:$Q$503,_calc!$E$630))=0,"",INDEX('Our policies'!$Q$4:$Q$503,_calc!$E$630)),"Medium"))</f>
        <v/>
      </c>
      <c r="F628" s="46">
        <f>IF(_calc!$E$630="","",IF(_calc!$E$630&lt;=500,TRIM(IF(LEN(IF(LEN(INDEX('Our policies'!$B$4:$B$503,_calc!$E$630))=0,"",INDEX('Our policies'!$B$4:$B$503,_calc!$E$630)))=0,"","Cover: "&amp;IF(LEN(INDEX('Our policies'!$B$4:$B$503,_calc!$E$630))=0,"",INDEX('Our policies'!$B$4:$B$503,_calc!$E$630))&amp;". ")&amp;IF(LEN(IF(LEN(INDEX('Our policies'!$C$4:$C$503,_calc!$E$630))=0,"",INDEX('Our policies'!$C$4:$C$503,_calc!$E$630)))=0,"","Insurer: "&amp;IF(LEN(INDEX('Our policies'!$C$4:$C$503,_calc!$E$630))=0,"",INDEX('Our policies'!$C$4:$C$503,_calc!$E$630))&amp;". ")&amp;IF(LEN(IF(LEN(INDEX('Our policies'!$D$4:$D$503,_calc!$E$630))=0,"",INDEX('Our policies'!$D$4:$D$503,_calc!$E$630)))=0,"","Broker: "&amp;IF(LEN(INDEX('Our policies'!$D$4:$D$503,_calc!$E$630))=0,"",INDEX('Our policies'!$D$4:$D$503,_calc!$E$630))&amp;". ")&amp;IF(LEN(IF(LEN(INDEX('Our policies'!$E$4:$E$503,_calc!$E$630))=0,"",INDEX('Our policies'!$E$4:$E$503,_calc!$E$630)))=0,"","Policy no.: "&amp;IF(LEN(INDEX('Our policies'!$E$4:$E$503,_calc!$E$630))=0,"",INDEX('Our policies'!$E$4:$E$503,_calc!$E$630))&amp;". ")&amp;IF(LEN(IF(LEN(INDEX('Our policies'!$S$4:$S$503,_calc!$E$630))=0,"",INDEX('Our policies'!$S$4:$S$503,_calc!$E$630)))=0,"",IF(LEN(INDEX('Our policies'!$S$4:$S$503,_calc!$E$630))=0,"",INDEX('Our policies'!$S$4:$S$503,_calc!$E$630)))),TRIM(IF(LEN(IF(LEN(INDEX('Vendor COIs'!$C$4:$C$503,(_calc!$E$630-500)))=0,"",INDEX('Vendor COIs'!$C$4:$C$503,(_calc!$E$630-500))))=0,"","Insurer: "&amp;IF(LEN(INDEX('Vendor COIs'!$C$4:$C$503,(_calc!$E$630-500)))=0,"",INDEX('Vendor COIs'!$C$4:$C$503,(_calc!$E$630-500)))&amp;". ")&amp;IF(LEN(IF(LEN(INDEX('Vendor COIs'!$D$4:$D$503,(_calc!$E$630-500)))=0,"",INDEX('Vendor COIs'!$D$4:$D$503,(_calc!$E$630-500))))=0,"","Policy no.: "&amp;IF(LEN(INDEX('Vendor COIs'!$D$4:$D$503,(_calc!$E$630-500)))=0,"",INDEX('Vendor COIs'!$D$4:$D$503,(_calc!$E$630-500)))&amp;". ")&amp;IF(LEN(IF(LEN(INDEX('Vendor COIs'!$F$4:$F$503,(_calc!$E$630-500)))=0,"",INDEX('Vendor COIs'!$F$4:$F$503,(_calc!$E$630-500))))=0,"","Meets minimum: "&amp;IF(LEN(INDEX('Vendor COIs'!$F$4:$F$503,(_calc!$E$630-500)))=0,"",INDEX('Vendor COIs'!$F$4:$F$503,(_calc!$E$630-500)))&amp;". ")&amp;IF(LEN(IF(LEN(INDEX('Vendor COIs'!$G$4:$G$503,(_calc!$E$630-500)))=0,"",INDEX('Vendor COIs'!$G$4:$G$503,(_calc!$E$630-500))))=0,"","Additional insured: "&amp;IF(LEN(INDEX('Vendor COIs'!$G$4:$G$503,(_calc!$E$630-500)))=0,"",INDEX('Vendor COIs'!$G$4:$G$503,(_calc!$E$630-500)))&amp;". ")&amp;IF(LEN(IF(LEN(INDEX('Vendor COIs'!$M$4:$M$503,(_calc!$E$630-500)))=0,"",INDEX('Vendor COIs'!$M$4:$M$503,(_calc!$E$630-500))))=0,"","Vendor contact: "&amp;IF(LEN(INDEX('Vendor COIs'!$M$4:$M$503,(_calc!$E$630-500)))=0,"",INDEX('Vendor COIs'!$M$4:$M$503,(_calc!$E$630-500)))&amp;". ")&amp;IF(LEN(IF(LEN(INDEX('Vendor COIs'!$P$4:$P$503,(_calc!$E$630-500)))=0,"",INDEX('Vendor COIs'!$P$4:$P$503,(_calc!$E$630-500))))=0,"",IF(LEN(INDEX('Vendor COIs'!$P$4:$P$503,(_calc!$E$630-500)))=0,"",INDEX('Vendor COIs'!$P$4:$P$503,(_calc!$E$630-500)))))))</f>
        <v/>
      </c>
      <c r="G628" s="46">
        <f>IF(_calc!$E$630="","",IF(_calc!$E$630&lt;=500,IF(LEN(INDEX('Our policies'!$R$4:$R$503,_calc!$E$630))=0,"",INDEX('Our policies'!$R$4:$R$503,_calc!$E$630)),IF(LEN(INDEX('Vendor COIs'!$O$4:$O$503,(_calc!$E$630-500)))=0,"",INDEX('Vendor COIs'!$O$4:$O$503,(_calc!$E$630-500)))))</f>
        <v/>
      </c>
      <c r="H628" s="46">
        <f>IF(_calc!$E$630="","",IF(_calc!$E$630&lt;=500,IF(LEN(INDEX('Our policies'!$G$4:$G$503,_calc!$E$630))=0,"",INDEX('Our policies'!$G$4:$G$503,_calc!$E$630)),""))</f>
        <v/>
      </c>
      <c r="I628" s="46">
        <f>IF(_calc!$E$630="","",IF(_calc!$E$630&lt;=500,IF(LEN(INDEX('Our policies'!$H$4:$H$503,_calc!$E$630))=0,"",INDEX('Our policies'!$H$4:$H$503,_calc!$E$630)),""))</f>
        <v/>
      </c>
      <c r="K628" s="46">
        <f>IF(_calc!$E$630="","",IF(_calc!$E$630&lt;=500,IF(LEN(INDEX('Our policies'!$P$4:$P$503,_calc!$E$630))=0,"",INDEX('Our policies'!$P$4:$P$503,_calc!$E$630)),IF(LEN(INDEX('Vendor COIs'!$N$4:$N$503,(_calc!$E$630-500)))=0,"",INDEX('Vendor COIs'!$N$4:$N$503,(_calc!$E$630-500)))))</f>
        <v/>
      </c>
    </row>
    <row r="629">
      <c r="A629" s="46">
        <f>IF(_calc!$E$631="","",IF(_calc!$E$631&lt;=500,IF(LEN(INDEX('Our policies'!$A$4:$A$503,_calc!$E$631))=0,"",INDEX('Our policies'!$A$4:$A$503,_calc!$E$631)),"COI – "&amp;IF(LEN(INDEX('Vendor COIs'!$A$4:$A$503,(_calc!$E$631-500)))=0,"",INDEX('Vendor COIs'!$A$4:$A$503,(_calc!$E$631-500)))&amp;" – "&amp;IF(LEN(INDEX('Vendor COIs'!$B$4:$B$503,(_calc!$E$631-500)))=0,"",INDEX('Vendor COIs'!$B$4:$B$503,(_calc!$E$631-500)))))</f>
        <v/>
      </c>
      <c r="B629" s="46">
        <f>IF(_calc!$E$631="","",IF(_calc!$E$631&lt;=500,IF(ISNUMBER(INDEX('Our policies'!$J$4:$J$503,_calc!$E$631)),TEXT(INDEX('Our policies'!$J$4:$J$503,_calc!$E$631),"yyyy-mm-dd"),""),IF(ISNUMBER(INDEX('Vendor COIs'!$H$4:$H$503,(_calc!$E$631-500))),TEXT(INDEX('Vendor COIs'!$H$4:$H$503,(_calc!$E$631-500)),"yyyy-mm-dd"),"")))</f>
        <v/>
      </c>
      <c r="C629" s="46">
        <f>IF(_calc!$E$631="","",IF(_calc!$E$631&lt;=500,"Insurance","Certificate of insurance"))</f>
        <v/>
      </c>
      <c r="D629" s="46">
        <f>IF(_calc!$E$631="","",IF(_calc!$E$631&lt;=500,IF(ISNUMBER(INDEX('Our policies'!$I$4:$I$503,_calc!$E$631)),TEXT(INDEX('Our policies'!$I$4:$I$503,_calc!$E$631),"yyyy-mm-dd"),""),""))</f>
        <v/>
      </c>
      <c r="E629" s="46">
        <f>IF(_calc!$E$631="","",IF(_calc!$E$631&lt;=500,IF(LEN(INDEX('Our policies'!$Q$4:$Q$503,_calc!$E$631))=0,"",INDEX('Our policies'!$Q$4:$Q$503,_calc!$E$631)),"Medium"))</f>
        <v/>
      </c>
      <c r="F629" s="46">
        <f>IF(_calc!$E$631="","",IF(_calc!$E$631&lt;=500,TRIM(IF(LEN(IF(LEN(INDEX('Our policies'!$B$4:$B$503,_calc!$E$631))=0,"",INDEX('Our policies'!$B$4:$B$503,_calc!$E$631)))=0,"","Cover: "&amp;IF(LEN(INDEX('Our policies'!$B$4:$B$503,_calc!$E$631))=0,"",INDEX('Our policies'!$B$4:$B$503,_calc!$E$631))&amp;". ")&amp;IF(LEN(IF(LEN(INDEX('Our policies'!$C$4:$C$503,_calc!$E$631))=0,"",INDEX('Our policies'!$C$4:$C$503,_calc!$E$631)))=0,"","Insurer: "&amp;IF(LEN(INDEX('Our policies'!$C$4:$C$503,_calc!$E$631))=0,"",INDEX('Our policies'!$C$4:$C$503,_calc!$E$631))&amp;". ")&amp;IF(LEN(IF(LEN(INDEX('Our policies'!$D$4:$D$503,_calc!$E$631))=0,"",INDEX('Our policies'!$D$4:$D$503,_calc!$E$631)))=0,"","Broker: "&amp;IF(LEN(INDEX('Our policies'!$D$4:$D$503,_calc!$E$631))=0,"",INDEX('Our policies'!$D$4:$D$503,_calc!$E$631))&amp;". ")&amp;IF(LEN(IF(LEN(INDEX('Our policies'!$E$4:$E$503,_calc!$E$631))=0,"",INDEX('Our policies'!$E$4:$E$503,_calc!$E$631)))=0,"","Policy no.: "&amp;IF(LEN(INDEX('Our policies'!$E$4:$E$503,_calc!$E$631))=0,"",INDEX('Our policies'!$E$4:$E$503,_calc!$E$631))&amp;". ")&amp;IF(LEN(IF(LEN(INDEX('Our policies'!$S$4:$S$503,_calc!$E$631))=0,"",INDEX('Our policies'!$S$4:$S$503,_calc!$E$631)))=0,"",IF(LEN(INDEX('Our policies'!$S$4:$S$503,_calc!$E$631))=0,"",INDEX('Our policies'!$S$4:$S$503,_calc!$E$631)))),TRIM(IF(LEN(IF(LEN(INDEX('Vendor COIs'!$C$4:$C$503,(_calc!$E$631-500)))=0,"",INDEX('Vendor COIs'!$C$4:$C$503,(_calc!$E$631-500))))=0,"","Insurer: "&amp;IF(LEN(INDEX('Vendor COIs'!$C$4:$C$503,(_calc!$E$631-500)))=0,"",INDEX('Vendor COIs'!$C$4:$C$503,(_calc!$E$631-500)))&amp;". ")&amp;IF(LEN(IF(LEN(INDEX('Vendor COIs'!$D$4:$D$503,(_calc!$E$631-500)))=0,"",INDEX('Vendor COIs'!$D$4:$D$503,(_calc!$E$631-500))))=0,"","Policy no.: "&amp;IF(LEN(INDEX('Vendor COIs'!$D$4:$D$503,(_calc!$E$631-500)))=0,"",INDEX('Vendor COIs'!$D$4:$D$503,(_calc!$E$631-500)))&amp;". ")&amp;IF(LEN(IF(LEN(INDEX('Vendor COIs'!$F$4:$F$503,(_calc!$E$631-500)))=0,"",INDEX('Vendor COIs'!$F$4:$F$503,(_calc!$E$631-500))))=0,"","Meets minimum: "&amp;IF(LEN(INDEX('Vendor COIs'!$F$4:$F$503,(_calc!$E$631-500)))=0,"",INDEX('Vendor COIs'!$F$4:$F$503,(_calc!$E$631-500)))&amp;". ")&amp;IF(LEN(IF(LEN(INDEX('Vendor COIs'!$G$4:$G$503,(_calc!$E$631-500)))=0,"",INDEX('Vendor COIs'!$G$4:$G$503,(_calc!$E$631-500))))=0,"","Additional insured: "&amp;IF(LEN(INDEX('Vendor COIs'!$G$4:$G$503,(_calc!$E$631-500)))=0,"",INDEX('Vendor COIs'!$G$4:$G$503,(_calc!$E$631-500)))&amp;". ")&amp;IF(LEN(IF(LEN(INDEX('Vendor COIs'!$M$4:$M$503,(_calc!$E$631-500)))=0,"",INDEX('Vendor COIs'!$M$4:$M$503,(_calc!$E$631-500))))=0,"","Vendor contact: "&amp;IF(LEN(INDEX('Vendor COIs'!$M$4:$M$503,(_calc!$E$631-500)))=0,"",INDEX('Vendor COIs'!$M$4:$M$503,(_calc!$E$631-500)))&amp;". ")&amp;IF(LEN(IF(LEN(INDEX('Vendor COIs'!$P$4:$P$503,(_calc!$E$631-500)))=0,"",INDEX('Vendor COIs'!$P$4:$P$503,(_calc!$E$631-500))))=0,"",IF(LEN(INDEX('Vendor COIs'!$P$4:$P$503,(_calc!$E$631-500)))=0,"",INDEX('Vendor COIs'!$P$4:$P$503,(_calc!$E$631-500)))))))</f>
        <v/>
      </c>
      <c r="G629" s="46">
        <f>IF(_calc!$E$631="","",IF(_calc!$E$631&lt;=500,IF(LEN(INDEX('Our policies'!$R$4:$R$503,_calc!$E$631))=0,"",INDEX('Our policies'!$R$4:$R$503,_calc!$E$631)),IF(LEN(INDEX('Vendor COIs'!$O$4:$O$503,(_calc!$E$631-500)))=0,"",INDEX('Vendor COIs'!$O$4:$O$503,(_calc!$E$631-500)))))</f>
        <v/>
      </c>
      <c r="H629" s="46">
        <f>IF(_calc!$E$631="","",IF(_calc!$E$631&lt;=500,IF(LEN(INDEX('Our policies'!$G$4:$G$503,_calc!$E$631))=0,"",INDEX('Our policies'!$G$4:$G$503,_calc!$E$631)),""))</f>
        <v/>
      </c>
      <c r="I629" s="46">
        <f>IF(_calc!$E$631="","",IF(_calc!$E$631&lt;=500,IF(LEN(INDEX('Our policies'!$H$4:$H$503,_calc!$E$631))=0,"",INDEX('Our policies'!$H$4:$H$503,_calc!$E$631)),""))</f>
        <v/>
      </c>
      <c r="K629" s="46">
        <f>IF(_calc!$E$631="","",IF(_calc!$E$631&lt;=500,IF(LEN(INDEX('Our policies'!$P$4:$P$503,_calc!$E$631))=0,"",INDEX('Our policies'!$P$4:$P$503,_calc!$E$631)),IF(LEN(INDEX('Vendor COIs'!$N$4:$N$503,(_calc!$E$631-500)))=0,"",INDEX('Vendor COIs'!$N$4:$N$503,(_calc!$E$631-500)))))</f>
        <v/>
      </c>
    </row>
    <row r="630">
      <c r="A630" s="46">
        <f>IF(_calc!$E$632="","",IF(_calc!$E$632&lt;=500,IF(LEN(INDEX('Our policies'!$A$4:$A$503,_calc!$E$632))=0,"",INDEX('Our policies'!$A$4:$A$503,_calc!$E$632)),"COI – "&amp;IF(LEN(INDEX('Vendor COIs'!$A$4:$A$503,(_calc!$E$632-500)))=0,"",INDEX('Vendor COIs'!$A$4:$A$503,(_calc!$E$632-500)))&amp;" – "&amp;IF(LEN(INDEX('Vendor COIs'!$B$4:$B$503,(_calc!$E$632-500)))=0,"",INDEX('Vendor COIs'!$B$4:$B$503,(_calc!$E$632-500)))))</f>
        <v/>
      </c>
      <c r="B630" s="46">
        <f>IF(_calc!$E$632="","",IF(_calc!$E$632&lt;=500,IF(ISNUMBER(INDEX('Our policies'!$J$4:$J$503,_calc!$E$632)),TEXT(INDEX('Our policies'!$J$4:$J$503,_calc!$E$632),"yyyy-mm-dd"),""),IF(ISNUMBER(INDEX('Vendor COIs'!$H$4:$H$503,(_calc!$E$632-500))),TEXT(INDEX('Vendor COIs'!$H$4:$H$503,(_calc!$E$632-500)),"yyyy-mm-dd"),"")))</f>
        <v/>
      </c>
      <c r="C630" s="46">
        <f>IF(_calc!$E$632="","",IF(_calc!$E$632&lt;=500,"Insurance","Certificate of insurance"))</f>
        <v/>
      </c>
      <c r="D630" s="46">
        <f>IF(_calc!$E$632="","",IF(_calc!$E$632&lt;=500,IF(ISNUMBER(INDEX('Our policies'!$I$4:$I$503,_calc!$E$632)),TEXT(INDEX('Our policies'!$I$4:$I$503,_calc!$E$632),"yyyy-mm-dd"),""),""))</f>
        <v/>
      </c>
      <c r="E630" s="46">
        <f>IF(_calc!$E$632="","",IF(_calc!$E$632&lt;=500,IF(LEN(INDEX('Our policies'!$Q$4:$Q$503,_calc!$E$632))=0,"",INDEX('Our policies'!$Q$4:$Q$503,_calc!$E$632)),"Medium"))</f>
        <v/>
      </c>
      <c r="F630" s="46">
        <f>IF(_calc!$E$632="","",IF(_calc!$E$632&lt;=500,TRIM(IF(LEN(IF(LEN(INDEX('Our policies'!$B$4:$B$503,_calc!$E$632))=0,"",INDEX('Our policies'!$B$4:$B$503,_calc!$E$632)))=0,"","Cover: "&amp;IF(LEN(INDEX('Our policies'!$B$4:$B$503,_calc!$E$632))=0,"",INDEX('Our policies'!$B$4:$B$503,_calc!$E$632))&amp;". ")&amp;IF(LEN(IF(LEN(INDEX('Our policies'!$C$4:$C$503,_calc!$E$632))=0,"",INDEX('Our policies'!$C$4:$C$503,_calc!$E$632)))=0,"","Insurer: "&amp;IF(LEN(INDEX('Our policies'!$C$4:$C$503,_calc!$E$632))=0,"",INDEX('Our policies'!$C$4:$C$503,_calc!$E$632))&amp;". ")&amp;IF(LEN(IF(LEN(INDEX('Our policies'!$D$4:$D$503,_calc!$E$632))=0,"",INDEX('Our policies'!$D$4:$D$503,_calc!$E$632)))=0,"","Broker: "&amp;IF(LEN(INDEX('Our policies'!$D$4:$D$503,_calc!$E$632))=0,"",INDEX('Our policies'!$D$4:$D$503,_calc!$E$632))&amp;". ")&amp;IF(LEN(IF(LEN(INDEX('Our policies'!$E$4:$E$503,_calc!$E$632))=0,"",INDEX('Our policies'!$E$4:$E$503,_calc!$E$632)))=0,"","Policy no.: "&amp;IF(LEN(INDEX('Our policies'!$E$4:$E$503,_calc!$E$632))=0,"",INDEX('Our policies'!$E$4:$E$503,_calc!$E$632))&amp;". ")&amp;IF(LEN(IF(LEN(INDEX('Our policies'!$S$4:$S$503,_calc!$E$632))=0,"",INDEX('Our policies'!$S$4:$S$503,_calc!$E$632)))=0,"",IF(LEN(INDEX('Our policies'!$S$4:$S$503,_calc!$E$632))=0,"",INDEX('Our policies'!$S$4:$S$503,_calc!$E$632)))),TRIM(IF(LEN(IF(LEN(INDEX('Vendor COIs'!$C$4:$C$503,(_calc!$E$632-500)))=0,"",INDEX('Vendor COIs'!$C$4:$C$503,(_calc!$E$632-500))))=0,"","Insurer: "&amp;IF(LEN(INDEX('Vendor COIs'!$C$4:$C$503,(_calc!$E$632-500)))=0,"",INDEX('Vendor COIs'!$C$4:$C$503,(_calc!$E$632-500)))&amp;". ")&amp;IF(LEN(IF(LEN(INDEX('Vendor COIs'!$D$4:$D$503,(_calc!$E$632-500)))=0,"",INDEX('Vendor COIs'!$D$4:$D$503,(_calc!$E$632-500))))=0,"","Policy no.: "&amp;IF(LEN(INDEX('Vendor COIs'!$D$4:$D$503,(_calc!$E$632-500)))=0,"",INDEX('Vendor COIs'!$D$4:$D$503,(_calc!$E$632-500)))&amp;". ")&amp;IF(LEN(IF(LEN(INDEX('Vendor COIs'!$F$4:$F$503,(_calc!$E$632-500)))=0,"",INDEX('Vendor COIs'!$F$4:$F$503,(_calc!$E$632-500))))=0,"","Meets minimum: "&amp;IF(LEN(INDEX('Vendor COIs'!$F$4:$F$503,(_calc!$E$632-500)))=0,"",INDEX('Vendor COIs'!$F$4:$F$503,(_calc!$E$632-500)))&amp;". ")&amp;IF(LEN(IF(LEN(INDEX('Vendor COIs'!$G$4:$G$503,(_calc!$E$632-500)))=0,"",INDEX('Vendor COIs'!$G$4:$G$503,(_calc!$E$632-500))))=0,"","Additional insured: "&amp;IF(LEN(INDEX('Vendor COIs'!$G$4:$G$503,(_calc!$E$632-500)))=0,"",INDEX('Vendor COIs'!$G$4:$G$503,(_calc!$E$632-500)))&amp;". ")&amp;IF(LEN(IF(LEN(INDEX('Vendor COIs'!$M$4:$M$503,(_calc!$E$632-500)))=0,"",INDEX('Vendor COIs'!$M$4:$M$503,(_calc!$E$632-500))))=0,"","Vendor contact: "&amp;IF(LEN(INDEX('Vendor COIs'!$M$4:$M$503,(_calc!$E$632-500)))=0,"",INDEX('Vendor COIs'!$M$4:$M$503,(_calc!$E$632-500)))&amp;". ")&amp;IF(LEN(IF(LEN(INDEX('Vendor COIs'!$P$4:$P$503,(_calc!$E$632-500)))=0,"",INDEX('Vendor COIs'!$P$4:$P$503,(_calc!$E$632-500))))=0,"",IF(LEN(INDEX('Vendor COIs'!$P$4:$P$503,(_calc!$E$632-500)))=0,"",INDEX('Vendor COIs'!$P$4:$P$503,(_calc!$E$632-500)))))))</f>
        <v/>
      </c>
      <c r="G630" s="46">
        <f>IF(_calc!$E$632="","",IF(_calc!$E$632&lt;=500,IF(LEN(INDEX('Our policies'!$R$4:$R$503,_calc!$E$632))=0,"",INDEX('Our policies'!$R$4:$R$503,_calc!$E$632)),IF(LEN(INDEX('Vendor COIs'!$O$4:$O$503,(_calc!$E$632-500)))=0,"",INDEX('Vendor COIs'!$O$4:$O$503,(_calc!$E$632-500)))))</f>
        <v/>
      </c>
      <c r="H630" s="46">
        <f>IF(_calc!$E$632="","",IF(_calc!$E$632&lt;=500,IF(LEN(INDEX('Our policies'!$G$4:$G$503,_calc!$E$632))=0,"",INDEX('Our policies'!$G$4:$G$503,_calc!$E$632)),""))</f>
        <v/>
      </c>
      <c r="I630" s="46">
        <f>IF(_calc!$E$632="","",IF(_calc!$E$632&lt;=500,IF(LEN(INDEX('Our policies'!$H$4:$H$503,_calc!$E$632))=0,"",INDEX('Our policies'!$H$4:$H$503,_calc!$E$632)),""))</f>
        <v/>
      </c>
      <c r="K630" s="46">
        <f>IF(_calc!$E$632="","",IF(_calc!$E$632&lt;=500,IF(LEN(INDEX('Our policies'!$P$4:$P$503,_calc!$E$632))=0,"",INDEX('Our policies'!$P$4:$P$503,_calc!$E$632)),IF(LEN(INDEX('Vendor COIs'!$N$4:$N$503,(_calc!$E$632-500)))=0,"",INDEX('Vendor COIs'!$N$4:$N$503,(_calc!$E$632-500)))))</f>
        <v/>
      </c>
    </row>
    <row r="631">
      <c r="A631" s="46">
        <f>IF(_calc!$E$633="","",IF(_calc!$E$633&lt;=500,IF(LEN(INDEX('Our policies'!$A$4:$A$503,_calc!$E$633))=0,"",INDEX('Our policies'!$A$4:$A$503,_calc!$E$633)),"COI – "&amp;IF(LEN(INDEX('Vendor COIs'!$A$4:$A$503,(_calc!$E$633-500)))=0,"",INDEX('Vendor COIs'!$A$4:$A$503,(_calc!$E$633-500)))&amp;" – "&amp;IF(LEN(INDEX('Vendor COIs'!$B$4:$B$503,(_calc!$E$633-500)))=0,"",INDEX('Vendor COIs'!$B$4:$B$503,(_calc!$E$633-500)))))</f>
        <v/>
      </c>
      <c r="B631" s="46">
        <f>IF(_calc!$E$633="","",IF(_calc!$E$633&lt;=500,IF(ISNUMBER(INDEX('Our policies'!$J$4:$J$503,_calc!$E$633)),TEXT(INDEX('Our policies'!$J$4:$J$503,_calc!$E$633),"yyyy-mm-dd"),""),IF(ISNUMBER(INDEX('Vendor COIs'!$H$4:$H$503,(_calc!$E$633-500))),TEXT(INDEX('Vendor COIs'!$H$4:$H$503,(_calc!$E$633-500)),"yyyy-mm-dd"),"")))</f>
        <v/>
      </c>
      <c r="C631" s="46">
        <f>IF(_calc!$E$633="","",IF(_calc!$E$633&lt;=500,"Insurance","Certificate of insurance"))</f>
        <v/>
      </c>
      <c r="D631" s="46">
        <f>IF(_calc!$E$633="","",IF(_calc!$E$633&lt;=500,IF(ISNUMBER(INDEX('Our policies'!$I$4:$I$503,_calc!$E$633)),TEXT(INDEX('Our policies'!$I$4:$I$503,_calc!$E$633),"yyyy-mm-dd"),""),""))</f>
        <v/>
      </c>
      <c r="E631" s="46">
        <f>IF(_calc!$E$633="","",IF(_calc!$E$633&lt;=500,IF(LEN(INDEX('Our policies'!$Q$4:$Q$503,_calc!$E$633))=0,"",INDEX('Our policies'!$Q$4:$Q$503,_calc!$E$633)),"Medium"))</f>
        <v/>
      </c>
      <c r="F631" s="46">
        <f>IF(_calc!$E$633="","",IF(_calc!$E$633&lt;=500,TRIM(IF(LEN(IF(LEN(INDEX('Our policies'!$B$4:$B$503,_calc!$E$633))=0,"",INDEX('Our policies'!$B$4:$B$503,_calc!$E$633)))=0,"","Cover: "&amp;IF(LEN(INDEX('Our policies'!$B$4:$B$503,_calc!$E$633))=0,"",INDEX('Our policies'!$B$4:$B$503,_calc!$E$633))&amp;". ")&amp;IF(LEN(IF(LEN(INDEX('Our policies'!$C$4:$C$503,_calc!$E$633))=0,"",INDEX('Our policies'!$C$4:$C$503,_calc!$E$633)))=0,"","Insurer: "&amp;IF(LEN(INDEX('Our policies'!$C$4:$C$503,_calc!$E$633))=0,"",INDEX('Our policies'!$C$4:$C$503,_calc!$E$633))&amp;". ")&amp;IF(LEN(IF(LEN(INDEX('Our policies'!$D$4:$D$503,_calc!$E$633))=0,"",INDEX('Our policies'!$D$4:$D$503,_calc!$E$633)))=0,"","Broker: "&amp;IF(LEN(INDEX('Our policies'!$D$4:$D$503,_calc!$E$633))=0,"",INDEX('Our policies'!$D$4:$D$503,_calc!$E$633))&amp;". ")&amp;IF(LEN(IF(LEN(INDEX('Our policies'!$E$4:$E$503,_calc!$E$633))=0,"",INDEX('Our policies'!$E$4:$E$503,_calc!$E$633)))=0,"","Policy no.: "&amp;IF(LEN(INDEX('Our policies'!$E$4:$E$503,_calc!$E$633))=0,"",INDEX('Our policies'!$E$4:$E$503,_calc!$E$633))&amp;". ")&amp;IF(LEN(IF(LEN(INDEX('Our policies'!$S$4:$S$503,_calc!$E$633))=0,"",INDEX('Our policies'!$S$4:$S$503,_calc!$E$633)))=0,"",IF(LEN(INDEX('Our policies'!$S$4:$S$503,_calc!$E$633))=0,"",INDEX('Our policies'!$S$4:$S$503,_calc!$E$633)))),TRIM(IF(LEN(IF(LEN(INDEX('Vendor COIs'!$C$4:$C$503,(_calc!$E$633-500)))=0,"",INDEX('Vendor COIs'!$C$4:$C$503,(_calc!$E$633-500))))=0,"","Insurer: "&amp;IF(LEN(INDEX('Vendor COIs'!$C$4:$C$503,(_calc!$E$633-500)))=0,"",INDEX('Vendor COIs'!$C$4:$C$503,(_calc!$E$633-500)))&amp;". ")&amp;IF(LEN(IF(LEN(INDEX('Vendor COIs'!$D$4:$D$503,(_calc!$E$633-500)))=0,"",INDEX('Vendor COIs'!$D$4:$D$503,(_calc!$E$633-500))))=0,"","Policy no.: "&amp;IF(LEN(INDEX('Vendor COIs'!$D$4:$D$503,(_calc!$E$633-500)))=0,"",INDEX('Vendor COIs'!$D$4:$D$503,(_calc!$E$633-500)))&amp;". ")&amp;IF(LEN(IF(LEN(INDEX('Vendor COIs'!$F$4:$F$503,(_calc!$E$633-500)))=0,"",INDEX('Vendor COIs'!$F$4:$F$503,(_calc!$E$633-500))))=0,"","Meets minimum: "&amp;IF(LEN(INDEX('Vendor COIs'!$F$4:$F$503,(_calc!$E$633-500)))=0,"",INDEX('Vendor COIs'!$F$4:$F$503,(_calc!$E$633-500)))&amp;". ")&amp;IF(LEN(IF(LEN(INDEX('Vendor COIs'!$G$4:$G$503,(_calc!$E$633-500)))=0,"",INDEX('Vendor COIs'!$G$4:$G$503,(_calc!$E$633-500))))=0,"","Additional insured: "&amp;IF(LEN(INDEX('Vendor COIs'!$G$4:$G$503,(_calc!$E$633-500)))=0,"",INDEX('Vendor COIs'!$G$4:$G$503,(_calc!$E$633-500)))&amp;". ")&amp;IF(LEN(IF(LEN(INDEX('Vendor COIs'!$M$4:$M$503,(_calc!$E$633-500)))=0,"",INDEX('Vendor COIs'!$M$4:$M$503,(_calc!$E$633-500))))=0,"","Vendor contact: "&amp;IF(LEN(INDEX('Vendor COIs'!$M$4:$M$503,(_calc!$E$633-500)))=0,"",INDEX('Vendor COIs'!$M$4:$M$503,(_calc!$E$633-500)))&amp;". ")&amp;IF(LEN(IF(LEN(INDEX('Vendor COIs'!$P$4:$P$503,(_calc!$E$633-500)))=0,"",INDEX('Vendor COIs'!$P$4:$P$503,(_calc!$E$633-500))))=0,"",IF(LEN(INDEX('Vendor COIs'!$P$4:$P$503,(_calc!$E$633-500)))=0,"",INDEX('Vendor COIs'!$P$4:$P$503,(_calc!$E$633-500)))))))</f>
        <v/>
      </c>
      <c r="G631" s="46">
        <f>IF(_calc!$E$633="","",IF(_calc!$E$633&lt;=500,IF(LEN(INDEX('Our policies'!$R$4:$R$503,_calc!$E$633))=0,"",INDEX('Our policies'!$R$4:$R$503,_calc!$E$633)),IF(LEN(INDEX('Vendor COIs'!$O$4:$O$503,(_calc!$E$633-500)))=0,"",INDEX('Vendor COIs'!$O$4:$O$503,(_calc!$E$633-500)))))</f>
        <v/>
      </c>
      <c r="H631" s="46">
        <f>IF(_calc!$E$633="","",IF(_calc!$E$633&lt;=500,IF(LEN(INDEX('Our policies'!$G$4:$G$503,_calc!$E$633))=0,"",INDEX('Our policies'!$G$4:$G$503,_calc!$E$633)),""))</f>
        <v/>
      </c>
      <c r="I631" s="46">
        <f>IF(_calc!$E$633="","",IF(_calc!$E$633&lt;=500,IF(LEN(INDEX('Our policies'!$H$4:$H$503,_calc!$E$633))=0,"",INDEX('Our policies'!$H$4:$H$503,_calc!$E$633)),""))</f>
        <v/>
      </c>
      <c r="K631" s="46">
        <f>IF(_calc!$E$633="","",IF(_calc!$E$633&lt;=500,IF(LEN(INDEX('Our policies'!$P$4:$P$503,_calc!$E$633))=0,"",INDEX('Our policies'!$P$4:$P$503,_calc!$E$633)),IF(LEN(INDEX('Vendor COIs'!$N$4:$N$503,(_calc!$E$633-500)))=0,"",INDEX('Vendor COIs'!$N$4:$N$503,(_calc!$E$633-500)))))</f>
        <v/>
      </c>
    </row>
    <row r="632">
      <c r="A632" s="46">
        <f>IF(_calc!$E$634="","",IF(_calc!$E$634&lt;=500,IF(LEN(INDEX('Our policies'!$A$4:$A$503,_calc!$E$634))=0,"",INDEX('Our policies'!$A$4:$A$503,_calc!$E$634)),"COI – "&amp;IF(LEN(INDEX('Vendor COIs'!$A$4:$A$503,(_calc!$E$634-500)))=0,"",INDEX('Vendor COIs'!$A$4:$A$503,(_calc!$E$634-500)))&amp;" – "&amp;IF(LEN(INDEX('Vendor COIs'!$B$4:$B$503,(_calc!$E$634-500)))=0,"",INDEX('Vendor COIs'!$B$4:$B$503,(_calc!$E$634-500)))))</f>
        <v/>
      </c>
      <c r="B632" s="46">
        <f>IF(_calc!$E$634="","",IF(_calc!$E$634&lt;=500,IF(ISNUMBER(INDEX('Our policies'!$J$4:$J$503,_calc!$E$634)),TEXT(INDEX('Our policies'!$J$4:$J$503,_calc!$E$634),"yyyy-mm-dd"),""),IF(ISNUMBER(INDEX('Vendor COIs'!$H$4:$H$503,(_calc!$E$634-500))),TEXT(INDEX('Vendor COIs'!$H$4:$H$503,(_calc!$E$634-500)),"yyyy-mm-dd"),"")))</f>
        <v/>
      </c>
      <c r="C632" s="46">
        <f>IF(_calc!$E$634="","",IF(_calc!$E$634&lt;=500,"Insurance","Certificate of insurance"))</f>
        <v/>
      </c>
      <c r="D632" s="46">
        <f>IF(_calc!$E$634="","",IF(_calc!$E$634&lt;=500,IF(ISNUMBER(INDEX('Our policies'!$I$4:$I$503,_calc!$E$634)),TEXT(INDEX('Our policies'!$I$4:$I$503,_calc!$E$634),"yyyy-mm-dd"),""),""))</f>
        <v/>
      </c>
      <c r="E632" s="46">
        <f>IF(_calc!$E$634="","",IF(_calc!$E$634&lt;=500,IF(LEN(INDEX('Our policies'!$Q$4:$Q$503,_calc!$E$634))=0,"",INDEX('Our policies'!$Q$4:$Q$503,_calc!$E$634)),"Medium"))</f>
        <v/>
      </c>
      <c r="F632" s="46">
        <f>IF(_calc!$E$634="","",IF(_calc!$E$634&lt;=500,TRIM(IF(LEN(IF(LEN(INDEX('Our policies'!$B$4:$B$503,_calc!$E$634))=0,"",INDEX('Our policies'!$B$4:$B$503,_calc!$E$634)))=0,"","Cover: "&amp;IF(LEN(INDEX('Our policies'!$B$4:$B$503,_calc!$E$634))=0,"",INDEX('Our policies'!$B$4:$B$503,_calc!$E$634))&amp;". ")&amp;IF(LEN(IF(LEN(INDEX('Our policies'!$C$4:$C$503,_calc!$E$634))=0,"",INDEX('Our policies'!$C$4:$C$503,_calc!$E$634)))=0,"","Insurer: "&amp;IF(LEN(INDEX('Our policies'!$C$4:$C$503,_calc!$E$634))=0,"",INDEX('Our policies'!$C$4:$C$503,_calc!$E$634))&amp;". ")&amp;IF(LEN(IF(LEN(INDEX('Our policies'!$D$4:$D$503,_calc!$E$634))=0,"",INDEX('Our policies'!$D$4:$D$503,_calc!$E$634)))=0,"","Broker: "&amp;IF(LEN(INDEX('Our policies'!$D$4:$D$503,_calc!$E$634))=0,"",INDEX('Our policies'!$D$4:$D$503,_calc!$E$634))&amp;". ")&amp;IF(LEN(IF(LEN(INDEX('Our policies'!$E$4:$E$503,_calc!$E$634))=0,"",INDEX('Our policies'!$E$4:$E$503,_calc!$E$634)))=0,"","Policy no.: "&amp;IF(LEN(INDEX('Our policies'!$E$4:$E$503,_calc!$E$634))=0,"",INDEX('Our policies'!$E$4:$E$503,_calc!$E$634))&amp;". ")&amp;IF(LEN(IF(LEN(INDEX('Our policies'!$S$4:$S$503,_calc!$E$634))=0,"",INDEX('Our policies'!$S$4:$S$503,_calc!$E$634)))=0,"",IF(LEN(INDEX('Our policies'!$S$4:$S$503,_calc!$E$634))=0,"",INDEX('Our policies'!$S$4:$S$503,_calc!$E$634)))),TRIM(IF(LEN(IF(LEN(INDEX('Vendor COIs'!$C$4:$C$503,(_calc!$E$634-500)))=0,"",INDEX('Vendor COIs'!$C$4:$C$503,(_calc!$E$634-500))))=0,"","Insurer: "&amp;IF(LEN(INDEX('Vendor COIs'!$C$4:$C$503,(_calc!$E$634-500)))=0,"",INDEX('Vendor COIs'!$C$4:$C$503,(_calc!$E$634-500)))&amp;". ")&amp;IF(LEN(IF(LEN(INDEX('Vendor COIs'!$D$4:$D$503,(_calc!$E$634-500)))=0,"",INDEX('Vendor COIs'!$D$4:$D$503,(_calc!$E$634-500))))=0,"","Policy no.: "&amp;IF(LEN(INDEX('Vendor COIs'!$D$4:$D$503,(_calc!$E$634-500)))=0,"",INDEX('Vendor COIs'!$D$4:$D$503,(_calc!$E$634-500)))&amp;". ")&amp;IF(LEN(IF(LEN(INDEX('Vendor COIs'!$F$4:$F$503,(_calc!$E$634-500)))=0,"",INDEX('Vendor COIs'!$F$4:$F$503,(_calc!$E$634-500))))=0,"","Meets minimum: "&amp;IF(LEN(INDEX('Vendor COIs'!$F$4:$F$503,(_calc!$E$634-500)))=0,"",INDEX('Vendor COIs'!$F$4:$F$503,(_calc!$E$634-500)))&amp;". ")&amp;IF(LEN(IF(LEN(INDEX('Vendor COIs'!$G$4:$G$503,(_calc!$E$634-500)))=0,"",INDEX('Vendor COIs'!$G$4:$G$503,(_calc!$E$634-500))))=0,"","Additional insured: "&amp;IF(LEN(INDEX('Vendor COIs'!$G$4:$G$503,(_calc!$E$634-500)))=0,"",INDEX('Vendor COIs'!$G$4:$G$503,(_calc!$E$634-500)))&amp;". ")&amp;IF(LEN(IF(LEN(INDEX('Vendor COIs'!$M$4:$M$503,(_calc!$E$634-500)))=0,"",INDEX('Vendor COIs'!$M$4:$M$503,(_calc!$E$634-500))))=0,"","Vendor contact: "&amp;IF(LEN(INDEX('Vendor COIs'!$M$4:$M$503,(_calc!$E$634-500)))=0,"",INDEX('Vendor COIs'!$M$4:$M$503,(_calc!$E$634-500)))&amp;". ")&amp;IF(LEN(IF(LEN(INDEX('Vendor COIs'!$P$4:$P$503,(_calc!$E$634-500)))=0,"",INDEX('Vendor COIs'!$P$4:$P$503,(_calc!$E$634-500))))=0,"",IF(LEN(INDEX('Vendor COIs'!$P$4:$P$503,(_calc!$E$634-500)))=0,"",INDEX('Vendor COIs'!$P$4:$P$503,(_calc!$E$634-500)))))))</f>
        <v/>
      </c>
      <c r="G632" s="46">
        <f>IF(_calc!$E$634="","",IF(_calc!$E$634&lt;=500,IF(LEN(INDEX('Our policies'!$R$4:$R$503,_calc!$E$634))=0,"",INDEX('Our policies'!$R$4:$R$503,_calc!$E$634)),IF(LEN(INDEX('Vendor COIs'!$O$4:$O$503,(_calc!$E$634-500)))=0,"",INDEX('Vendor COIs'!$O$4:$O$503,(_calc!$E$634-500)))))</f>
        <v/>
      </c>
      <c r="H632" s="46">
        <f>IF(_calc!$E$634="","",IF(_calc!$E$634&lt;=500,IF(LEN(INDEX('Our policies'!$G$4:$G$503,_calc!$E$634))=0,"",INDEX('Our policies'!$G$4:$G$503,_calc!$E$634)),""))</f>
        <v/>
      </c>
      <c r="I632" s="46">
        <f>IF(_calc!$E$634="","",IF(_calc!$E$634&lt;=500,IF(LEN(INDEX('Our policies'!$H$4:$H$503,_calc!$E$634))=0,"",INDEX('Our policies'!$H$4:$H$503,_calc!$E$634)),""))</f>
        <v/>
      </c>
      <c r="K632" s="46">
        <f>IF(_calc!$E$634="","",IF(_calc!$E$634&lt;=500,IF(LEN(INDEX('Our policies'!$P$4:$P$503,_calc!$E$634))=0,"",INDEX('Our policies'!$P$4:$P$503,_calc!$E$634)),IF(LEN(INDEX('Vendor COIs'!$N$4:$N$503,(_calc!$E$634-500)))=0,"",INDEX('Vendor COIs'!$N$4:$N$503,(_calc!$E$634-500)))))</f>
        <v/>
      </c>
    </row>
    <row r="633">
      <c r="A633" s="46">
        <f>IF(_calc!$E$635="","",IF(_calc!$E$635&lt;=500,IF(LEN(INDEX('Our policies'!$A$4:$A$503,_calc!$E$635))=0,"",INDEX('Our policies'!$A$4:$A$503,_calc!$E$635)),"COI – "&amp;IF(LEN(INDEX('Vendor COIs'!$A$4:$A$503,(_calc!$E$635-500)))=0,"",INDEX('Vendor COIs'!$A$4:$A$503,(_calc!$E$635-500)))&amp;" – "&amp;IF(LEN(INDEX('Vendor COIs'!$B$4:$B$503,(_calc!$E$635-500)))=0,"",INDEX('Vendor COIs'!$B$4:$B$503,(_calc!$E$635-500)))))</f>
        <v/>
      </c>
      <c r="B633" s="46">
        <f>IF(_calc!$E$635="","",IF(_calc!$E$635&lt;=500,IF(ISNUMBER(INDEX('Our policies'!$J$4:$J$503,_calc!$E$635)),TEXT(INDEX('Our policies'!$J$4:$J$503,_calc!$E$635),"yyyy-mm-dd"),""),IF(ISNUMBER(INDEX('Vendor COIs'!$H$4:$H$503,(_calc!$E$635-500))),TEXT(INDEX('Vendor COIs'!$H$4:$H$503,(_calc!$E$635-500)),"yyyy-mm-dd"),"")))</f>
        <v/>
      </c>
      <c r="C633" s="46">
        <f>IF(_calc!$E$635="","",IF(_calc!$E$635&lt;=500,"Insurance","Certificate of insurance"))</f>
        <v/>
      </c>
      <c r="D633" s="46">
        <f>IF(_calc!$E$635="","",IF(_calc!$E$635&lt;=500,IF(ISNUMBER(INDEX('Our policies'!$I$4:$I$503,_calc!$E$635)),TEXT(INDEX('Our policies'!$I$4:$I$503,_calc!$E$635),"yyyy-mm-dd"),""),""))</f>
        <v/>
      </c>
      <c r="E633" s="46">
        <f>IF(_calc!$E$635="","",IF(_calc!$E$635&lt;=500,IF(LEN(INDEX('Our policies'!$Q$4:$Q$503,_calc!$E$635))=0,"",INDEX('Our policies'!$Q$4:$Q$503,_calc!$E$635)),"Medium"))</f>
        <v/>
      </c>
      <c r="F633" s="46">
        <f>IF(_calc!$E$635="","",IF(_calc!$E$635&lt;=500,TRIM(IF(LEN(IF(LEN(INDEX('Our policies'!$B$4:$B$503,_calc!$E$635))=0,"",INDEX('Our policies'!$B$4:$B$503,_calc!$E$635)))=0,"","Cover: "&amp;IF(LEN(INDEX('Our policies'!$B$4:$B$503,_calc!$E$635))=0,"",INDEX('Our policies'!$B$4:$B$503,_calc!$E$635))&amp;". ")&amp;IF(LEN(IF(LEN(INDEX('Our policies'!$C$4:$C$503,_calc!$E$635))=0,"",INDEX('Our policies'!$C$4:$C$503,_calc!$E$635)))=0,"","Insurer: "&amp;IF(LEN(INDEX('Our policies'!$C$4:$C$503,_calc!$E$635))=0,"",INDEX('Our policies'!$C$4:$C$503,_calc!$E$635))&amp;". ")&amp;IF(LEN(IF(LEN(INDEX('Our policies'!$D$4:$D$503,_calc!$E$635))=0,"",INDEX('Our policies'!$D$4:$D$503,_calc!$E$635)))=0,"","Broker: "&amp;IF(LEN(INDEX('Our policies'!$D$4:$D$503,_calc!$E$635))=0,"",INDEX('Our policies'!$D$4:$D$503,_calc!$E$635))&amp;". ")&amp;IF(LEN(IF(LEN(INDEX('Our policies'!$E$4:$E$503,_calc!$E$635))=0,"",INDEX('Our policies'!$E$4:$E$503,_calc!$E$635)))=0,"","Policy no.: "&amp;IF(LEN(INDEX('Our policies'!$E$4:$E$503,_calc!$E$635))=0,"",INDEX('Our policies'!$E$4:$E$503,_calc!$E$635))&amp;". ")&amp;IF(LEN(IF(LEN(INDEX('Our policies'!$S$4:$S$503,_calc!$E$635))=0,"",INDEX('Our policies'!$S$4:$S$503,_calc!$E$635)))=0,"",IF(LEN(INDEX('Our policies'!$S$4:$S$503,_calc!$E$635))=0,"",INDEX('Our policies'!$S$4:$S$503,_calc!$E$635)))),TRIM(IF(LEN(IF(LEN(INDEX('Vendor COIs'!$C$4:$C$503,(_calc!$E$635-500)))=0,"",INDEX('Vendor COIs'!$C$4:$C$503,(_calc!$E$635-500))))=0,"","Insurer: "&amp;IF(LEN(INDEX('Vendor COIs'!$C$4:$C$503,(_calc!$E$635-500)))=0,"",INDEX('Vendor COIs'!$C$4:$C$503,(_calc!$E$635-500)))&amp;". ")&amp;IF(LEN(IF(LEN(INDEX('Vendor COIs'!$D$4:$D$503,(_calc!$E$635-500)))=0,"",INDEX('Vendor COIs'!$D$4:$D$503,(_calc!$E$635-500))))=0,"","Policy no.: "&amp;IF(LEN(INDEX('Vendor COIs'!$D$4:$D$503,(_calc!$E$635-500)))=0,"",INDEX('Vendor COIs'!$D$4:$D$503,(_calc!$E$635-500)))&amp;". ")&amp;IF(LEN(IF(LEN(INDEX('Vendor COIs'!$F$4:$F$503,(_calc!$E$635-500)))=0,"",INDEX('Vendor COIs'!$F$4:$F$503,(_calc!$E$635-500))))=0,"","Meets minimum: "&amp;IF(LEN(INDEX('Vendor COIs'!$F$4:$F$503,(_calc!$E$635-500)))=0,"",INDEX('Vendor COIs'!$F$4:$F$503,(_calc!$E$635-500)))&amp;". ")&amp;IF(LEN(IF(LEN(INDEX('Vendor COIs'!$G$4:$G$503,(_calc!$E$635-500)))=0,"",INDEX('Vendor COIs'!$G$4:$G$503,(_calc!$E$635-500))))=0,"","Additional insured: "&amp;IF(LEN(INDEX('Vendor COIs'!$G$4:$G$503,(_calc!$E$635-500)))=0,"",INDEX('Vendor COIs'!$G$4:$G$503,(_calc!$E$635-500)))&amp;". ")&amp;IF(LEN(IF(LEN(INDEX('Vendor COIs'!$M$4:$M$503,(_calc!$E$635-500)))=0,"",INDEX('Vendor COIs'!$M$4:$M$503,(_calc!$E$635-500))))=0,"","Vendor contact: "&amp;IF(LEN(INDEX('Vendor COIs'!$M$4:$M$503,(_calc!$E$635-500)))=0,"",INDEX('Vendor COIs'!$M$4:$M$503,(_calc!$E$635-500)))&amp;". ")&amp;IF(LEN(IF(LEN(INDEX('Vendor COIs'!$P$4:$P$503,(_calc!$E$635-500)))=0,"",INDEX('Vendor COIs'!$P$4:$P$503,(_calc!$E$635-500))))=0,"",IF(LEN(INDEX('Vendor COIs'!$P$4:$P$503,(_calc!$E$635-500)))=0,"",INDEX('Vendor COIs'!$P$4:$P$503,(_calc!$E$635-500)))))))</f>
        <v/>
      </c>
      <c r="G633" s="46">
        <f>IF(_calc!$E$635="","",IF(_calc!$E$635&lt;=500,IF(LEN(INDEX('Our policies'!$R$4:$R$503,_calc!$E$635))=0,"",INDEX('Our policies'!$R$4:$R$503,_calc!$E$635)),IF(LEN(INDEX('Vendor COIs'!$O$4:$O$503,(_calc!$E$635-500)))=0,"",INDEX('Vendor COIs'!$O$4:$O$503,(_calc!$E$635-500)))))</f>
        <v/>
      </c>
      <c r="H633" s="46">
        <f>IF(_calc!$E$635="","",IF(_calc!$E$635&lt;=500,IF(LEN(INDEX('Our policies'!$G$4:$G$503,_calc!$E$635))=0,"",INDEX('Our policies'!$G$4:$G$503,_calc!$E$635)),""))</f>
        <v/>
      </c>
      <c r="I633" s="46">
        <f>IF(_calc!$E$635="","",IF(_calc!$E$635&lt;=500,IF(LEN(INDEX('Our policies'!$H$4:$H$503,_calc!$E$635))=0,"",INDEX('Our policies'!$H$4:$H$503,_calc!$E$635)),""))</f>
        <v/>
      </c>
      <c r="K633" s="46">
        <f>IF(_calc!$E$635="","",IF(_calc!$E$635&lt;=500,IF(LEN(INDEX('Our policies'!$P$4:$P$503,_calc!$E$635))=0,"",INDEX('Our policies'!$P$4:$P$503,_calc!$E$635)),IF(LEN(INDEX('Vendor COIs'!$N$4:$N$503,(_calc!$E$635-500)))=0,"",INDEX('Vendor COIs'!$N$4:$N$503,(_calc!$E$635-500)))))</f>
        <v/>
      </c>
    </row>
    <row r="634">
      <c r="A634" s="46">
        <f>IF(_calc!$E$636="","",IF(_calc!$E$636&lt;=500,IF(LEN(INDEX('Our policies'!$A$4:$A$503,_calc!$E$636))=0,"",INDEX('Our policies'!$A$4:$A$503,_calc!$E$636)),"COI – "&amp;IF(LEN(INDEX('Vendor COIs'!$A$4:$A$503,(_calc!$E$636-500)))=0,"",INDEX('Vendor COIs'!$A$4:$A$503,(_calc!$E$636-500)))&amp;" – "&amp;IF(LEN(INDEX('Vendor COIs'!$B$4:$B$503,(_calc!$E$636-500)))=0,"",INDEX('Vendor COIs'!$B$4:$B$503,(_calc!$E$636-500)))))</f>
        <v/>
      </c>
      <c r="B634" s="46">
        <f>IF(_calc!$E$636="","",IF(_calc!$E$636&lt;=500,IF(ISNUMBER(INDEX('Our policies'!$J$4:$J$503,_calc!$E$636)),TEXT(INDEX('Our policies'!$J$4:$J$503,_calc!$E$636),"yyyy-mm-dd"),""),IF(ISNUMBER(INDEX('Vendor COIs'!$H$4:$H$503,(_calc!$E$636-500))),TEXT(INDEX('Vendor COIs'!$H$4:$H$503,(_calc!$E$636-500)),"yyyy-mm-dd"),"")))</f>
        <v/>
      </c>
      <c r="C634" s="46">
        <f>IF(_calc!$E$636="","",IF(_calc!$E$636&lt;=500,"Insurance","Certificate of insurance"))</f>
        <v/>
      </c>
      <c r="D634" s="46">
        <f>IF(_calc!$E$636="","",IF(_calc!$E$636&lt;=500,IF(ISNUMBER(INDEX('Our policies'!$I$4:$I$503,_calc!$E$636)),TEXT(INDEX('Our policies'!$I$4:$I$503,_calc!$E$636),"yyyy-mm-dd"),""),""))</f>
        <v/>
      </c>
      <c r="E634" s="46">
        <f>IF(_calc!$E$636="","",IF(_calc!$E$636&lt;=500,IF(LEN(INDEX('Our policies'!$Q$4:$Q$503,_calc!$E$636))=0,"",INDEX('Our policies'!$Q$4:$Q$503,_calc!$E$636)),"Medium"))</f>
        <v/>
      </c>
      <c r="F634" s="46">
        <f>IF(_calc!$E$636="","",IF(_calc!$E$636&lt;=500,TRIM(IF(LEN(IF(LEN(INDEX('Our policies'!$B$4:$B$503,_calc!$E$636))=0,"",INDEX('Our policies'!$B$4:$B$503,_calc!$E$636)))=0,"","Cover: "&amp;IF(LEN(INDEX('Our policies'!$B$4:$B$503,_calc!$E$636))=0,"",INDEX('Our policies'!$B$4:$B$503,_calc!$E$636))&amp;". ")&amp;IF(LEN(IF(LEN(INDEX('Our policies'!$C$4:$C$503,_calc!$E$636))=0,"",INDEX('Our policies'!$C$4:$C$503,_calc!$E$636)))=0,"","Insurer: "&amp;IF(LEN(INDEX('Our policies'!$C$4:$C$503,_calc!$E$636))=0,"",INDEX('Our policies'!$C$4:$C$503,_calc!$E$636))&amp;". ")&amp;IF(LEN(IF(LEN(INDEX('Our policies'!$D$4:$D$503,_calc!$E$636))=0,"",INDEX('Our policies'!$D$4:$D$503,_calc!$E$636)))=0,"","Broker: "&amp;IF(LEN(INDEX('Our policies'!$D$4:$D$503,_calc!$E$636))=0,"",INDEX('Our policies'!$D$4:$D$503,_calc!$E$636))&amp;". ")&amp;IF(LEN(IF(LEN(INDEX('Our policies'!$E$4:$E$503,_calc!$E$636))=0,"",INDEX('Our policies'!$E$4:$E$503,_calc!$E$636)))=0,"","Policy no.: "&amp;IF(LEN(INDEX('Our policies'!$E$4:$E$503,_calc!$E$636))=0,"",INDEX('Our policies'!$E$4:$E$503,_calc!$E$636))&amp;". ")&amp;IF(LEN(IF(LEN(INDEX('Our policies'!$S$4:$S$503,_calc!$E$636))=0,"",INDEX('Our policies'!$S$4:$S$503,_calc!$E$636)))=0,"",IF(LEN(INDEX('Our policies'!$S$4:$S$503,_calc!$E$636))=0,"",INDEX('Our policies'!$S$4:$S$503,_calc!$E$636)))),TRIM(IF(LEN(IF(LEN(INDEX('Vendor COIs'!$C$4:$C$503,(_calc!$E$636-500)))=0,"",INDEX('Vendor COIs'!$C$4:$C$503,(_calc!$E$636-500))))=0,"","Insurer: "&amp;IF(LEN(INDEX('Vendor COIs'!$C$4:$C$503,(_calc!$E$636-500)))=0,"",INDEX('Vendor COIs'!$C$4:$C$503,(_calc!$E$636-500)))&amp;". ")&amp;IF(LEN(IF(LEN(INDEX('Vendor COIs'!$D$4:$D$503,(_calc!$E$636-500)))=0,"",INDEX('Vendor COIs'!$D$4:$D$503,(_calc!$E$636-500))))=0,"","Policy no.: "&amp;IF(LEN(INDEX('Vendor COIs'!$D$4:$D$503,(_calc!$E$636-500)))=0,"",INDEX('Vendor COIs'!$D$4:$D$503,(_calc!$E$636-500)))&amp;". ")&amp;IF(LEN(IF(LEN(INDEX('Vendor COIs'!$F$4:$F$503,(_calc!$E$636-500)))=0,"",INDEX('Vendor COIs'!$F$4:$F$503,(_calc!$E$636-500))))=0,"","Meets minimum: "&amp;IF(LEN(INDEX('Vendor COIs'!$F$4:$F$503,(_calc!$E$636-500)))=0,"",INDEX('Vendor COIs'!$F$4:$F$503,(_calc!$E$636-500)))&amp;". ")&amp;IF(LEN(IF(LEN(INDEX('Vendor COIs'!$G$4:$G$503,(_calc!$E$636-500)))=0,"",INDEX('Vendor COIs'!$G$4:$G$503,(_calc!$E$636-500))))=0,"","Additional insured: "&amp;IF(LEN(INDEX('Vendor COIs'!$G$4:$G$503,(_calc!$E$636-500)))=0,"",INDEX('Vendor COIs'!$G$4:$G$503,(_calc!$E$636-500)))&amp;". ")&amp;IF(LEN(IF(LEN(INDEX('Vendor COIs'!$M$4:$M$503,(_calc!$E$636-500)))=0,"",INDEX('Vendor COIs'!$M$4:$M$503,(_calc!$E$636-500))))=0,"","Vendor contact: "&amp;IF(LEN(INDEX('Vendor COIs'!$M$4:$M$503,(_calc!$E$636-500)))=0,"",INDEX('Vendor COIs'!$M$4:$M$503,(_calc!$E$636-500)))&amp;". ")&amp;IF(LEN(IF(LEN(INDEX('Vendor COIs'!$P$4:$P$503,(_calc!$E$636-500)))=0,"",INDEX('Vendor COIs'!$P$4:$P$503,(_calc!$E$636-500))))=0,"",IF(LEN(INDEX('Vendor COIs'!$P$4:$P$503,(_calc!$E$636-500)))=0,"",INDEX('Vendor COIs'!$P$4:$P$503,(_calc!$E$636-500)))))))</f>
        <v/>
      </c>
      <c r="G634" s="46">
        <f>IF(_calc!$E$636="","",IF(_calc!$E$636&lt;=500,IF(LEN(INDEX('Our policies'!$R$4:$R$503,_calc!$E$636))=0,"",INDEX('Our policies'!$R$4:$R$503,_calc!$E$636)),IF(LEN(INDEX('Vendor COIs'!$O$4:$O$503,(_calc!$E$636-500)))=0,"",INDEX('Vendor COIs'!$O$4:$O$503,(_calc!$E$636-500)))))</f>
        <v/>
      </c>
      <c r="H634" s="46">
        <f>IF(_calc!$E$636="","",IF(_calc!$E$636&lt;=500,IF(LEN(INDEX('Our policies'!$G$4:$G$503,_calc!$E$636))=0,"",INDEX('Our policies'!$G$4:$G$503,_calc!$E$636)),""))</f>
        <v/>
      </c>
      <c r="I634" s="46">
        <f>IF(_calc!$E$636="","",IF(_calc!$E$636&lt;=500,IF(LEN(INDEX('Our policies'!$H$4:$H$503,_calc!$E$636))=0,"",INDEX('Our policies'!$H$4:$H$503,_calc!$E$636)),""))</f>
        <v/>
      </c>
      <c r="K634" s="46">
        <f>IF(_calc!$E$636="","",IF(_calc!$E$636&lt;=500,IF(LEN(INDEX('Our policies'!$P$4:$P$503,_calc!$E$636))=0,"",INDEX('Our policies'!$P$4:$P$503,_calc!$E$636)),IF(LEN(INDEX('Vendor COIs'!$N$4:$N$503,(_calc!$E$636-500)))=0,"",INDEX('Vendor COIs'!$N$4:$N$503,(_calc!$E$636-500)))))</f>
        <v/>
      </c>
    </row>
    <row r="635">
      <c r="A635" s="46">
        <f>IF(_calc!$E$637="","",IF(_calc!$E$637&lt;=500,IF(LEN(INDEX('Our policies'!$A$4:$A$503,_calc!$E$637))=0,"",INDEX('Our policies'!$A$4:$A$503,_calc!$E$637)),"COI – "&amp;IF(LEN(INDEX('Vendor COIs'!$A$4:$A$503,(_calc!$E$637-500)))=0,"",INDEX('Vendor COIs'!$A$4:$A$503,(_calc!$E$637-500)))&amp;" – "&amp;IF(LEN(INDEX('Vendor COIs'!$B$4:$B$503,(_calc!$E$637-500)))=0,"",INDEX('Vendor COIs'!$B$4:$B$503,(_calc!$E$637-500)))))</f>
        <v/>
      </c>
      <c r="B635" s="46">
        <f>IF(_calc!$E$637="","",IF(_calc!$E$637&lt;=500,IF(ISNUMBER(INDEX('Our policies'!$J$4:$J$503,_calc!$E$637)),TEXT(INDEX('Our policies'!$J$4:$J$503,_calc!$E$637),"yyyy-mm-dd"),""),IF(ISNUMBER(INDEX('Vendor COIs'!$H$4:$H$503,(_calc!$E$637-500))),TEXT(INDEX('Vendor COIs'!$H$4:$H$503,(_calc!$E$637-500)),"yyyy-mm-dd"),"")))</f>
        <v/>
      </c>
      <c r="C635" s="46">
        <f>IF(_calc!$E$637="","",IF(_calc!$E$637&lt;=500,"Insurance","Certificate of insurance"))</f>
        <v/>
      </c>
      <c r="D635" s="46">
        <f>IF(_calc!$E$637="","",IF(_calc!$E$637&lt;=500,IF(ISNUMBER(INDEX('Our policies'!$I$4:$I$503,_calc!$E$637)),TEXT(INDEX('Our policies'!$I$4:$I$503,_calc!$E$637),"yyyy-mm-dd"),""),""))</f>
        <v/>
      </c>
      <c r="E635" s="46">
        <f>IF(_calc!$E$637="","",IF(_calc!$E$637&lt;=500,IF(LEN(INDEX('Our policies'!$Q$4:$Q$503,_calc!$E$637))=0,"",INDEX('Our policies'!$Q$4:$Q$503,_calc!$E$637)),"Medium"))</f>
        <v/>
      </c>
      <c r="F635" s="46">
        <f>IF(_calc!$E$637="","",IF(_calc!$E$637&lt;=500,TRIM(IF(LEN(IF(LEN(INDEX('Our policies'!$B$4:$B$503,_calc!$E$637))=0,"",INDEX('Our policies'!$B$4:$B$503,_calc!$E$637)))=0,"","Cover: "&amp;IF(LEN(INDEX('Our policies'!$B$4:$B$503,_calc!$E$637))=0,"",INDEX('Our policies'!$B$4:$B$503,_calc!$E$637))&amp;". ")&amp;IF(LEN(IF(LEN(INDEX('Our policies'!$C$4:$C$503,_calc!$E$637))=0,"",INDEX('Our policies'!$C$4:$C$503,_calc!$E$637)))=0,"","Insurer: "&amp;IF(LEN(INDEX('Our policies'!$C$4:$C$503,_calc!$E$637))=0,"",INDEX('Our policies'!$C$4:$C$503,_calc!$E$637))&amp;". ")&amp;IF(LEN(IF(LEN(INDEX('Our policies'!$D$4:$D$503,_calc!$E$637))=0,"",INDEX('Our policies'!$D$4:$D$503,_calc!$E$637)))=0,"","Broker: "&amp;IF(LEN(INDEX('Our policies'!$D$4:$D$503,_calc!$E$637))=0,"",INDEX('Our policies'!$D$4:$D$503,_calc!$E$637))&amp;". ")&amp;IF(LEN(IF(LEN(INDEX('Our policies'!$E$4:$E$503,_calc!$E$637))=0,"",INDEX('Our policies'!$E$4:$E$503,_calc!$E$637)))=0,"","Policy no.: "&amp;IF(LEN(INDEX('Our policies'!$E$4:$E$503,_calc!$E$637))=0,"",INDEX('Our policies'!$E$4:$E$503,_calc!$E$637))&amp;". ")&amp;IF(LEN(IF(LEN(INDEX('Our policies'!$S$4:$S$503,_calc!$E$637))=0,"",INDEX('Our policies'!$S$4:$S$503,_calc!$E$637)))=0,"",IF(LEN(INDEX('Our policies'!$S$4:$S$503,_calc!$E$637))=0,"",INDEX('Our policies'!$S$4:$S$503,_calc!$E$637)))),TRIM(IF(LEN(IF(LEN(INDEX('Vendor COIs'!$C$4:$C$503,(_calc!$E$637-500)))=0,"",INDEX('Vendor COIs'!$C$4:$C$503,(_calc!$E$637-500))))=0,"","Insurer: "&amp;IF(LEN(INDEX('Vendor COIs'!$C$4:$C$503,(_calc!$E$637-500)))=0,"",INDEX('Vendor COIs'!$C$4:$C$503,(_calc!$E$637-500)))&amp;". ")&amp;IF(LEN(IF(LEN(INDEX('Vendor COIs'!$D$4:$D$503,(_calc!$E$637-500)))=0,"",INDEX('Vendor COIs'!$D$4:$D$503,(_calc!$E$637-500))))=0,"","Policy no.: "&amp;IF(LEN(INDEX('Vendor COIs'!$D$4:$D$503,(_calc!$E$637-500)))=0,"",INDEX('Vendor COIs'!$D$4:$D$503,(_calc!$E$637-500)))&amp;". ")&amp;IF(LEN(IF(LEN(INDEX('Vendor COIs'!$F$4:$F$503,(_calc!$E$637-500)))=0,"",INDEX('Vendor COIs'!$F$4:$F$503,(_calc!$E$637-500))))=0,"","Meets minimum: "&amp;IF(LEN(INDEX('Vendor COIs'!$F$4:$F$503,(_calc!$E$637-500)))=0,"",INDEX('Vendor COIs'!$F$4:$F$503,(_calc!$E$637-500)))&amp;". ")&amp;IF(LEN(IF(LEN(INDEX('Vendor COIs'!$G$4:$G$503,(_calc!$E$637-500)))=0,"",INDEX('Vendor COIs'!$G$4:$G$503,(_calc!$E$637-500))))=0,"","Additional insured: "&amp;IF(LEN(INDEX('Vendor COIs'!$G$4:$G$503,(_calc!$E$637-500)))=0,"",INDEX('Vendor COIs'!$G$4:$G$503,(_calc!$E$637-500)))&amp;". ")&amp;IF(LEN(IF(LEN(INDEX('Vendor COIs'!$M$4:$M$503,(_calc!$E$637-500)))=0,"",INDEX('Vendor COIs'!$M$4:$M$503,(_calc!$E$637-500))))=0,"","Vendor contact: "&amp;IF(LEN(INDEX('Vendor COIs'!$M$4:$M$503,(_calc!$E$637-500)))=0,"",INDEX('Vendor COIs'!$M$4:$M$503,(_calc!$E$637-500)))&amp;". ")&amp;IF(LEN(IF(LEN(INDEX('Vendor COIs'!$P$4:$P$503,(_calc!$E$637-500)))=0,"",INDEX('Vendor COIs'!$P$4:$P$503,(_calc!$E$637-500))))=0,"",IF(LEN(INDEX('Vendor COIs'!$P$4:$P$503,(_calc!$E$637-500)))=0,"",INDEX('Vendor COIs'!$P$4:$P$503,(_calc!$E$637-500)))))))</f>
        <v/>
      </c>
      <c r="G635" s="46">
        <f>IF(_calc!$E$637="","",IF(_calc!$E$637&lt;=500,IF(LEN(INDEX('Our policies'!$R$4:$R$503,_calc!$E$637))=0,"",INDEX('Our policies'!$R$4:$R$503,_calc!$E$637)),IF(LEN(INDEX('Vendor COIs'!$O$4:$O$503,(_calc!$E$637-500)))=0,"",INDEX('Vendor COIs'!$O$4:$O$503,(_calc!$E$637-500)))))</f>
        <v/>
      </c>
      <c r="H635" s="46">
        <f>IF(_calc!$E$637="","",IF(_calc!$E$637&lt;=500,IF(LEN(INDEX('Our policies'!$G$4:$G$503,_calc!$E$637))=0,"",INDEX('Our policies'!$G$4:$G$503,_calc!$E$637)),""))</f>
        <v/>
      </c>
      <c r="I635" s="46">
        <f>IF(_calc!$E$637="","",IF(_calc!$E$637&lt;=500,IF(LEN(INDEX('Our policies'!$H$4:$H$503,_calc!$E$637))=0,"",INDEX('Our policies'!$H$4:$H$503,_calc!$E$637)),""))</f>
        <v/>
      </c>
      <c r="K635" s="46">
        <f>IF(_calc!$E$637="","",IF(_calc!$E$637&lt;=500,IF(LEN(INDEX('Our policies'!$P$4:$P$503,_calc!$E$637))=0,"",INDEX('Our policies'!$P$4:$P$503,_calc!$E$637)),IF(LEN(INDEX('Vendor COIs'!$N$4:$N$503,(_calc!$E$637-500)))=0,"",INDEX('Vendor COIs'!$N$4:$N$503,(_calc!$E$637-500)))))</f>
        <v/>
      </c>
    </row>
    <row r="636">
      <c r="A636" s="46">
        <f>IF(_calc!$E$638="","",IF(_calc!$E$638&lt;=500,IF(LEN(INDEX('Our policies'!$A$4:$A$503,_calc!$E$638))=0,"",INDEX('Our policies'!$A$4:$A$503,_calc!$E$638)),"COI – "&amp;IF(LEN(INDEX('Vendor COIs'!$A$4:$A$503,(_calc!$E$638-500)))=0,"",INDEX('Vendor COIs'!$A$4:$A$503,(_calc!$E$638-500)))&amp;" – "&amp;IF(LEN(INDEX('Vendor COIs'!$B$4:$B$503,(_calc!$E$638-500)))=0,"",INDEX('Vendor COIs'!$B$4:$B$503,(_calc!$E$638-500)))))</f>
        <v/>
      </c>
      <c r="B636" s="46">
        <f>IF(_calc!$E$638="","",IF(_calc!$E$638&lt;=500,IF(ISNUMBER(INDEX('Our policies'!$J$4:$J$503,_calc!$E$638)),TEXT(INDEX('Our policies'!$J$4:$J$503,_calc!$E$638),"yyyy-mm-dd"),""),IF(ISNUMBER(INDEX('Vendor COIs'!$H$4:$H$503,(_calc!$E$638-500))),TEXT(INDEX('Vendor COIs'!$H$4:$H$503,(_calc!$E$638-500)),"yyyy-mm-dd"),"")))</f>
        <v/>
      </c>
      <c r="C636" s="46">
        <f>IF(_calc!$E$638="","",IF(_calc!$E$638&lt;=500,"Insurance","Certificate of insurance"))</f>
        <v/>
      </c>
      <c r="D636" s="46">
        <f>IF(_calc!$E$638="","",IF(_calc!$E$638&lt;=500,IF(ISNUMBER(INDEX('Our policies'!$I$4:$I$503,_calc!$E$638)),TEXT(INDEX('Our policies'!$I$4:$I$503,_calc!$E$638),"yyyy-mm-dd"),""),""))</f>
        <v/>
      </c>
      <c r="E636" s="46">
        <f>IF(_calc!$E$638="","",IF(_calc!$E$638&lt;=500,IF(LEN(INDEX('Our policies'!$Q$4:$Q$503,_calc!$E$638))=0,"",INDEX('Our policies'!$Q$4:$Q$503,_calc!$E$638)),"Medium"))</f>
        <v/>
      </c>
      <c r="F636" s="46">
        <f>IF(_calc!$E$638="","",IF(_calc!$E$638&lt;=500,TRIM(IF(LEN(IF(LEN(INDEX('Our policies'!$B$4:$B$503,_calc!$E$638))=0,"",INDEX('Our policies'!$B$4:$B$503,_calc!$E$638)))=0,"","Cover: "&amp;IF(LEN(INDEX('Our policies'!$B$4:$B$503,_calc!$E$638))=0,"",INDEX('Our policies'!$B$4:$B$503,_calc!$E$638))&amp;". ")&amp;IF(LEN(IF(LEN(INDEX('Our policies'!$C$4:$C$503,_calc!$E$638))=0,"",INDEX('Our policies'!$C$4:$C$503,_calc!$E$638)))=0,"","Insurer: "&amp;IF(LEN(INDEX('Our policies'!$C$4:$C$503,_calc!$E$638))=0,"",INDEX('Our policies'!$C$4:$C$503,_calc!$E$638))&amp;". ")&amp;IF(LEN(IF(LEN(INDEX('Our policies'!$D$4:$D$503,_calc!$E$638))=0,"",INDEX('Our policies'!$D$4:$D$503,_calc!$E$638)))=0,"","Broker: "&amp;IF(LEN(INDEX('Our policies'!$D$4:$D$503,_calc!$E$638))=0,"",INDEX('Our policies'!$D$4:$D$503,_calc!$E$638))&amp;". ")&amp;IF(LEN(IF(LEN(INDEX('Our policies'!$E$4:$E$503,_calc!$E$638))=0,"",INDEX('Our policies'!$E$4:$E$503,_calc!$E$638)))=0,"","Policy no.: "&amp;IF(LEN(INDEX('Our policies'!$E$4:$E$503,_calc!$E$638))=0,"",INDEX('Our policies'!$E$4:$E$503,_calc!$E$638))&amp;". ")&amp;IF(LEN(IF(LEN(INDEX('Our policies'!$S$4:$S$503,_calc!$E$638))=0,"",INDEX('Our policies'!$S$4:$S$503,_calc!$E$638)))=0,"",IF(LEN(INDEX('Our policies'!$S$4:$S$503,_calc!$E$638))=0,"",INDEX('Our policies'!$S$4:$S$503,_calc!$E$638)))),TRIM(IF(LEN(IF(LEN(INDEX('Vendor COIs'!$C$4:$C$503,(_calc!$E$638-500)))=0,"",INDEX('Vendor COIs'!$C$4:$C$503,(_calc!$E$638-500))))=0,"","Insurer: "&amp;IF(LEN(INDEX('Vendor COIs'!$C$4:$C$503,(_calc!$E$638-500)))=0,"",INDEX('Vendor COIs'!$C$4:$C$503,(_calc!$E$638-500)))&amp;". ")&amp;IF(LEN(IF(LEN(INDEX('Vendor COIs'!$D$4:$D$503,(_calc!$E$638-500)))=0,"",INDEX('Vendor COIs'!$D$4:$D$503,(_calc!$E$638-500))))=0,"","Policy no.: "&amp;IF(LEN(INDEX('Vendor COIs'!$D$4:$D$503,(_calc!$E$638-500)))=0,"",INDEX('Vendor COIs'!$D$4:$D$503,(_calc!$E$638-500)))&amp;". ")&amp;IF(LEN(IF(LEN(INDEX('Vendor COIs'!$F$4:$F$503,(_calc!$E$638-500)))=0,"",INDEX('Vendor COIs'!$F$4:$F$503,(_calc!$E$638-500))))=0,"","Meets minimum: "&amp;IF(LEN(INDEX('Vendor COIs'!$F$4:$F$503,(_calc!$E$638-500)))=0,"",INDEX('Vendor COIs'!$F$4:$F$503,(_calc!$E$638-500)))&amp;". ")&amp;IF(LEN(IF(LEN(INDEX('Vendor COIs'!$G$4:$G$503,(_calc!$E$638-500)))=0,"",INDEX('Vendor COIs'!$G$4:$G$503,(_calc!$E$638-500))))=0,"","Additional insured: "&amp;IF(LEN(INDEX('Vendor COIs'!$G$4:$G$503,(_calc!$E$638-500)))=0,"",INDEX('Vendor COIs'!$G$4:$G$503,(_calc!$E$638-500)))&amp;". ")&amp;IF(LEN(IF(LEN(INDEX('Vendor COIs'!$M$4:$M$503,(_calc!$E$638-500)))=0,"",INDEX('Vendor COIs'!$M$4:$M$503,(_calc!$E$638-500))))=0,"","Vendor contact: "&amp;IF(LEN(INDEX('Vendor COIs'!$M$4:$M$503,(_calc!$E$638-500)))=0,"",INDEX('Vendor COIs'!$M$4:$M$503,(_calc!$E$638-500)))&amp;". ")&amp;IF(LEN(IF(LEN(INDEX('Vendor COIs'!$P$4:$P$503,(_calc!$E$638-500)))=0,"",INDEX('Vendor COIs'!$P$4:$P$503,(_calc!$E$638-500))))=0,"",IF(LEN(INDEX('Vendor COIs'!$P$4:$P$503,(_calc!$E$638-500)))=0,"",INDEX('Vendor COIs'!$P$4:$P$503,(_calc!$E$638-500)))))))</f>
        <v/>
      </c>
      <c r="G636" s="46">
        <f>IF(_calc!$E$638="","",IF(_calc!$E$638&lt;=500,IF(LEN(INDEX('Our policies'!$R$4:$R$503,_calc!$E$638))=0,"",INDEX('Our policies'!$R$4:$R$503,_calc!$E$638)),IF(LEN(INDEX('Vendor COIs'!$O$4:$O$503,(_calc!$E$638-500)))=0,"",INDEX('Vendor COIs'!$O$4:$O$503,(_calc!$E$638-500)))))</f>
        <v/>
      </c>
      <c r="H636" s="46">
        <f>IF(_calc!$E$638="","",IF(_calc!$E$638&lt;=500,IF(LEN(INDEX('Our policies'!$G$4:$G$503,_calc!$E$638))=0,"",INDEX('Our policies'!$G$4:$G$503,_calc!$E$638)),""))</f>
        <v/>
      </c>
      <c r="I636" s="46">
        <f>IF(_calc!$E$638="","",IF(_calc!$E$638&lt;=500,IF(LEN(INDEX('Our policies'!$H$4:$H$503,_calc!$E$638))=0,"",INDEX('Our policies'!$H$4:$H$503,_calc!$E$638)),""))</f>
        <v/>
      </c>
      <c r="K636" s="46">
        <f>IF(_calc!$E$638="","",IF(_calc!$E$638&lt;=500,IF(LEN(INDEX('Our policies'!$P$4:$P$503,_calc!$E$638))=0,"",INDEX('Our policies'!$P$4:$P$503,_calc!$E$638)),IF(LEN(INDEX('Vendor COIs'!$N$4:$N$503,(_calc!$E$638-500)))=0,"",INDEX('Vendor COIs'!$N$4:$N$503,(_calc!$E$638-500)))))</f>
        <v/>
      </c>
    </row>
    <row r="637">
      <c r="A637" s="46">
        <f>IF(_calc!$E$639="","",IF(_calc!$E$639&lt;=500,IF(LEN(INDEX('Our policies'!$A$4:$A$503,_calc!$E$639))=0,"",INDEX('Our policies'!$A$4:$A$503,_calc!$E$639)),"COI – "&amp;IF(LEN(INDEX('Vendor COIs'!$A$4:$A$503,(_calc!$E$639-500)))=0,"",INDEX('Vendor COIs'!$A$4:$A$503,(_calc!$E$639-500)))&amp;" – "&amp;IF(LEN(INDEX('Vendor COIs'!$B$4:$B$503,(_calc!$E$639-500)))=0,"",INDEX('Vendor COIs'!$B$4:$B$503,(_calc!$E$639-500)))))</f>
        <v/>
      </c>
      <c r="B637" s="46">
        <f>IF(_calc!$E$639="","",IF(_calc!$E$639&lt;=500,IF(ISNUMBER(INDEX('Our policies'!$J$4:$J$503,_calc!$E$639)),TEXT(INDEX('Our policies'!$J$4:$J$503,_calc!$E$639),"yyyy-mm-dd"),""),IF(ISNUMBER(INDEX('Vendor COIs'!$H$4:$H$503,(_calc!$E$639-500))),TEXT(INDEX('Vendor COIs'!$H$4:$H$503,(_calc!$E$639-500)),"yyyy-mm-dd"),"")))</f>
        <v/>
      </c>
      <c r="C637" s="46">
        <f>IF(_calc!$E$639="","",IF(_calc!$E$639&lt;=500,"Insurance","Certificate of insurance"))</f>
        <v/>
      </c>
      <c r="D637" s="46">
        <f>IF(_calc!$E$639="","",IF(_calc!$E$639&lt;=500,IF(ISNUMBER(INDEX('Our policies'!$I$4:$I$503,_calc!$E$639)),TEXT(INDEX('Our policies'!$I$4:$I$503,_calc!$E$639),"yyyy-mm-dd"),""),""))</f>
        <v/>
      </c>
      <c r="E637" s="46">
        <f>IF(_calc!$E$639="","",IF(_calc!$E$639&lt;=500,IF(LEN(INDEX('Our policies'!$Q$4:$Q$503,_calc!$E$639))=0,"",INDEX('Our policies'!$Q$4:$Q$503,_calc!$E$639)),"Medium"))</f>
        <v/>
      </c>
      <c r="F637" s="46">
        <f>IF(_calc!$E$639="","",IF(_calc!$E$639&lt;=500,TRIM(IF(LEN(IF(LEN(INDEX('Our policies'!$B$4:$B$503,_calc!$E$639))=0,"",INDEX('Our policies'!$B$4:$B$503,_calc!$E$639)))=0,"","Cover: "&amp;IF(LEN(INDEX('Our policies'!$B$4:$B$503,_calc!$E$639))=0,"",INDEX('Our policies'!$B$4:$B$503,_calc!$E$639))&amp;". ")&amp;IF(LEN(IF(LEN(INDEX('Our policies'!$C$4:$C$503,_calc!$E$639))=0,"",INDEX('Our policies'!$C$4:$C$503,_calc!$E$639)))=0,"","Insurer: "&amp;IF(LEN(INDEX('Our policies'!$C$4:$C$503,_calc!$E$639))=0,"",INDEX('Our policies'!$C$4:$C$503,_calc!$E$639))&amp;". ")&amp;IF(LEN(IF(LEN(INDEX('Our policies'!$D$4:$D$503,_calc!$E$639))=0,"",INDEX('Our policies'!$D$4:$D$503,_calc!$E$639)))=0,"","Broker: "&amp;IF(LEN(INDEX('Our policies'!$D$4:$D$503,_calc!$E$639))=0,"",INDEX('Our policies'!$D$4:$D$503,_calc!$E$639))&amp;". ")&amp;IF(LEN(IF(LEN(INDEX('Our policies'!$E$4:$E$503,_calc!$E$639))=0,"",INDEX('Our policies'!$E$4:$E$503,_calc!$E$639)))=0,"","Policy no.: "&amp;IF(LEN(INDEX('Our policies'!$E$4:$E$503,_calc!$E$639))=0,"",INDEX('Our policies'!$E$4:$E$503,_calc!$E$639))&amp;". ")&amp;IF(LEN(IF(LEN(INDEX('Our policies'!$S$4:$S$503,_calc!$E$639))=0,"",INDEX('Our policies'!$S$4:$S$503,_calc!$E$639)))=0,"",IF(LEN(INDEX('Our policies'!$S$4:$S$503,_calc!$E$639))=0,"",INDEX('Our policies'!$S$4:$S$503,_calc!$E$639)))),TRIM(IF(LEN(IF(LEN(INDEX('Vendor COIs'!$C$4:$C$503,(_calc!$E$639-500)))=0,"",INDEX('Vendor COIs'!$C$4:$C$503,(_calc!$E$639-500))))=0,"","Insurer: "&amp;IF(LEN(INDEX('Vendor COIs'!$C$4:$C$503,(_calc!$E$639-500)))=0,"",INDEX('Vendor COIs'!$C$4:$C$503,(_calc!$E$639-500)))&amp;". ")&amp;IF(LEN(IF(LEN(INDEX('Vendor COIs'!$D$4:$D$503,(_calc!$E$639-500)))=0,"",INDEX('Vendor COIs'!$D$4:$D$503,(_calc!$E$639-500))))=0,"","Policy no.: "&amp;IF(LEN(INDEX('Vendor COIs'!$D$4:$D$503,(_calc!$E$639-500)))=0,"",INDEX('Vendor COIs'!$D$4:$D$503,(_calc!$E$639-500)))&amp;". ")&amp;IF(LEN(IF(LEN(INDEX('Vendor COIs'!$F$4:$F$503,(_calc!$E$639-500)))=0,"",INDEX('Vendor COIs'!$F$4:$F$503,(_calc!$E$639-500))))=0,"","Meets minimum: "&amp;IF(LEN(INDEX('Vendor COIs'!$F$4:$F$503,(_calc!$E$639-500)))=0,"",INDEX('Vendor COIs'!$F$4:$F$503,(_calc!$E$639-500)))&amp;". ")&amp;IF(LEN(IF(LEN(INDEX('Vendor COIs'!$G$4:$G$503,(_calc!$E$639-500)))=0,"",INDEX('Vendor COIs'!$G$4:$G$503,(_calc!$E$639-500))))=0,"","Additional insured: "&amp;IF(LEN(INDEX('Vendor COIs'!$G$4:$G$503,(_calc!$E$639-500)))=0,"",INDEX('Vendor COIs'!$G$4:$G$503,(_calc!$E$639-500)))&amp;". ")&amp;IF(LEN(IF(LEN(INDEX('Vendor COIs'!$M$4:$M$503,(_calc!$E$639-500)))=0,"",INDEX('Vendor COIs'!$M$4:$M$503,(_calc!$E$639-500))))=0,"","Vendor contact: "&amp;IF(LEN(INDEX('Vendor COIs'!$M$4:$M$503,(_calc!$E$639-500)))=0,"",INDEX('Vendor COIs'!$M$4:$M$503,(_calc!$E$639-500)))&amp;". ")&amp;IF(LEN(IF(LEN(INDEX('Vendor COIs'!$P$4:$P$503,(_calc!$E$639-500)))=0,"",INDEX('Vendor COIs'!$P$4:$P$503,(_calc!$E$639-500))))=0,"",IF(LEN(INDEX('Vendor COIs'!$P$4:$P$503,(_calc!$E$639-500)))=0,"",INDEX('Vendor COIs'!$P$4:$P$503,(_calc!$E$639-500)))))))</f>
        <v/>
      </c>
      <c r="G637" s="46">
        <f>IF(_calc!$E$639="","",IF(_calc!$E$639&lt;=500,IF(LEN(INDEX('Our policies'!$R$4:$R$503,_calc!$E$639))=0,"",INDEX('Our policies'!$R$4:$R$503,_calc!$E$639)),IF(LEN(INDEX('Vendor COIs'!$O$4:$O$503,(_calc!$E$639-500)))=0,"",INDEX('Vendor COIs'!$O$4:$O$503,(_calc!$E$639-500)))))</f>
        <v/>
      </c>
      <c r="H637" s="46">
        <f>IF(_calc!$E$639="","",IF(_calc!$E$639&lt;=500,IF(LEN(INDEX('Our policies'!$G$4:$G$503,_calc!$E$639))=0,"",INDEX('Our policies'!$G$4:$G$503,_calc!$E$639)),""))</f>
        <v/>
      </c>
      <c r="I637" s="46">
        <f>IF(_calc!$E$639="","",IF(_calc!$E$639&lt;=500,IF(LEN(INDEX('Our policies'!$H$4:$H$503,_calc!$E$639))=0,"",INDEX('Our policies'!$H$4:$H$503,_calc!$E$639)),""))</f>
        <v/>
      </c>
      <c r="K637" s="46">
        <f>IF(_calc!$E$639="","",IF(_calc!$E$639&lt;=500,IF(LEN(INDEX('Our policies'!$P$4:$P$503,_calc!$E$639))=0,"",INDEX('Our policies'!$P$4:$P$503,_calc!$E$639)),IF(LEN(INDEX('Vendor COIs'!$N$4:$N$503,(_calc!$E$639-500)))=0,"",INDEX('Vendor COIs'!$N$4:$N$503,(_calc!$E$639-500)))))</f>
        <v/>
      </c>
    </row>
    <row r="638">
      <c r="A638" s="46">
        <f>IF(_calc!$E$640="","",IF(_calc!$E$640&lt;=500,IF(LEN(INDEX('Our policies'!$A$4:$A$503,_calc!$E$640))=0,"",INDEX('Our policies'!$A$4:$A$503,_calc!$E$640)),"COI – "&amp;IF(LEN(INDEX('Vendor COIs'!$A$4:$A$503,(_calc!$E$640-500)))=0,"",INDEX('Vendor COIs'!$A$4:$A$503,(_calc!$E$640-500)))&amp;" – "&amp;IF(LEN(INDEX('Vendor COIs'!$B$4:$B$503,(_calc!$E$640-500)))=0,"",INDEX('Vendor COIs'!$B$4:$B$503,(_calc!$E$640-500)))))</f>
        <v/>
      </c>
      <c r="B638" s="46">
        <f>IF(_calc!$E$640="","",IF(_calc!$E$640&lt;=500,IF(ISNUMBER(INDEX('Our policies'!$J$4:$J$503,_calc!$E$640)),TEXT(INDEX('Our policies'!$J$4:$J$503,_calc!$E$640),"yyyy-mm-dd"),""),IF(ISNUMBER(INDEX('Vendor COIs'!$H$4:$H$503,(_calc!$E$640-500))),TEXT(INDEX('Vendor COIs'!$H$4:$H$503,(_calc!$E$640-500)),"yyyy-mm-dd"),"")))</f>
        <v/>
      </c>
      <c r="C638" s="46">
        <f>IF(_calc!$E$640="","",IF(_calc!$E$640&lt;=500,"Insurance","Certificate of insurance"))</f>
        <v/>
      </c>
      <c r="D638" s="46">
        <f>IF(_calc!$E$640="","",IF(_calc!$E$640&lt;=500,IF(ISNUMBER(INDEX('Our policies'!$I$4:$I$503,_calc!$E$640)),TEXT(INDEX('Our policies'!$I$4:$I$503,_calc!$E$640),"yyyy-mm-dd"),""),""))</f>
        <v/>
      </c>
      <c r="E638" s="46">
        <f>IF(_calc!$E$640="","",IF(_calc!$E$640&lt;=500,IF(LEN(INDEX('Our policies'!$Q$4:$Q$503,_calc!$E$640))=0,"",INDEX('Our policies'!$Q$4:$Q$503,_calc!$E$640)),"Medium"))</f>
        <v/>
      </c>
      <c r="F638" s="46">
        <f>IF(_calc!$E$640="","",IF(_calc!$E$640&lt;=500,TRIM(IF(LEN(IF(LEN(INDEX('Our policies'!$B$4:$B$503,_calc!$E$640))=0,"",INDEX('Our policies'!$B$4:$B$503,_calc!$E$640)))=0,"","Cover: "&amp;IF(LEN(INDEX('Our policies'!$B$4:$B$503,_calc!$E$640))=0,"",INDEX('Our policies'!$B$4:$B$503,_calc!$E$640))&amp;". ")&amp;IF(LEN(IF(LEN(INDEX('Our policies'!$C$4:$C$503,_calc!$E$640))=0,"",INDEX('Our policies'!$C$4:$C$503,_calc!$E$640)))=0,"","Insurer: "&amp;IF(LEN(INDEX('Our policies'!$C$4:$C$503,_calc!$E$640))=0,"",INDEX('Our policies'!$C$4:$C$503,_calc!$E$640))&amp;". ")&amp;IF(LEN(IF(LEN(INDEX('Our policies'!$D$4:$D$503,_calc!$E$640))=0,"",INDEX('Our policies'!$D$4:$D$503,_calc!$E$640)))=0,"","Broker: "&amp;IF(LEN(INDEX('Our policies'!$D$4:$D$503,_calc!$E$640))=0,"",INDEX('Our policies'!$D$4:$D$503,_calc!$E$640))&amp;". ")&amp;IF(LEN(IF(LEN(INDEX('Our policies'!$E$4:$E$503,_calc!$E$640))=0,"",INDEX('Our policies'!$E$4:$E$503,_calc!$E$640)))=0,"","Policy no.: "&amp;IF(LEN(INDEX('Our policies'!$E$4:$E$503,_calc!$E$640))=0,"",INDEX('Our policies'!$E$4:$E$503,_calc!$E$640))&amp;". ")&amp;IF(LEN(IF(LEN(INDEX('Our policies'!$S$4:$S$503,_calc!$E$640))=0,"",INDEX('Our policies'!$S$4:$S$503,_calc!$E$640)))=0,"",IF(LEN(INDEX('Our policies'!$S$4:$S$503,_calc!$E$640))=0,"",INDEX('Our policies'!$S$4:$S$503,_calc!$E$640)))),TRIM(IF(LEN(IF(LEN(INDEX('Vendor COIs'!$C$4:$C$503,(_calc!$E$640-500)))=0,"",INDEX('Vendor COIs'!$C$4:$C$503,(_calc!$E$640-500))))=0,"","Insurer: "&amp;IF(LEN(INDEX('Vendor COIs'!$C$4:$C$503,(_calc!$E$640-500)))=0,"",INDEX('Vendor COIs'!$C$4:$C$503,(_calc!$E$640-500)))&amp;". ")&amp;IF(LEN(IF(LEN(INDEX('Vendor COIs'!$D$4:$D$503,(_calc!$E$640-500)))=0,"",INDEX('Vendor COIs'!$D$4:$D$503,(_calc!$E$640-500))))=0,"","Policy no.: "&amp;IF(LEN(INDEX('Vendor COIs'!$D$4:$D$503,(_calc!$E$640-500)))=0,"",INDEX('Vendor COIs'!$D$4:$D$503,(_calc!$E$640-500)))&amp;". ")&amp;IF(LEN(IF(LEN(INDEX('Vendor COIs'!$F$4:$F$503,(_calc!$E$640-500)))=0,"",INDEX('Vendor COIs'!$F$4:$F$503,(_calc!$E$640-500))))=0,"","Meets minimum: "&amp;IF(LEN(INDEX('Vendor COIs'!$F$4:$F$503,(_calc!$E$640-500)))=0,"",INDEX('Vendor COIs'!$F$4:$F$503,(_calc!$E$640-500)))&amp;". ")&amp;IF(LEN(IF(LEN(INDEX('Vendor COIs'!$G$4:$G$503,(_calc!$E$640-500)))=0,"",INDEX('Vendor COIs'!$G$4:$G$503,(_calc!$E$640-500))))=0,"","Additional insured: "&amp;IF(LEN(INDEX('Vendor COIs'!$G$4:$G$503,(_calc!$E$640-500)))=0,"",INDEX('Vendor COIs'!$G$4:$G$503,(_calc!$E$640-500)))&amp;". ")&amp;IF(LEN(IF(LEN(INDEX('Vendor COIs'!$M$4:$M$503,(_calc!$E$640-500)))=0,"",INDEX('Vendor COIs'!$M$4:$M$503,(_calc!$E$640-500))))=0,"","Vendor contact: "&amp;IF(LEN(INDEX('Vendor COIs'!$M$4:$M$503,(_calc!$E$640-500)))=0,"",INDEX('Vendor COIs'!$M$4:$M$503,(_calc!$E$640-500)))&amp;". ")&amp;IF(LEN(IF(LEN(INDEX('Vendor COIs'!$P$4:$P$503,(_calc!$E$640-500)))=0,"",INDEX('Vendor COIs'!$P$4:$P$503,(_calc!$E$640-500))))=0,"",IF(LEN(INDEX('Vendor COIs'!$P$4:$P$503,(_calc!$E$640-500)))=0,"",INDEX('Vendor COIs'!$P$4:$P$503,(_calc!$E$640-500)))))))</f>
        <v/>
      </c>
      <c r="G638" s="46">
        <f>IF(_calc!$E$640="","",IF(_calc!$E$640&lt;=500,IF(LEN(INDEX('Our policies'!$R$4:$R$503,_calc!$E$640))=0,"",INDEX('Our policies'!$R$4:$R$503,_calc!$E$640)),IF(LEN(INDEX('Vendor COIs'!$O$4:$O$503,(_calc!$E$640-500)))=0,"",INDEX('Vendor COIs'!$O$4:$O$503,(_calc!$E$640-500)))))</f>
        <v/>
      </c>
      <c r="H638" s="46">
        <f>IF(_calc!$E$640="","",IF(_calc!$E$640&lt;=500,IF(LEN(INDEX('Our policies'!$G$4:$G$503,_calc!$E$640))=0,"",INDEX('Our policies'!$G$4:$G$503,_calc!$E$640)),""))</f>
        <v/>
      </c>
      <c r="I638" s="46">
        <f>IF(_calc!$E$640="","",IF(_calc!$E$640&lt;=500,IF(LEN(INDEX('Our policies'!$H$4:$H$503,_calc!$E$640))=0,"",INDEX('Our policies'!$H$4:$H$503,_calc!$E$640)),""))</f>
        <v/>
      </c>
      <c r="K638" s="46">
        <f>IF(_calc!$E$640="","",IF(_calc!$E$640&lt;=500,IF(LEN(INDEX('Our policies'!$P$4:$P$503,_calc!$E$640))=0,"",INDEX('Our policies'!$P$4:$P$503,_calc!$E$640)),IF(LEN(INDEX('Vendor COIs'!$N$4:$N$503,(_calc!$E$640-500)))=0,"",INDEX('Vendor COIs'!$N$4:$N$503,(_calc!$E$640-500)))))</f>
        <v/>
      </c>
    </row>
    <row r="639">
      <c r="A639" s="46">
        <f>IF(_calc!$E$641="","",IF(_calc!$E$641&lt;=500,IF(LEN(INDEX('Our policies'!$A$4:$A$503,_calc!$E$641))=0,"",INDEX('Our policies'!$A$4:$A$503,_calc!$E$641)),"COI – "&amp;IF(LEN(INDEX('Vendor COIs'!$A$4:$A$503,(_calc!$E$641-500)))=0,"",INDEX('Vendor COIs'!$A$4:$A$503,(_calc!$E$641-500)))&amp;" – "&amp;IF(LEN(INDEX('Vendor COIs'!$B$4:$B$503,(_calc!$E$641-500)))=0,"",INDEX('Vendor COIs'!$B$4:$B$503,(_calc!$E$641-500)))))</f>
        <v/>
      </c>
      <c r="B639" s="46">
        <f>IF(_calc!$E$641="","",IF(_calc!$E$641&lt;=500,IF(ISNUMBER(INDEX('Our policies'!$J$4:$J$503,_calc!$E$641)),TEXT(INDEX('Our policies'!$J$4:$J$503,_calc!$E$641),"yyyy-mm-dd"),""),IF(ISNUMBER(INDEX('Vendor COIs'!$H$4:$H$503,(_calc!$E$641-500))),TEXT(INDEX('Vendor COIs'!$H$4:$H$503,(_calc!$E$641-500)),"yyyy-mm-dd"),"")))</f>
        <v/>
      </c>
      <c r="C639" s="46">
        <f>IF(_calc!$E$641="","",IF(_calc!$E$641&lt;=500,"Insurance","Certificate of insurance"))</f>
        <v/>
      </c>
      <c r="D639" s="46">
        <f>IF(_calc!$E$641="","",IF(_calc!$E$641&lt;=500,IF(ISNUMBER(INDEX('Our policies'!$I$4:$I$503,_calc!$E$641)),TEXT(INDEX('Our policies'!$I$4:$I$503,_calc!$E$641),"yyyy-mm-dd"),""),""))</f>
        <v/>
      </c>
      <c r="E639" s="46">
        <f>IF(_calc!$E$641="","",IF(_calc!$E$641&lt;=500,IF(LEN(INDEX('Our policies'!$Q$4:$Q$503,_calc!$E$641))=0,"",INDEX('Our policies'!$Q$4:$Q$503,_calc!$E$641)),"Medium"))</f>
        <v/>
      </c>
      <c r="F639" s="46">
        <f>IF(_calc!$E$641="","",IF(_calc!$E$641&lt;=500,TRIM(IF(LEN(IF(LEN(INDEX('Our policies'!$B$4:$B$503,_calc!$E$641))=0,"",INDEX('Our policies'!$B$4:$B$503,_calc!$E$641)))=0,"","Cover: "&amp;IF(LEN(INDEX('Our policies'!$B$4:$B$503,_calc!$E$641))=0,"",INDEX('Our policies'!$B$4:$B$503,_calc!$E$641))&amp;". ")&amp;IF(LEN(IF(LEN(INDEX('Our policies'!$C$4:$C$503,_calc!$E$641))=0,"",INDEX('Our policies'!$C$4:$C$503,_calc!$E$641)))=0,"","Insurer: "&amp;IF(LEN(INDEX('Our policies'!$C$4:$C$503,_calc!$E$641))=0,"",INDEX('Our policies'!$C$4:$C$503,_calc!$E$641))&amp;". ")&amp;IF(LEN(IF(LEN(INDEX('Our policies'!$D$4:$D$503,_calc!$E$641))=0,"",INDEX('Our policies'!$D$4:$D$503,_calc!$E$641)))=0,"","Broker: "&amp;IF(LEN(INDEX('Our policies'!$D$4:$D$503,_calc!$E$641))=0,"",INDEX('Our policies'!$D$4:$D$503,_calc!$E$641))&amp;". ")&amp;IF(LEN(IF(LEN(INDEX('Our policies'!$E$4:$E$503,_calc!$E$641))=0,"",INDEX('Our policies'!$E$4:$E$503,_calc!$E$641)))=0,"","Policy no.: "&amp;IF(LEN(INDEX('Our policies'!$E$4:$E$503,_calc!$E$641))=0,"",INDEX('Our policies'!$E$4:$E$503,_calc!$E$641))&amp;". ")&amp;IF(LEN(IF(LEN(INDEX('Our policies'!$S$4:$S$503,_calc!$E$641))=0,"",INDEX('Our policies'!$S$4:$S$503,_calc!$E$641)))=0,"",IF(LEN(INDEX('Our policies'!$S$4:$S$503,_calc!$E$641))=0,"",INDEX('Our policies'!$S$4:$S$503,_calc!$E$641)))),TRIM(IF(LEN(IF(LEN(INDEX('Vendor COIs'!$C$4:$C$503,(_calc!$E$641-500)))=0,"",INDEX('Vendor COIs'!$C$4:$C$503,(_calc!$E$641-500))))=0,"","Insurer: "&amp;IF(LEN(INDEX('Vendor COIs'!$C$4:$C$503,(_calc!$E$641-500)))=0,"",INDEX('Vendor COIs'!$C$4:$C$503,(_calc!$E$641-500)))&amp;". ")&amp;IF(LEN(IF(LEN(INDEX('Vendor COIs'!$D$4:$D$503,(_calc!$E$641-500)))=0,"",INDEX('Vendor COIs'!$D$4:$D$503,(_calc!$E$641-500))))=0,"","Policy no.: "&amp;IF(LEN(INDEX('Vendor COIs'!$D$4:$D$503,(_calc!$E$641-500)))=0,"",INDEX('Vendor COIs'!$D$4:$D$503,(_calc!$E$641-500)))&amp;". ")&amp;IF(LEN(IF(LEN(INDEX('Vendor COIs'!$F$4:$F$503,(_calc!$E$641-500)))=0,"",INDEX('Vendor COIs'!$F$4:$F$503,(_calc!$E$641-500))))=0,"","Meets minimum: "&amp;IF(LEN(INDEX('Vendor COIs'!$F$4:$F$503,(_calc!$E$641-500)))=0,"",INDEX('Vendor COIs'!$F$4:$F$503,(_calc!$E$641-500)))&amp;". ")&amp;IF(LEN(IF(LEN(INDEX('Vendor COIs'!$G$4:$G$503,(_calc!$E$641-500)))=0,"",INDEX('Vendor COIs'!$G$4:$G$503,(_calc!$E$641-500))))=0,"","Additional insured: "&amp;IF(LEN(INDEX('Vendor COIs'!$G$4:$G$503,(_calc!$E$641-500)))=0,"",INDEX('Vendor COIs'!$G$4:$G$503,(_calc!$E$641-500)))&amp;". ")&amp;IF(LEN(IF(LEN(INDEX('Vendor COIs'!$M$4:$M$503,(_calc!$E$641-500)))=0,"",INDEX('Vendor COIs'!$M$4:$M$503,(_calc!$E$641-500))))=0,"","Vendor contact: "&amp;IF(LEN(INDEX('Vendor COIs'!$M$4:$M$503,(_calc!$E$641-500)))=0,"",INDEX('Vendor COIs'!$M$4:$M$503,(_calc!$E$641-500)))&amp;". ")&amp;IF(LEN(IF(LEN(INDEX('Vendor COIs'!$P$4:$P$503,(_calc!$E$641-500)))=0,"",INDEX('Vendor COIs'!$P$4:$P$503,(_calc!$E$641-500))))=0,"",IF(LEN(INDEX('Vendor COIs'!$P$4:$P$503,(_calc!$E$641-500)))=0,"",INDEX('Vendor COIs'!$P$4:$P$503,(_calc!$E$641-500)))))))</f>
        <v/>
      </c>
      <c r="G639" s="46">
        <f>IF(_calc!$E$641="","",IF(_calc!$E$641&lt;=500,IF(LEN(INDEX('Our policies'!$R$4:$R$503,_calc!$E$641))=0,"",INDEX('Our policies'!$R$4:$R$503,_calc!$E$641)),IF(LEN(INDEX('Vendor COIs'!$O$4:$O$503,(_calc!$E$641-500)))=0,"",INDEX('Vendor COIs'!$O$4:$O$503,(_calc!$E$641-500)))))</f>
        <v/>
      </c>
      <c r="H639" s="46">
        <f>IF(_calc!$E$641="","",IF(_calc!$E$641&lt;=500,IF(LEN(INDEX('Our policies'!$G$4:$G$503,_calc!$E$641))=0,"",INDEX('Our policies'!$G$4:$G$503,_calc!$E$641)),""))</f>
        <v/>
      </c>
      <c r="I639" s="46">
        <f>IF(_calc!$E$641="","",IF(_calc!$E$641&lt;=500,IF(LEN(INDEX('Our policies'!$H$4:$H$503,_calc!$E$641))=0,"",INDEX('Our policies'!$H$4:$H$503,_calc!$E$641)),""))</f>
        <v/>
      </c>
      <c r="K639" s="46">
        <f>IF(_calc!$E$641="","",IF(_calc!$E$641&lt;=500,IF(LEN(INDEX('Our policies'!$P$4:$P$503,_calc!$E$641))=0,"",INDEX('Our policies'!$P$4:$P$503,_calc!$E$641)),IF(LEN(INDEX('Vendor COIs'!$N$4:$N$503,(_calc!$E$641-500)))=0,"",INDEX('Vendor COIs'!$N$4:$N$503,(_calc!$E$641-500)))))</f>
        <v/>
      </c>
    </row>
    <row r="640">
      <c r="A640" s="46">
        <f>IF(_calc!$E$642="","",IF(_calc!$E$642&lt;=500,IF(LEN(INDEX('Our policies'!$A$4:$A$503,_calc!$E$642))=0,"",INDEX('Our policies'!$A$4:$A$503,_calc!$E$642)),"COI – "&amp;IF(LEN(INDEX('Vendor COIs'!$A$4:$A$503,(_calc!$E$642-500)))=0,"",INDEX('Vendor COIs'!$A$4:$A$503,(_calc!$E$642-500)))&amp;" – "&amp;IF(LEN(INDEX('Vendor COIs'!$B$4:$B$503,(_calc!$E$642-500)))=0,"",INDEX('Vendor COIs'!$B$4:$B$503,(_calc!$E$642-500)))))</f>
        <v/>
      </c>
      <c r="B640" s="46">
        <f>IF(_calc!$E$642="","",IF(_calc!$E$642&lt;=500,IF(ISNUMBER(INDEX('Our policies'!$J$4:$J$503,_calc!$E$642)),TEXT(INDEX('Our policies'!$J$4:$J$503,_calc!$E$642),"yyyy-mm-dd"),""),IF(ISNUMBER(INDEX('Vendor COIs'!$H$4:$H$503,(_calc!$E$642-500))),TEXT(INDEX('Vendor COIs'!$H$4:$H$503,(_calc!$E$642-500)),"yyyy-mm-dd"),"")))</f>
        <v/>
      </c>
      <c r="C640" s="46">
        <f>IF(_calc!$E$642="","",IF(_calc!$E$642&lt;=500,"Insurance","Certificate of insurance"))</f>
        <v/>
      </c>
      <c r="D640" s="46">
        <f>IF(_calc!$E$642="","",IF(_calc!$E$642&lt;=500,IF(ISNUMBER(INDEX('Our policies'!$I$4:$I$503,_calc!$E$642)),TEXT(INDEX('Our policies'!$I$4:$I$503,_calc!$E$642),"yyyy-mm-dd"),""),""))</f>
        <v/>
      </c>
      <c r="E640" s="46">
        <f>IF(_calc!$E$642="","",IF(_calc!$E$642&lt;=500,IF(LEN(INDEX('Our policies'!$Q$4:$Q$503,_calc!$E$642))=0,"",INDEX('Our policies'!$Q$4:$Q$503,_calc!$E$642)),"Medium"))</f>
        <v/>
      </c>
      <c r="F640" s="46">
        <f>IF(_calc!$E$642="","",IF(_calc!$E$642&lt;=500,TRIM(IF(LEN(IF(LEN(INDEX('Our policies'!$B$4:$B$503,_calc!$E$642))=0,"",INDEX('Our policies'!$B$4:$B$503,_calc!$E$642)))=0,"","Cover: "&amp;IF(LEN(INDEX('Our policies'!$B$4:$B$503,_calc!$E$642))=0,"",INDEX('Our policies'!$B$4:$B$503,_calc!$E$642))&amp;". ")&amp;IF(LEN(IF(LEN(INDEX('Our policies'!$C$4:$C$503,_calc!$E$642))=0,"",INDEX('Our policies'!$C$4:$C$503,_calc!$E$642)))=0,"","Insurer: "&amp;IF(LEN(INDEX('Our policies'!$C$4:$C$503,_calc!$E$642))=0,"",INDEX('Our policies'!$C$4:$C$503,_calc!$E$642))&amp;". ")&amp;IF(LEN(IF(LEN(INDEX('Our policies'!$D$4:$D$503,_calc!$E$642))=0,"",INDEX('Our policies'!$D$4:$D$503,_calc!$E$642)))=0,"","Broker: "&amp;IF(LEN(INDEX('Our policies'!$D$4:$D$503,_calc!$E$642))=0,"",INDEX('Our policies'!$D$4:$D$503,_calc!$E$642))&amp;". ")&amp;IF(LEN(IF(LEN(INDEX('Our policies'!$E$4:$E$503,_calc!$E$642))=0,"",INDEX('Our policies'!$E$4:$E$503,_calc!$E$642)))=0,"","Policy no.: "&amp;IF(LEN(INDEX('Our policies'!$E$4:$E$503,_calc!$E$642))=0,"",INDEX('Our policies'!$E$4:$E$503,_calc!$E$642))&amp;". ")&amp;IF(LEN(IF(LEN(INDEX('Our policies'!$S$4:$S$503,_calc!$E$642))=0,"",INDEX('Our policies'!$S$4:$S$503,_calc!$E$642)))=0,"",IF(LEN(INDEX('Our policies'!$S$4:$S$503,_calc!$E$642))=0,"",INDEX('Our policies'!$S$4:$S$503,_calc!$E$642)))),TRIM(IF(LEN(IF(LEN(INDEX('Vendor COIs'!$C$4:$C$503,(_calc!$E$642-500)))=0,"",INDEX('Vendor COIs'!$C$4:$C$503,(_calc!$E$642-500))))=0,"","Insurer: "&amp;IF(LEN(INDEX('Vendor COIs'!$C$4:$C$503,(_calc!$E$642-500)))=0,"",INDEX('Vendor COIs'!$C$4:$C$503,(_calc!$E$642-500)))&amp;". ")&amp;IF(LEN(IF(LEN(INDEX('Vendor COIs'!$D$4:$D$503,(_calc!$E$642-500)))=0,"",INDEX('Vendor COIs'!$D$4:$D$503,(_calc!$E$642-500))))=0,"","Policy no.: "&amp;IF(LEN(INDEX('Vendor COIs'!$D$4:$D$503,(_calc!$E$642-500)))=0,"",INDEX('Vendor COIs'!$D$4:$D$503,(_calc!$E$642-500)))&amp;". ")&amp;IF(LEN(IF(LEN(INDEX('Vendor COIs'!$F$4:$F$503,(_calc!$E$642-500)))=0,"",INDEX('Vendor COIs'!$F$4:$F$503,(_calc!$E$642-500))))=0,"","Meets minimum: "&amp;IF(LEN(INDEX('Vendor COIs'!$F$4:$F$503,(_calc!$E$642-500)))=0,"",INDEX('Vendor COIs'!$F$4:$F$503,(_calc!$E$642-500)))&amp;". ")&amp;IF(LEN(IF(LEN(INDEX('Vendor COIs'!$G$4:$G$503,(_calc!$E$642-500)))=0,"",INDEX('Vendor COIs'!$G$4:$G$503,(_calc!$E$642-500))))=0,"","Additional insured: "&amp;IF(LEN(INDEX('Vendor COIs'!$G$4:$G$503,(_calc!$E$642-500)))=0,"",INDEX('Vendor COIs'!$G$4:$G$503,(_calc!$E$642-500)))&amp;". ")&amp;IF(LEN(IF(LEN(INDEX('Vendor COIs'!$M$4:$M$503,(_calc!$E$642-500)))=0,"",INDEX('Vendor COIs'!$M$4:$M$503,(_calc!$E$642-500))))=0,"","Vendor contact: "&amp;IF(LEN(INDEX('Vendor COIs'!$M$4:$M$503,(_calc!$E$642-500)))=0,"",INDEX('Vendor COIs'!$M$4:$M$503,(_calc!$E$642-500)))&amp;". ")&amp;IF(LEN(IF(LEN(INDEX('Vendor COIs'!$P$4:$P$503,(_calc!$E$642-500)))=0,"",INDEX('Vendor COIs'!$P$4:$P$503,(_calc!$E$642-500))))=0,"",IF(LEN(INDEX('Vendor COIs'!$P$4:$P$503,(_calc!$E$642-500)))=0,"",INDEX('Vendor COIs'!$P$4:$P$503,(_calc!$E$642-500)))))))</f>
        <v/>
      </c>
      <c r="G640" s="46">
        <f>IF(_calc!$E$642="","",IF(_calc!$E$642&lt;=500,IF(LEN(INDEX('Our policies'!$R$4:$R$503,_calc!$E$642))=0,"",INDEX('Our policies'!$R$4:$R$503,_calc!$E$642)),IF(LEN(INDEX('Vendor COIs'!$O$4:$O$503,(_calc!$E$642-500)))=0,"",INDEX('Vendor COIs'!$O$4:$O$503,(_calc!$E$642-500)))))</f>
        <v/>
      </c>
      <c r="H640" s="46">
        <f>IF(_calc!$E$642="","",IF(_calc!$E$642&lt;=500,IF(LEN(INDEX('Our policies'!$G$4:$G$503,_calc!$E$642))=0,"",INDEX('Our policies'!$G$4:$G$503,_calc!$E$642)),""))</f>
        <v/>
      </c>
      <c r="I640" s="46">
        <f>IF(_calc!$E$642="","",IF(_calc!$E$642&lt;=500,IF(LEN(INDEX('Our policies'!$H$4:$H$503,_calc!$E$642))=0,"",INDEX('Our policies'!$H$4:$H$503,_calc!$E$642)),""))</f>
        <v/>
      </c>
      <c r="K640" s="46">
        <f>IF(_calc!$E$642="","",IF(_calc!$E$642&lt;=500,IF(LEN(INDEX('Our policies'!$P$4:$P$503,_calc!$E$642))=0,"",INDEX('Our policies'!$P$4:$P$503,_calc!$E$642)),IF(LEN(INDEX('Vendor COIs'!$N$4:$N$503,(_calc!$E$642-500)))=0,"",INDEX('Vendor COIs'!$N$4:$N$503,(_calc!$E$642-500)))))</f>
        <v/>
      </c>
    </row>
    <row r="641">
      <c r="A641" s="46">
        <f>IF(_calc!$E$643="","",IF(_calc!$E$643&lt;=500,IF(LEN(INDEX('Our policies'!$A$4:$A$503,_calc!$E$643))=0,"",INDEX('Our policies'!$A$4:$A$503,_calc!$E$643)),"COI – "&amp;IF(LEN(INDEX('Vendor COIs'!$A$4:$A$503,(_calc!$E$643-500)))=0,"",INDEX('Vendor COIs'!$A$4:$A$503,(_calc!$E$643-500)))&amp;" – "&amp;IF(LEN(INDEX('Vendor COIs'!$B$4:$B$503,(_calc!$E$643-500)))=0,"",INDEX('Vendor COIs'!$B$4:$B$503,(_calc!$E$643-500)))))</f>
        <v/>
      </c>
      <c r="B641" s="46">
        <f>IF(_calc!$E$643="","",IF(_calc!$E$643&lt;=500,IF(ISNUMBER(INDEX('Our policies'!$J$4:$J$503,_calc!$E$643)),TEXT(INDEX('Our policies'!$J$4:$J$503,_calc!$E$643),"yyyy-mm-dd"),""),IF(ISNUMBER(INDEX('Vendor COIs'!$H$4:$H$503,(_calc!$E$643-500))),TEXT(INDEX('Vendor COIs'!$H$4:$H$503,(_calc!$E$643-500)),"yyyy-mm-dd"),"")))</f>
        <v/>
      </c>
      <c r="C641" s="46">
        <f>IF(_calc!$E$643="","",IF(_calc!$E$643&lt;=500,"Insurance","Certificate of insurance"))</f>
        <v/>
      </c>
      <c r="D641" s="46">
        <f>IF(_calc!$E$643="","",IF(_calc!$E$643&lt;=500,IF(ISNUMBER(INDEX('Our policies'!$I$4:$I$503,_calc!$E$643)),TEXT(INDEX('Our policies'!$I$4:$I$503,_calc!$E$643),"yyyy-mm-dd"),""),""))</f>
        <v/>
      </c>
      <c r="E641" s="46">
        <f>IF(_calc!$E$643="","",IF(_calc!$E$643&lt;=500,IF(LEN(INDEX('Our policies'!$Q$4:$Q$503,_calc!$E$643))=0,"",INDEX('Our policies'!$Q$4:$Q$503,_calc!$E$643)),"Medium"))</f>
        <v/>
      </c>
      <c r="F641" s="46">
        <f>IF(_calc!$E$643="","",IF(_calc!$E$643&lt;=500,TRIM(IF(LEN(IF(LEN(INDEX('Our policies'!$B$4:$B$503,_calc!$E$643))=0,"",INDEX('Our policies'!$B$4:$B$503,_calc!$E$643)))=0,"","Cover: "&amp;IF(LEN(INDEX('Our policies'!$B$4:$B$503,_calc!$E$643))=0,"",INDEX('Our policies'!$B$4:$B$503,_calc!$E$643))&amp;". ")&amp;IF(LEN(IF(LEN(INDEX('Our policies'!$C$4:$C$503,_calc!$E$643))=0,"",INDEX('Our policies'!$C$4:$C$503,_calc!$E$643)))=0,"","Insurer: "&amp;IF(LEN(INDEX('Our policies'!$C$4:$C$503,_calc!$E$643))=0,"",INDEX('Our policies'!$C$4:$C$503,_calc!$E$643))&amp;". ")&amp;IF(LEN(IF(LEN(INDEX('Our policies'!$D$4:$D$503,_calc!$E$643))=0,"",INDEX('Our policies'!$D$4:$D$503,_calc!$E$643)))=0,"","Broker: "&amp;IF(LEN(INDEX('Our policies'!$D$4:$D$503,_calc!$E$643))=0,"",INDEX('Our policies'!$D$4:$D$503,_calc!$E$643))&amp;". ")&amp;IF(LEN(IF(LEN(INDEX('Our policies'!$E$4:$E$503,_calc!$E$643))=0,"",INDEX('Our policies'!$E$4:$E$503,_calc!$E$643)))=0,"","Policy no.: "&amp;IF(LEN(INDEX('Our policies'!$E$4:$E$503,_calc!$E$643))=0,"",INDEX('Our policies'!$E$4:$E$503,_calc!$E$643))&amp;". ")&amp;IF(LEN(IF(LEN(INDEX('Our policies'!$S$4:$S$503,_calc!$E$643))=0,"",INDEX('Our policies'!$S$4:$S$503,_calc!$E$643)))=0,"",IF(LEN(INDEX('Our policies'!$S$4:$S$503,_calc!$E$643))=0,"",INDEX('Our policies'!$S$4:$S$503,_calc!$E$643)))),TRIM(IF(LEN(IF(LEN(INDEX('Vendor COIs'!$C$4:$C$503,(_calc!$E$643-500)))=0,"",INDEX('Vendor COIs'!$C$4:$C$503,(_calc!$E$643-500))))=0,"","Insurer: "&amp;IF(LEN(INDEX('Vendor COIs'!$C$4:$C$503,(_calc!$E$643-500)))=0,"",INDEX('Vendor COIs'!$C$4:$C$503,(_calc!$E$643-500)))&amp;". ")&amp;IF(LEN(IF(LEN(INDEX('Vendor COIs'!$D$4:$D$503,(_calc!$E$643-500)))=0,"",INDEX('Vendor COIs'!$D$4:$D$503,(_calc!$E$643-500))))=0,"","Policy no.: "&amp;IF(LEN(INDEX('Vendor COIs'!$D$4:$D$503,(_calc!$E$643-500)))=0,"",INDEX('Vendor COIs'!$D$4:$D$503,(_calc!$E$643-500)))&amp;". ")&amp;IF(LEN(IF(LEN(INDEX('Vendor COIs'!$F$4:$F$503,(_calc!$E$643-500)))=0,"",INDEX('Vendor COIs'!$F$4:$F$503,(_calc!$E$643-500))))=0,"","Meets minimum: "&amp;IF(LEN(INDEX('Vendor COIs'!$F$4:$F$503,(_calc!$E$643-500)))=0,"",INDEX('Vendor COIs'!$F$4:$F$503,(_calc!$E$643-500)))&amp;". ")&amp;IF(LEN(IF(LEN(INDEX('Vendor COIs'!$G$4:$G$503,(_calc!$E$643-500)))=0,"",INDEX('Vendor COIs'!$G$4:$G$503,(_calc!$E$643-500))))=0,"","Additional insured: "&amp;IF(LEN(INDEX('Vendor COIs'!$G$4:$G$503,(_calc!$E$643-500)))=0,"",INDEX('Vendor COIs'!$G$4:$G$503,(_calc!$E$643-500)))&amp;". ")&amp;IF(LEN(IF(LEN(INDEX('Vendor COIs'!$M$4:$M$503,(_calc!$E$643-500)))=0,"",INDEX('Vendor COIs'!$M$4:$M$503,(_calc!$E$643-500))))=0,"","Vendor contact: "&amp;IF(LEN(INDEX('Vendor COIs'!$M$4:$M$503,(_calc!$E$643-500)))=0,"",INDEX('Vendor COIs'!$M$4:$M$503,(_calc!$E$643-500)))&amp;". ")&amp;IF(LEN(IF(LEN(INDEX('Vendor COIs'!$P$4:$P$503,(_calc!$E$643-500)))=0,"",INDEX('Vendor COIs'!$P$4:$P$503,(_calc!$E$643-500))))=0,"",IF(LEN(INDEX('Vendor COIs'!$P$4:$P$503,(_calc!$E$643-500)))=0,"",INDEX('Vendor COIs'!$P$4:$P$503,(_calc!$E$643-500)))))))</f>
        <v/>
      </c>
      <c r="G641" s="46">
        <f>IF(_calc!$E$643="","",IF(_calc!$E$643&lt;=500,IF(LEN(INDEX('Our policies'!$R$4:$R$503,_calc!$E$643))=0,"",INDEX('Our policies'!$R$4:$R$503,_calc!$E$643)),IF(LEN(INDEX('Vendor COIs'!$O$4:$O$503,(_calc!$E$643-500)))=0,"",INDEX('Vendor COIs'!$O$4:$O$503,(_calc!$E$643-500)))))</f>
        <v/>
      </c>
      <c r="H641" s="46">
        <f>IF(_calc!$E$643="","",IF(_calc!$E$643&lt;=500,IF(LEN(INDEX('Our policies'!$G$4:$G$503,_calc!$E$643))=0,"",INDEX('Our policies'!$G$4:$G$503,_calc!$E$643)),""))</f>
        <v/>
      </c>
      <c r="I641" s="46">
        <f>IF(_calc!$E$643="","",IF(_calc!$E$643&lt;=500,IF(LEN(INDEX('Our policies'!$H$4:$H$503,_calc!$E$643))=0,"",INDEX('Our policies'!$H$4:$H$503,_calc!$E$643)),""))</f>
        <v/>
      </c>
      <c r="K641" s="46">
        <f>IF(_calc!$E$643="","",IF(_calc!$E$643&lt;=500,IF(LEN(INDEX('Our policies'!$P$4:$P$503,_calc!$E$643))=0,"",INDEX('Our policies'!$P$4:$P$503,_calc!$E$643)),IF(LEN(INDEX('Vendor COIs'!$N$4:$N$503,(_calc!$E$643-500)))=0,"",INDEX('Vendor COIs'!$N$4:$N$503,(_calc!$E$643-500)))))</f>
        <v/>
      </c>
    </row>
    <row r="642">
      <c r="A642" s="46">
        <f>IF(_calc!$E$644="","",IF(_calc!$E$644&lt;=500,IF(LEN(INDEX('Our policies'!$A$4:$A$503,_calc!$E$644))=0,"",INDEX('Our policies'!$A$4:$A$503,_calc!$E$644)),"COI – "&amp;IF(LEN(INDEX('Vendor COIs'!$A$4:$A$503,(_calc!$E$644-500)))=0,"",INDEX('Vendor COIs'!$A$4:$A$503,(_calc!$E$644-500)))&amp;" – "&amp;IF(LEN(INDEX('Vendor COIs'!$B$4:$B$503,(_calc!$E$644-500)))=0,"",INDEX('Vendor COIs'!$B$4:$B$503,(_calc!$E$644-500)))))</f>
        <v/>
      </c>
      <c r="B642" s="46">
        <f>IF(_calc!$E$644="","",IF(_calc!$E$644&lt;=500,IF(ISNUMBER(INDEX('Our policies'!$J$4:$J$503,_calc!$E$644)),TEXT(INDEX('Our policies'!$J$4:$J$503,_calc!$E$644),"yyyy-mm-dd"),""),IF(ISNUMBER(INDEX('Vendor COIs'!$H$4:$H$503,(_calc!$E$644-500))),TEXT(INDEX('Vendor COIs'!$H$4:$H$503,(_calc!$E$644-500)),"yyyy-mm-dd"),"")))</f>
        <v/>
      </c>
      <c r="C642" s="46">
        <f>IF(_calc!$E$644="","",IF(_calc!$E$644&lt;=500,"Insurance","Certificate of insurance"))</f>
        <v/>
      </c>
      <c r="D642" s="46">
        <f>IF(_calc!$E$644="","",IF(_calc!$E$644&lt;=500,IF(ISNUMBER(INDEX('Our policies'!$I$4:$I$503,_calc!$E$644)),TEXT(INDEX('Our policies'!$I$4:$I$503,_calc!$E$644),"yyyy-mm-dd"),""),""))</f>
        <v/>
      </c>
      <c r="E642" s="46">
        <f>IF(_calc!$E$644="","",IF(_calc!$E$644&lt;=500,IF(LEN(INDEX('Our policies'!$Q$4:$Q$503,_calc!$E$644))=0,"",INDEX('Our policies'!$Q$4:$Q$503,_calc!$E$644)),"Medium"))</f>
        <v/>
      </c>
      <c r="F642" s="46">
        <f>IF(_calc!$E$644="","",IF(_calc!$E$644&lt;=500,TRIM(IF(LEN(IF(LEN(INDEX('Our policies'!$B$4:$B$503,_calc!$E$644))=0,"",INDEX('Our policies'!$B$4:$B$503,_calc!$E$644)))=0,"","Cover: "&amp;IF(LEN(INDEX('Our policies'!$B$4:$B$503,_calc!$E$644))=0,"",INDEX('Our policies'!$B$4:$B$503,_calc!$E$644))&amp;". ")&amp;IF(LEN(IF(LEN(INDEX('Our policies'!$C$4:$C$503,_calc!$E$644))=0,"",INDEX('Our policies'!$C$4:$C$503,_calc!$E$644)))=0,"","Insurer: "&amp;IF(LEN(INDEX('Our policies'!$C$4:$C$503,_calc!$E$644))=0,"",INDEX('Our policies'!$C$4:$C$503,_calc!$E$644))&amp;". ")&amp;IF(LEN(IF(LEN(INDEX('Our policies'!$D$4:$D$503,_calc!$E$644))=0,"",INDEX('Our policies'!$D$4:$D$503,_calc!$E$644)))=0,"","Broker: "&amp;IF(LEN(INDEX('Our policies'!$D$4:$D$503,_calc!$E$644))=0,"",INDEX('Our policies'!$D$4:$D$503,_calc!$E$644))&amp;". ")&amp;IF(LEN(IF(LEN(INDEX('Our policies'!$E$4:$E$503,_calc!$E$644))=0,"",INDEX('Our policies'!$E$4:$E$503,_calc!$E$644)))=0,"","Policy no.: "&amp;IF(LEN(INDEX('Our policies'!$E$4:$E$503,_calc!$E$644))=0,"",INDEX('Our policies'!$E$4:$E$503,_calc!$E$644))&amp;". ")&amp;IF(LEN(IF(LEN(INDEX('Our policies'!$S$4:$S$503,_calc!$E$644))=0,"",INDEX('Our policies'!$S$4:$S$503,_calc!$E$644)))=0,"",IF(LEN(INDEX('Our policies'!$S$4:$S$503,_calc!$E$644))=0,"",INDEX('Our policies'!$S$4:$S$503,_calc!$E$644)))),TRIM(IF(LEN(IF(LEN(INDEX('Vendor COIs'!$C$4:$C$503,(_calc!$E$644-500)))=0,"",INDEX('Vendor COIs'!$C$4:$C$503,(_calc!$E$644-500))))=0,"","Insurer: "&amp;IF(LEN(INDEX('Vendor COIs'!$C$4:$C$503,(_calc!$E$644-500)))=0,"",INDEX('Vendor COIs'!$C$4:$C$503,(_calc!$E$644-500)))&amp;". ")&amp;IF(LEN(IF(LEN(INDEX('Vendor COIs'!$D$4:$D$503,(_calc!$E$644-500)))=0,"",INDEX('Vendor COIs'!$D$4:$D$503,(_calc!$E$644-500))))=0,"","Policy no.: "&amp;IF(LEN(INDEX('Vendor COIs'!$D$4:$D$503,(_calc!$E$644-500)))=0,"",INDEX('Vendor COIs'!$D$4:$D$503,(_calc!$E$644-500)))&amp;". ")&amp;IF(LEN(IF(LEN(INDEX('Vendor COIs'!$F$4:$F$503,(_calc!$E$644-500)))=0,"",INDEX('Vendor COIs'!$F$4:$F$503,(_calc!$E$644-500))))=0,"","Meets minimum: "&amp;IF(LEN(INDEX('Vendor COIs'!$F$4:$F$503,(_calc!$E$644-500)))=0,"",INDEX('Vendor COIs'!$F$4:$F$503,(_calc!$E$644-500)))&amp;". ")&amp;IF(LEN(IF(LEN(INDEX('Vendor COIs'!$G$4:$G$503,(_calc!$E$644-500)))=0,"",INDEX('Vendor COIs'!$G$4:$G$503,(_calc!$E$644-500))))=0,"","Additional insured: "&amp;IF(LEN(INDEX('Vendor COIs'!$G$4:$G$503,(_calc!$E$644-500)))=0,"",INDEX('Vendor COIs'!$G$4:$G$503,(_calc!$E$644-500)))&amp;". ")&amp;IF(LEN(IF(LEN(INDEX('Vendor COIs'!$M$4:$M$503,(_calc!$E$644-500)))=0,"",INDEX('Vendor COIs'!$M$4:$M$503,(_calc!$E$644-500))))=0,"","Vendor contact: "&amp;IF(LEN(INDEX('Vendor COIs'!$M$4:$M$503,(_calc!$E$644-500)))=0,"",INDEX('Vendor COIs'!$M$4:$M$503,(_calc!$E$644-500)))&amp;". ")&amp;IF(LEN(IF(LEN(INDEX('Vendor COIs'!$P$4:$P$503,(_calc!$E$644-500)))=0,"",INDEX('Vendor COIs'!$P$4:$P$503,(_calc!$E$644-500))))=0,"",IF(LEN(INDEX('Vendor COIs'!$P$4:$P$503,(_calc!$E$644-500)))=0,"",INDEX('Vendor COIs'!$P$4:$P$503,(_calc!$E$644-500)))))))</f>
        <v/>
      </c>
      <c r="G642" s="46">
        <f>IF(_calc!$E$644="","",IF(_calc!$E$644&lt;=500,IF(LEN(INDEX('Our policies'!$R$4:$R$503,_calc!$E$644))=0,"",INDEX('Our policies'!$R$4:$R$503,_calc!$E$644)),IF(LEN(INDEX('Vendor COIs'!$O$4:$O$503,(_calc!$E$644-500)))=0,"",INDEX('Vendor COIs'!$O$4:$O$503,(_calc!$E$644-500)))))</f>
        <v/>
      </c>
      <c r="H642" s="46">
        <f>IF(_calc!$E$644="","",IF(_calc!$E$644&lt;=500,IF(LEN(INDEX('Our policies'!$G$4:$G$503,_calc!$E$644))=0,"",INDEX('Our policies'!$G$4:$G$503,_calc!$E$644)),""))</f>
        <v/>
      </c>
      <c r="I642" s="46">
        <f>IF(_calc!$E$644="","",IF(_calc!$E$644&lt;=500,IF(LEN(INDEX('Our policies'!$H$4:$H$503,_calc!$E$644))=0,"",INDEX('Our policies'!$H$4:$H$503,_calc!$E$644)),""))</f>
        <v/>
      </c>
      <c r="K642" s="46">
        <f>IF(_calc!$E$644="","",IF(_calc!$E$644&lt;=500,IF(LEN(INDEX('Our policies'!$P$4:$P$503,_calc!$E$644))=0,"",INDEX('Our policies'!$P$4:$P$503,_calc!$E$644)),IF(LEN(INDEX('Vendor COIs'!$N$4:$N$503,(_calc!$E$644-500)))=0,"",INDEX('Vendor COIs'!$N$4:$N$503,(_calc!$E$644-500)))))</f>
        <v/>
      </c>
    </row>
    <row r="643">
      <c r="A643" s="46">
        <f>IF(_calc!$E$645="","",IF(_calc!$E$645&lt;=500,IF(LEN(INDEX('Our policies'!$A$4:$A$503,_calc!$E$645))=0,"",INDEX('Our policies'!$A$4:$A$503,_calc!$E$645)),"COI – "&amp;IF(LEN(INDEX('Vendor COIs'!$A$4:$A$503,(_calc!$E$645-500)))=0,"",INDEX('Vendor COIs'!$A$4:$A$503,(_calc!$E$645-500)))&amp;" – "&amp;IF(LEN(INDEX('Vendor COIs'!$B$4:$B$503,(_calc!$E$645-500)))=0,"",INDEX('Vendor COIs'!$B$4:$B$503,(_calc!$E$645-500)))))</f>
        <v/>
      </c>
      <c r="B643" s="46">
        <f>IF(_calc!$E$645="","",IF(_calc!$E$645&lt;=500,IF(ISNUMBER(INDEX('Our policies'!$J$4:$J$503,_calc!$E$645)),TEXT(INDEX('Our policies'!$J$4:$J$503,_calc!$E$645),"yyyy-mm-dd"),""),IF(ISNUMBER(INDEX('Vendor COIs'!$H$4:$H$503,(_calc!$E$645-500))),TEXT(INDEX('Vendor COIs'!$H$4:$H$503,(_calc!$E$645-500)),"yyyy-mm-dd"),"")))</f>
        <v/>
      </c>
      <c r="C643" s="46">
        <f>IF(_calc!$E$645="","",IF(_calc!$E$645&lt;=500,"Insurance","Certificate of insurance"))</f>
        <v/>
      </c>
      <c r="D643" s="46">
        <f>IF(_calc!$E$645="","",IF(_calc!$E$645&lt;=500,IF(ISNUMBER(INDEX('Our policies'!$I$4:$I$503,_calc!$E$645)),TEXT(INDEX('Our policies'!$I$4:$I$503,_calc!$E$645),"yyyy-mm-dd"),""),""))</f>
        <v/>
      </c>
      <c r="E643" s="46">
        <f>IF(_calc!$E$645="","",IF(_calc!$E$645&lt;=500,IF(LEN(INDEX('Our policies'!$Q$4:$Q$503,_calc!$E$645))=0,"",INDEX('Our policies'!$Q$4:$Q$503,_calc!$E$645)),"Medium"))</f>
        <v/>
      </c>
      <c r="F643" s="46">
        <f>IF(_calc!$E$645="","",IF(_calc!$E$645&lt;=500,TRIM(IF(LEN(IF(LEN(INDEX('Our policies'!$B$4:$B$503,_calc!$E$645))=0,"",INDEX('Our policies'!$B$4:$B$503,_calc!$E$645)))=0,"","Cover: "&amp;IF(LEN(INDEX('Our policies'!$B$4:$B$503,_calc!$E$645))=0,"",INDEX('Our policies'!$B$4:$B$503,_calc!$E$645))&amp;". ")&amp;IF(LEN(IF(LEN(INDEX('Our policies'!$C$4:$C$503,_calc!$E$645))=0,"",INDEX('Our policies'!$C$4:$C$503,_calc!$E$645)))=0,"","Insurer: "&amp;IF(LEN(INDEX('Our policies'!$C$4:$C$503,_calc!$E$645))=0,"",INDEX('Our policies'!$C$4:$C$503,_calc!$E$645))&amp;". ")&amp;IF(LEN(IF(LEN(INDEX('Our policies'!$D$4:$D$503,_calc!$E$645))=0,"",INDEX('Our policies'!$D$4:$D$503,_calc!$E$645)))=0,"","Broker: "&amp;IF(LEN(INDEX('Our policies'!$D$4:$D$503,_calc!$E$645))=0,"",INDEX('Our policies'!$D$4:$D$503,_calc!$E$645))&amp;". ")&amp;IF(LEN(IF(LEN(INDEX('Our policies'!$E$4:$E$503,_calc!$E$645))=0,"",INDEX('Our policies'!$E$4:$E$503,_calc!$E$645)))=0,"","Policy no.: "&amp;IF(LEN(INDEX('Our policies'!$E$4:$E$503,_calc!$E$645))=0,"",INDEX('Our policies'!$E$4:$E$503,_calc!$E$645))&amp;". ")&amp;IF(LEN(IF(LEN(INDEX('Our policies'!$S$4:$S$503,_calc!$E$645))=0,"",INDEX('Our policies'!$S$4:$S$503,_calc!$E$645)))=0,"",IF(LEN(INDEX('Our policies'!$S$4:$S$503,_calc!$E$645))=0,"",INDEX('Our policies'!$S$4:$S$503,_calc!$E$645)))),TRIM(IF(LEN(IF(LEN(INDEX('Vendor COIs'!$C$4:$C$503,(_calc!$E$645-500)))=0,"",INDEX('Vendor COIs'!$C$4:$C$503,(_calc!$E$645-500))))=0,"","Insurer: "&amp;IF(LEN(INDEX('Vendor COIs'!$C$4:$C$503,(_calc!$E$645-500)))=0,"",INDEX('Vendor COIs'!$C$4:$C$503,(_calc!$E$645-500)))&amp;". ")&amp;IF(LEN(IF(LEN(INDEX('Vendor COIs'!$D$4:$D$503,(_calc!$E$645-500)))=0,"",INDEX('Vendor COIs'!$D$4:$D$503,(_calc!$E$645-500))))=0,"","Policy no.: "&amp;IF(LEN(INDEX('Vendor COIs'!$D$4:$D$503,(_calc!$E$645-500)))=0,"",INDEX('Vendor COIs'!$D$4:$D$503,(_calc!$E$645-500)))&amp;". ")&amp;IF(LEN(IF(LEN(INDEX('Vendor COIs'!$F$4:$F$503,(_calc!$E$645-500)))=0,"",INDEX('Vendor COIs'!$F$4:$F$503,(_calc!$E$645-500))))=0,"","Meets minimum: "&amp;IF(LEN(INDEX('Vendor COIs'!$F$4:$F$503,(_calc!$E$645-500)))=0,"",INDEX('Vendor COIs'!$F$4:$F$503,(_calc!$E$645-500)))&amp;". ")&amp;IF(LEN(IF(LEN(INDEX('Vendor COIs'!$G$4:$G$503,(_calc!$E$645-500)))=0,"",INDEX('Vendor COIs'!$G$4:$G$503,(_calc!$E$645-500))))=0,"","Additional insured: "&amp;IF(LEN(INDEX('Vendor COIs'!$G$4:$G$503,(_calc!$E$645-500)))=0,"",INDEX('Vendor COIs'!$G$4:$G$503,(_calc!$E$645-500)))&amp;". ")&amp;IF(LEN(IF(LEN(INDEX('Vendor COIs'!$M$4:$M$503,(_calc!$E$645-500)))=0,"",INDEX('Vendor COIs'!$M$4:$M$503,(_calc!$E$645-500))))=0,"","Vendor contact: "&amp;IF(LEN(INDEX('Vendor COIs'!$M$4:$M$503,(_calc!$E$645-500)))=0,"",INDEX('Vendor COIs'!$M$4:$M$503,(_calc!$E$645-500)))&amp;". ")&amp;IF(LEN(IF(LEN(INDEX('Vendor COIs'!$P$4:$P$503,(_calc!$E$645-500)))=0,"",INDEX('Vendor COIs'!$P$4:$P$503,(_calc!$E$645-500))))=0,"",IF(LEN(INDEX('Vendor COIs'!$P$4:$P$503,(_calc!$E$645-500)))=0,"",INDEX('Vendor COIs'!$P$4:$P$503,(_calc!$E$645-500)))))))</f>
        <v/>
      </c>
      <c r="G643" s="46">
        <f>IF(_calc!$E$645="","",IF(_calc!$E$645&lt;=500,IF(LEN(INDEX('Our policies'!$R$4:$R$503,_calc!$E$645))=0,"",INDEX('Our policies'!$R$4:$R$503,_calc!$E$645)),IF(LEN(INDEX('Vendor COIs'!$O$4:$O$503,(_calc!$E$645-500)))=0,"",INDEX('Vendor COIs'!$O$4:$O$503,(_calc!$E$645-500)))))</f>
        <v/>
      </c>
      <c r="H643" s="46">
        <f>IF(_calc!$E$645="","",IF(_calc!$E$645&lt;=500,IF(LEN(INDEX('Our policies'!$G$4:$G$503,_calc!$E$645))=0,"",INDEX('Our policies'!$G$4:$G$503,_calc!$E$645)),""))</f>
        <v/>
      </c>
      <c r="I643" s="46">
        <f>IF(_calc!$E$645="","",IF(_calc!$E$645&lt;=500,IF(LEN(INDEX('Our policies'!$H$4:$H$503,_calc!$E$645))=0,"",INDEX('Our policies'!$H$4:$H$503,_calc!$E$645)),""))</f>
        <v/>
      </c>
      <c r="K643" s="46">
        <f>IF(_calc!$E$645="","",IF(_calc!$E$645&lt;=500,IF(LEN(INDEX('Our policies'!$P$4:$P$503,_calc!$E$645))=0,"",INDEX('Our policies'!$P$4:$P$503,_calc!$E$645)),IF(LEN(INDEX('Vendor COIs'!$N$4:$N$503,(_calc!$E$645-500)))=0,"",INDEX('Vendor COIs'!$N$4:$N$503,(_calc!$E$645-500)))))</f>
        <v/>
      </c>
    </row>
    <row r="644">
      <c r="A644" s="46">
        <f>IF(_calc!$E$646="","",IF(_calc!$E$646&lt;=500,IF(LEN(INDEX('Our policies'!$A$4:$A$503,_calc!$E$646))=0,"",INDEX('Our policies'!$A$4:$A$503,_calc!$E$646)),"COI – "&amp;IF(LEN(INDEX('Vendor COIs'!$A$4:$A$503,(_calc!$E$646-500)))=0,"",INDEX('Vendor COIs'!$A$4:$A$503,(_calc!$E$646-500)))&amp;" – "&amp;IF(LEN(INDEX('Vendor COIs'!$B$4:$B$503,(_calc!$E$646-500)))=0,"",INDEX('Vendor COIs'!$B$4:$B$503,(_calc!$E$646-500)))))</f>
        <v/>
      </c>
      <c r="B644" s="46">
        <f>IF(_calc!$E$646="","",IF(_calc!$E$646&lt;=500,IF(ISNUMBER(INDEX('Our policies'!$J$4:$J$503,_calc!$E$646)),TEXT(INDEX('Our policies'!$J$4:$J$503,_calc!$E$646),"yyyy-mm-dd"),""),IF(ISNUMBER(INDEX('Vendor COIs'!$H$4:$H$503,(_calc!$E$646-500))),TEXT(INDEX('Vendor COIs'!$H$4:$H$503,(_calc!$E$646-500)),"yyyy-mm-dd"),"")))</f>
        <v/>
      </c>
      <c r="C644" s="46">
        <f>IF(_calc!$E$646="","",IF(_calc!$E$646&lt;=500,"Insurance","Certificate of insurance"))</f>
        <v/>
      </c>
      <c r="D644" s="46">
        <f>IF(_calc!$E$646="","",IF(_calc!$E$646&lt;=500,IF(ISNUMBER(INDEX('Our policies'!$I$4:$I$503,_calc!$E$646)),TEXT(INDEX('Our policies'!$I$4:$I$503,_calc!$E$646),"yyyy-mm-dd"),""),""))</f>
        <v/>
      </c>
      <c r="E644" s="46">
        <f>IF(_calc!$E$646="","",IF(_calc!$E$646&lt;=500,IF(LEN(INDEX('Our policies'!$Q$4:$Q$503,_calc!$E$646))=0,"",INDEX('Our policies'!$Q$4:$Q$503,_calc!$E$646)),"Medium"))</f>
        <v/>
      </c>
      <c r="F644" s="46">
        <f>IF(_calc!$E$646="","",IF(_calc!$E$646&lt;=500,TRIM(IF(LEN(IF(LEN(INDEX('Our policies'!$B$4:$B$503,_calc!$E$646))=0,"",INDEX('Our policies'!$B$4:$B$503,_calc!$E$646)))=0,"","Cover: "&amp;IF(LEN(INDEX('Our policies'!$B$4:$B$503,_calc!$E$646))=0,"",INDEX('Our policies'!$B$4:$B$503,_calc!$E$646))&amp;". ")&amp;IF(LEN(IF(LEN(INDEX('Our policies'!$C$4:$C$503,_calc!$E$646))=0,"",INDEX('Our policies'!$C$4:$C$503,_calc!$E$646)))=0,"","Insurer: "&amp;IF(LEN(INDEX('Our policies'!$C$4:$C$503,_calc!$E$646))=0,"",INDEX('Our policies'!$C$4:$C$503,_calc!$E$646))&amp;". ")&amp;IF(LEN(IF(LEN(INDEX('Our policies'!$D$4:$D$503,_calc!$E$646))=0,"",INDEX('Our policies'!$D$4:$D$503,_calc!$E$646)))=0,"","Broker: "&amp;IF(LEN(INDEX('Our policies'!$D$4:$D$503,_calc!$E$646))=0,"",INDEX('Our policies'!$D$4:$D$503,_calc!$E$646))&amp;". ")&amp;IF(LEN(IF(LEN(INDEX('Our policies'!$E$4:$E$503,_calc!$E$646))=0,"",INDEX('Our policies'!$E$4:$E$503,_calc!$E$646)))=0,"","Policy no.: "&amp;IF(LEN(INDEX('Our policies'!$E$4:$E$503,_calc!$E$646))=0,"",INDEX('Our policies'!$E$4:$E$503,_calc!$E$646))&amp;". ")&amp;IF(LEN(IF(LEN(INDEX('Our policies'!$S$4:$S$503,_calc!$E$646))=0,"",INDEX('Our policies'!$S$4:$S$503,_calc!$E$646)))=0,"",IF(LEN(INDEX('Our policies'!$S$4:$S$503,_calc!$E$646))=0,"",INDEX('Our policies'!$S$4:$S$503,_calc!$E$646)))),TRIM(IF(LEN(IF(LEN(INDEX('Vendor COIs'!$C$4:$C$503,(_calc!$E$646-500)))=0,"",INDEX('Vendor COIs'!$C$4:$C$503,(_calc!$E$646-500))))=0,"","Insurer: "&amp;IF(LEN(INDEX('Vendor COIs'!$C$4:$C$503,(_calc!$E$646-500)))=0,"",INDEX('Vendor COIs'!$C$4:$C$503,(_calc!$E$646-500)))&amp;". ")&amp;IF(LEN(IF(LEN(INDEX('Vendor COIs'!$D$4:$D$503,(_calc!$E$646-500)))=0,"",INDEX('Vendor COIs'!$D$4:$D$503,(_calc!$E$646-500))))=0,"","Policy no.: "&amp;IF(LEN(INDEX('Vendor COIs'!$D$4:$D$503,(_calc!$E$646-500)))=0,"",INDEX('Vendor COIs'!$D$4:$D$503,(_calc!$E$646-500)))&amp;". ")&amp;IF(LEN(IF(LEN(INDEX('Vendor COIs'!$F$4:$F$503,(_calc!$E$646-500)))=0,"",INDEX('Vendor COIs'!$F$4:$F$503,(_calc!$E$646-500))))=0,"","Meets minimum: "&amp;IF(LEN(INDEX('Vendor COIs'!$F$4:$F$503,(_calc!$E$646-500)))=0,"",INDEX('Vendor COIs'!$F$4:$F$503,(_calc!$E$646-500)))&amp;". ")&amp;IF(LEN(IF(LEN(INDEX('Vendor COIs'!$G$4:$G$503,(_calc!$E$646-500)))=0,"",INDEX('Vendor COIs'!$G$4:$G$503,(_calc!$E$646-500))))=0,"","Additional insured: "&amp;IF(LEN(INDEX('Vendor COIs'!$G$4:$G$503,(_calc!$E$646-500)))=0,"",INDEX('Vendor COIs'!$G$4:$G$503,(_calc!$E$646-500)))&amp;". ")&amp;IF(LEN(IF(LEN(INDEX('Vendor COIs'!$M$4:$M$503,(_calc!$E$646-500)))=0,"",INDEX('Vendor COIs'!$M$4:$M$503,(_calc!$E$646-500))))=0,"","Vendor contact: "&amp;IF(LEN(INDEX('Vendor COIs'!$M$4:$M$503,(_calc!$E$646-500)))=0,"",INDEX('Vendor COIs'!$M$4:$M$503,(_calc!$E$646-500)))&amp;". ")&amp;IF(LEN(IF(LEN(INDEX('Vendor COIs'!$P$4:$P$503,(_calc!$E$646-500)))=0,"",INDEX('Vendor COIs'!$P$4:$P$503,(_calc!$E$646-500))))=0,"",IF(LEN(INDEX('Vendor COIs'!$P$4:$P$503,(_calc!$E$646-500)))=0,"",INDEX('Vendor COIs'!$P$4:$P$503,(_calc!$E$646-500)))))))</f>
        <v/>
      </c>
      <c r="G644" s="46">
        <f>IF(_calc!$E$646="","",IF(_calc!$E$646&lt;=500,IF(LEN(INDEX('Our policies'!$R$4:$R$503,_calc!$E$646))=0,"",INDEX('Our policies'!$R$4:$R$503,_calc!$E$646)),IF(LEN(INDEX('Vendor COIs'!$O$4:$O$503,(_calc!$E$646-500)))=0,"",INDEX('Vendor COIs'!$O$4:$O$503,(_calc!$E$646-500)))))</f>
        <v/>
      </c>
      <c r="H644" s="46">
        <f>IF(_calc!$E$646="","",IF(_calc!$E$646&lt;=500,IF(LEN(INDEX('Our policies'!$G$4:$G$503,_calc!$E$646))=0,"",INDEX('Our policies'!$G$4:$G$503,_calc!$E$646)),""))</f>
        <v/>
      </c>
      <c r="I644" s="46">
        <f>IF(_calc!$E$646="","",IF(_calc!$E$646&lt;=500,IF(LEN(INDEX('Our policies'!$H$4:$H$503,_calc!$E$646))=0,"",INDEX('Our policies'!$H$4:$H$503,_calc!$E$646)),""))</f>
        <v/>
      </c>
      <c r="K644" s="46">
        <f>IF(_calc!$E$646="","",IF(_calc!$E$646&lt;=500,IF(LEN(INDEX('Our policies'!$P$4:$P$503,_calc!$E$646))=0,"",INDEX('Our policies'!$P$4:$P$503,_calc!$E$646)),IF(LEN(INDEX('Vendor COIs'!$N$4:$N$503,(_calc!$E$646-500)))=0,"",INDEX('Vendor COIs'!$N$4:$N$503,(_calc!$E$646-500)))))</f>
        <v/>
      </c>
    </row>
    <row r="645">
      <c r="A645" s="46">
        <f>IF(_calc!$E$647="","",IF(_calc!$E$647&lt;=500,IF(LEN(INDEX('Our policies'!$A$4:$A$503,_calc!$E$647))=0,"",INDEX('Our policies'!$A$4:$A$503,_calc!$E$647)),"COI – "&amp;IF(LEN(INDEX('Vendor COIs'!$A$4:$A$503,(_calc!$E$647-500)))=0,"",INDEX('Vendor COIs'!$A$4:$A$503,(_calc!$E$647-500)))&amp;" – "&amp;IF(LEN(INDEX('Vendor COIs'!$B$4:$B$503,(_calc!$E$647-500)))=0,"",INDEX('Vendor COIs'!$B$4:$B$503,(_calc!$E$647-500)))))</f>
        <v/>
      </c>
      <c r="B645" s="46">
        <f>IF(_calc!$E$647="","",IF(_calc!$E$647&lt;=500,IF(ISNUMBER(INDEX('Our policies'!$J$4:$J$503,_calc!$E$647)),TEXT(INDEX('Our policies'!$J$4:$J$503,_calc!$E$647),"yyyy-mm-dd"),""),IF(ISNUMBER(INDEX('Vendor COIs'!$H$4:$H$503,(_calc!$E$647-500))),TEXT(INDEX('Vendor COIs'!$H$4:$H$503,(_calc!$E$647-500)),"yyyy-mm-dd"),"")))</f>
        <v/>
      </c>
      <c r="C645" s="46">
        <f>IF(_calc!$E$647="","",IF(_calc!$E$647&lt;=500,"Insurance","Certificate of insurance"))</f>
        <v/>
      </c>
      <c r="D645" s="46">
        <f>IF(_calc!$E$647="","",IF(_calc!$E$647&lt;=500,IF(ISNUMBER(INDEX('Our policies'!$I$4:$I$503,_calc!$E$647)),TEXT(INDEX('Our policies'!$I$4:$I$503,_calc!$E$647),"yyyy-mm-dd"),""),""))</f>
        <v/>
      </c>
      <c r="E645" s="46">
        <f>IF(_calc!$E$647="","",IF(_calc!$E$647&lt;=500,IF(LEN(INDEX('Our policies'!$Q$4:$Q$503,_calc!$E$647))=0,"",INDEX('Our policies'!$Q$4:$Q$503,_calc!$E$647)),"Medium"))</f>
        <v/>
      </c>
      <c r="F645" s="46">
        <f>IF(_calc!$E$647="","",IF(_calc!$E$647&lt;=500,TRIM(IF(LEN(IF(LEN(INDEX('Our policies'!$B$4:$B$503,_calc!$E$647))=0,"",INDEX('Our policies'!$B$4:$B$503,_calc!$E$647)))=0,"","Cover: "&amp;IF(LEN(INDEX('Our policies'!$B$4:$B$503,_calc!$E$647))=0,"",INDEX('Our policies'!$B$4:$B$503,_calc!$E$647))&amp;". ")&amp;IF(LEN(IF(LEN(INDEX('Our policies'!$C$4:$C$503,_calc!$E$647))=0,"",INDEX('Our policies'!$C$4:$C$503,_calc!$E$647)))=0,"","Insurer: "&amp;IF(LEN(INDEX('Our policies'!$C$4:$C$503,_calc!$E$647))=0,"",INDEX('Our policies'!$C$4:$C$503,_calc!$E$647))&amp;". ")&amp;IF(LEN(IF(LEN(INDEX('Our policies'!$D$4:$D$503,_calc!$E$647))=0,"",INDEX('Our policies'!$D$4:$D$503,_calc!$E$647)))=0,"","Broker: "&amp;IF(LEN(INDEX('Our policies'!$D$4:$D$503,_calc!$E$647))=0,"",INDEX('Our policies'!$D$4:$D$503,_calc!$E$647))&amp;". ")&amp;IF(LEN(IF(LEN(INDEX('Our policies'!$E$4:$E$503,_calc!$E$647))=0,"",INDEX('Our policies'!$E$4:$E$503,_calc!$E$647)))=0,"","Policy no.: "&amp;IF(LEN(INDEX('Our policies'!$E$4:$E$503,_calc!$E$647))=0,"",INDEX('Our policies'!$E$4:$E$503,_calc!$E$647))&amp;". ")&amp;IF(LEN(IF(LEN(INDEX('Our policies'!$S$4:$S$503,_calc!$E$647))=0,"",INDEX('Our policies'!$S$4:$S$503,_calc!$E$647)))=0,"",IF(LEN(INDEX('Our policies'!$S$4:$S$503,_calc!$E$647))=0,"",INDEX('Our policies'!$S$4:$S$503,_calc!$E$647)))),TRIM(IF(LEN(IF(LEN(INDEX('Vendor COIs'!$C$4:$C$503,(_calc!$E$647-500)))=0,"",INDEX('Vendor COIs'!$C$4:$C$503,(_calc!$E$647-500))))=0,"","Insurer: "&amp;IF(LEN(INDEX('Vendor COIs'!$C$4:$C$503,(_calc!$E$647-500)))=0,"",INDEX('Vendor COIs'!$C$4:$C$503,(_calc!$E$647-500)))&amp;". ")&amp;IF(LEN(IF(LEN(INDEX('Vendor COIs'!$D$4:$D$503,(_calc!$E$647-500)))=0,"",INDEX('Vendor COIs'!$D$4:$D$503,(_calc!$E$647-500))))=0,"","Policy no.: "&amp;IF(LEN(INDEX('Vendor COIs'!$D$4:$D$503,(_calc!$E$647-500)))=0,"",INDEX('Vendor COIs'!$D$4:$D$503,(_calc!$E$647-500)))&amp;". ")&amp;IF(LEN(IF(LEN(INDEX('Vendor COIs'!$F$4:$F$503,(_calc!$E$647-500)))=0,"",INDEX('Vendor COIs'!$F$4:$F$503,(_calc!$E$647-500))))=0,"","Meets minimum: "&amp;IF(LEN(INDEX('Vendor COIs'!$F$4:$F$503,(_calc!$E$647-500)))=0,"",INDEX('Vendor COIs'!$F$4:$F$503,(_calc!$E$647-500)))&amp;". ")&amp;IF(LEN(IF(LEN(INDEX('Vendor COIs'!$G$4:$G$503,(_calc!$E$647-500)))=0,"",INDEX('Vendor COIs'!$G$4:$G$503,(_calc!$E$647-500))))=0,"","Additional insured: "&amp;IF(LEN(INDEX('Vendor COIs'!$G$4:$G$503,(_calc!$E$647-500)))=0,"",INDEX('Vendor COIs'!$G$4:$G$503,(_calc!$E$647-500)))&amp;". ")&amp;IF(LEN(IF(LEN(INDEX('Vendor COIs'!$M$4:$M$503,(_calc!$E$647-500)))=0,"",INDEX('Vendor COIs'!$M$4:$M$503,(_calc!$E$647-500))))=0,"","Vendor contact: "&amp;IF(LEN(INDEX('Vendor COIs'!$M$4:$M$503,(_calc!$E$647-500)))=0,"",INDEX('Vendor COIs'!$M$4:$M$503,(_calc!$E$647-500)))&amp;". ")&amp;IF(LEN(IF(LEN(INDEX('Vendor COIs'!$P$4:$P$503,(_calc!$E$647-500)))=0,"",INDEX('Vendor COIs'!$P$4:$P$503,(_calc!$E$647-500))))=0,"",IF(LEN(INDEX('Vendor COIs'!$P$4:$P$503,(_calc!$E$647-500)))=0,"",INDEX('Vendor COIs'!$P$4:$P$503,(_calc!$E$647-500)))))))</f>
        <v/>
      </c>
      <c r="G645" s="46">
        <f>IF(_calc!$E$647="","",IF(_calc!$E$647&lt;=500,IF(LEN(INDEX('Our policies'!$R$4:$R$503,_calc!$E$647))=0,"",INDEX('Our policies'!$R$4:$R$503,_calc!$E$647)),IF(LEN(INDEX('Vendor COIs'!$O$4:$O$503,(_calc!$E$647-500)))=0,"",INDEX('Vendor COIs'!$O$4:$O$503,(_calc!$E$647-500)))))</f>
        <v/>
      </c>
      <c r="H645" s="46">
        <f>IF(_calc!$E$647="","",IF(_calc!$E$647&lt;=500,IF(LEN(INDEX('Our policies'!$G$4:$G$503,_calc!$E$647))=0,"",INDEX('Our policies'!$G$4:$G$503,_calc!$E$647)),""))</f>
        <v/>
      </c>
      <c r="I645" s="46">
        <f>IF(_calc!$E$647="","",IF(_calc!$E$647&lt;=500,IF(LEN(INDEX('Our policies'!$H$4:$H$503,_calc!$E$647))=0,"",INDEX('Our policies'!$H$4:$H$503,_calc!$E$647)),""))</f>
        <v/>
      </c>
      <c r="K645" s="46">
        <f>IF(_calc!$E$647="","",IF(_calc!$E$647&lt;=500,IF(LEN(INDEX('Our policies'!$P$4:$P$503,_calc!$E$647))=0,"",INDEX('Our policies'!$P$4:$P$503,_calc!$E$647)),IF(LEN(INDEX('Vendor COIs'!$N$4:$N$503,(_calc!$E$647-500)))=0,"",INDEX('Vendor COIs'!$N$4:$N$503,(_calc!$E$647-500)))))</f>
        <v/>
      </c>
    </row>
    <row r="646">
      <c r="A646" s="46">
        <f>IF(_calc!$E$648="","",IF(_calc!$E$648&lt;=500,IF(LEN(INDEX('Our policies'!$A$4:$A$503,_calc!$E$648))=0,"",INDEX('Our policies'!$A$4:$A$503,_calc!$E$648)),"COI – "&amp;IF(LEN(INDEX('Vendor COIs'!$A$4:$A$503,(_calc!$E$648-500)))=0,"",INDEX('Vendor COIs'!$A$4:$A$503,(_calc!$E$648-500)))&amp;" – "&amp;IF(LEN(INDEX('Vendor COIs'!$B$4:$B$503,(_calc!$E$648-500)))=0,"",INDEX('Vendor COIs'!$B$4:$B$503,(_calc!$E$648-500)))))</f>
        <v/>
      </c>
      <c r="B646" s="46">
        <f>IF(_calc!$E$648="","",IF(_calc!$E$648&lt;=500,IF(ISNUMBER(INDEX('Our policies'!$J$4:$J$503,_calc!$E$648)),TEXT(INDEX('Our policies'!$J$4:$J$503,_calc!$E$648),"yyyy-mm-dd"),""),IF(ISNUMBER(INDEX('Vendor COIs'!$H$4:$H$503,(_calc!$E$648-500))),TEXT(INDEX('Vendor COIs'!$H$4:$H$503,(_calc!$E$648-500)),"yyyy-mm-dd"),"")))</f>
        <v/>
      </c>
      <c r="C646" s="46">
        <f>IF(_calc!$E$648="","",IF(_calc!$E$648&lt;=500,"Insurance","Certificate of insurance"))</f>
        <v/>
      </c>
      <c r="D646" s="46">
        <f>IF(_calc!$E$648="","",IF(_calc!$E$648&lt;=500,IF(ISNUMBER(INDEX('Our policies'!$I$4:$I$503,_calc!$E$648)),TEXT(INDEX('Our policies'!$I$4:$I$503,_calc!$E$648),"yyyy-mm-dd"),""),""))</f>
        <v/>
      </c>
      <c r="E646" s="46">
        <f>IF(_calc!$E$648="","",IF(_calc!$E$648&lt;=500,IF(LEN(INDEX('Our policies'!$Q$4:$Q$503,_calc!$E$648))=0,"",INDEX('Our policies'!$Q$4:$Q$503,_calc!$E$648)),"Medium"))</f>
        <v/>
      </c>
      <c r="F646" s="46">
        <f>IF(_calc!$E$648="","",IF(_calc!$E$648&lt;=500,TRIM(IF(LEN(IF(LEN(INDEX('Our policies'!$B$4:$B$503,_calc!$E$648))=0,"",INDEX('Our policies'!$B$4:$B$503,_calc!$E$648)))=0,"","Cover: "&amp;IF(LEN(INDEX('Our policies'!$B$4:$B$503,_calc!$E$648))=0,"",INDEX('Our policies'!$B$4:$B$503,_calc!$E$648))&amp;". ")&amp;IF(LEN(IF(LEN(INDEX('Our policies'!$C$4:$C$503,_calc!$E$648))=0,"",INDEX('Our policies'!$C$4:$C$503,_calc!$E$648)))=0,"","Insurer: "&amp;IF(LEN(INDEX('Our policies'!$C$4:$C$503,_calc!$E$648))=0,"",INDEX('Our policies'!$C$4:$C$503,_calc!$E$648))&amp;". ")&amp;IF(LEN(IF(LEN(INDEX('Our policies'!$D$4:$D$503,_calc!$E$648))=0,"",INDEX('Our policies'!$D$4:$D$503,_calc!$E$648)))=0,"","Broker: "&amp;IF(LEN(INDEX('Our policies'!$D$4:$D$503,_calc!$E$648))=0,"",INDEX('Our policies'!$D$4:$D$503,_calc!$E$648))&amp;". ")&amp;IF(LEN(IF(LEN(INDEX('Our policies'!$E$4:$E$503,_calc!$E$648))=0,"",INDEX('Our policies'!$E$4:$E$503,_calc!$E$648)))=0,"","Policy no.: "&amp;IF(LEN(INDEX('Our policies'!$E$4:$E$503,_calc!$E$648))=0,"",INDEX('Our policies'!$E$4:$E$503,_calc!$E$648))&amp;". ")&amp;IF(LEN(IF(LEN(INDEX('Our policies'!$S$4:$S$503,_calc!$E$648))=0,"",INDEX('Our policies'!$S$4:$S$503,_calc!$E$648)))=0,"",IF(LEN(INDEX('Our policies'!$S$4:$S$503,_calc!$E$648))=0,"",INDEX('Our policies'!$S$4:$S$503,_calc!$E$648)))),TRIM(IF(LEN(IF(LEN(INDEX('Vendor COIs'!$C$4:$C$503,(_calc!$E$648-500)))=0,"",INDEX('Vendor COIs'!$C$4:$C$503,(_calc!$E$648-500))))=0,"","Insurer: "&amp;IF(LEN(INDEX('Vendor COIs'!$C$4:$C$503,(_calc!$E$648-500)))=0,"",INDEX('Vendor COIs'!$C$4:$C$503,(_calc!$E$648-500)))&amp;". ")&amp;IF(LEN(IF(LEN(INDEX('Vendor COIs'!$D$4:$D$503,(_calc!$E$648-500)))=0,"",INDEX('Vendor COIs'!$D$4:$D$503,(_calc!$E$648-500))))=0,"","Policy no.: "&amp;IF(LEN(INDEX('Vendor COIs'!$D$4:$D$503,(_calc!$E$648-500)))=0,"",INDEX('Vendor COIs'!$D$4:$D$503,(_calc!$E$648-500)))&amp;". ")&amp;IF(LEN(IF(LEN(INDEX('Vendor COIs'!$F$4:$F$503,(_calc!$E$648-500)))=0,"",INDEX('Vendor COIs'!$F$4:$F$503,(_calc!$E$648-500))))=0,"","Meets minimum: "&amp;IF(LEN(INDEX('Vendor COIs'!$F$4:$F$503,(_calc!$E$648-500)))=0,"",INDEX('Vendor COIs'!$F$4:$F$503,(_calc!$E$648-500)))&amp;". ")&amp;IF(LEN(IF(LEN(INDEX('Vendor COIs'!$G$4:$G$503,(_calc!$E$648-500)))=0,"",INDEX('Vendor COIs'!$G$4:$G$503,(_calc!$E$648-500))))=0,"","Additional insured: "&amp;IF(LEN(INDEX('Vendor COIs'!$G$4:$G$503,(_calc!$E$648-500)))=0,"",INDEX('Vendor COIs'!$G$4:$G$503,(_calc!$E$648-500)))&amp;". ")&amp;IF(LEN(IF(LEN(INDEX('Vendor COIs'!$M$4:$M$503,(_calc!$E$648-500)))=0,"",INDEX('Vendor COIs'!$M$4:$M$503,(_calc!$E$648-500))))=0,"","Vendor contact: "&amp;IF(LEN(INDEX('Vendor COIs'!$M$4:$M$503,(_calc!$E$648-500)))=0,"",INDEX('Vendor COIs'!$M$4:$M$503,(_calc!$E$648-500)))&amp;". ")&amp;IF(LEN(IF(LEN(INDEX('Vendor COIs'!$P$4:$P$503,(_calc!$E$648-500)))=0,"",INDEX('Vendor COIs'!$P$4:$P$503,(_calc!$E$648-500))))=0,"",IF(LEN(INDEX('Vendor COIs'!$P$4:$P$503,(_calc!$E$648-500)))=0,"",INDEX('Vendor COIs'!$P$4:$P$503,(_calc!$E$648-500)))))))</f>
        <v/>
      </c>
      <c r="G646" s="46">
        <f>IF(_calc!$E$648="","",IF(_calc!$E$648&lt;=500,IF(LEN(INDEX('Our policies'!$R$4:$R$503,_calc!$E$648))=0,"",INDEX('Our policies'!$R$4:$R$503,_calc!$E$648)),IF(LEN(INDEX('Vendor COIs'!$O$4:$O$503,(_calc!$E$648-500)))=0,"",INDEX('Vendor COIs'!$O$4:$O$503,(_calc!$E$648-500)))))</f>
        <v/>
      </c>
      <c r="H646" s="46">
        <f>IF(_calc!$E$648="","",IF(_calc!$E$648&lt;=500,IF(LEN(INDEX('Our policies'!$G$4:$G$503,_calc!$E$648))=0,"",INDEX('Our policies'!$G$4:$G$503,_calc!$E$648)),""))</f>
        <v/>
      </c>
      <c r="I646" s="46">
        <f>IF(_calc!$E$648="","",IF(_calc!$E$648&lt;=500,IF(LEN(INDEX('Our policies'!$H$4:$H$503,_calc!$E$648))=0,"",INDEX('Our policies'!$H$4:$H$503,_calc!$E$648)),""))</f>
        <v/>
      </c>
      <c r="K646" s="46">
        <f>IF(_calc!$E$648="","",IF(_calc!$E$648&lt;=500,IF(LEN(INDEX('Our policies'!$P$4:$P$503,_calc!$E$648))=0,"",INDEX('Our policies'!$P$4:$P$503,_calc!$E$648)),IF(LEN(INDEX('Vendor COIs'!$N$4:$N$503,(_calc!$E$648-500)))=0,"",INDEX('Vendor COIs'!$N$4:$N$503,(_calc!$E$648-500)))))</f>
        <v/>
      </c>
    </row>
    <row r="647">
      <c r="A647" s="46">
        <f>IF(_calc!$E$649="","",IF(_calc!$E$649&lt;=500,IF(LEN(INDEX('Our policies'!$A$4:$A$503,_calc!$E$649))=0,"",INDEX('Our policies'!$A$4:$A$503,_calc!$E$649)),"COI – "&amp;IF(LEN(INDEX('Vendor COIs'!$A$4:$A$503,(_calc!$E$649-500)))=0,"",INDEX('Vendor COIs'!$A$4:$A$503,(_calc!$E$649-500)))&amp;" – "&amp;IF(LEN(INDEX('Vendor COIs'!$B$4:$B$503,(_calc!$E$649-500)))=0,"",INDEX('Vendor COIs'!$B$4:$B$503,(_calc!$E$649-500)))))</f>
        <v/>
      </c>
      <c r="B647" s="46">
        <f>IF(_calc!$E$649="","",IF(_calc!$E$649&lt;=500,IF(ISNUMBER(INDEX('Our policies'!$J$4:$J$503,_calc!$E$649)),TEXT(INDEX('Our policies'!$J$4:$J$503,_calc!$E$649),"yyyy-mm-dd"),""),IF(ISNUMBER(INDEX('Vendor COIs'!$H$4:$H$503,(_calc!$E$649-500))),TEXT(INDEX('Vendor COIs'!$H$4:$H$503,(_calc!$E$649-500)),"yyyy-mm-dd"),"")))</f>
        <v/>
      </c>
      <c r="C647" s="46">
        <f>IF(_calc!$E$649="","",IF(_calc!$E$649&lt;=500,"Insurance","Certificate of insurance"))</f>
        <v/>
      </c>
      <c r="D647" s="46">
        <f>IF(_calc!$E$649="","",IF(_calc!$E$649&lt;=500,IF(ISNUMBER(INDEX('Our policies'!$I$4:$I$503,_calc!$E$649)),TEXT(INDEX('Our policies'!$I$4:$I$503,_calc!$E$649),"yyyy-mm-dd"),""),""))</f>
        <v/>
      </c>
      <c r="E647" s="46">
        <f>IF(_calc!$E$649="","",IF(_calc!$E$649&lt;=500,IF(LEN(INDEX('Our policies'!$Q$4:$Q$503,_calc!$E$649))=0,"",INDEX('Our policies'!$Q$4:$Q$503,_calc!$E$649)),"Medium"))</f>
        <v/>
      </c>
      <c r="F647" s="46">
        <f>IF(_calc!$E$649="","",IF(_calc!$E$649&lt;=500,TRIM(IF(LEN(IF(LEN(INDEX('Our policies'!$B$4:$B$503,_calc!$E$649))=0,"",INDEX('Our policies'!$B$4:$B$503,_calc!$E$649)))=0,"","Cover: "&amp;IF(LEN(INDEX('Our policies'!$B$4:$B$503,_calc!$E$649))=0,"",INDEX('Our policies'!$B$4:$B$503,_calc!$E$649))&amp;". ")&amp;IF(LEN(IF(LEN(INDEX('Our policies'!$C$4:$C$503,_calc!$E$649))=0,"",INDEX('Our policies'!$C$4:$C$503,_calc!$E$649)))=0,"","Insurer: "&amp;IF(LEN(INDEX('Our policies'!$C$4:$C$503,_calc!$E$649))=0,"",INDEX('Our policies'!$C$4:$C$503,_calc!$E$649))&amp;". ")&amp;IF(LEN(IF(LEN(INDEX('Our policies'!$D$4:$D$503,_calc!$E$649))=0,"",INDEX('Our policies'!$D$4:$D$503,_calc!$E$649)))=0,"","Broker: "&amp;IF(LEN(INDEX('Our policies'!$D$4:$D$503,_calc!$E$649))=0,"",INDEX('Our policies'!$D$4:$D$503,_calc!$E$649))&amp;". ")&amp;IF(LEN(IF(LEN(INDEX('Our policies'!$E$4:$E$503,_calc!$E$649))=0,"",INDEX('Our policies'!$E$4:$E$503,_calc!$E$649)))=0,"","Policy no.: "&amp;IF(LEN(INDEX('Our policies'!$E$4:$E$503,_calc!$E$649))=0,"",INDEX('Our policies'!$E$4:$E$503,_calc!$E$649))&amp;". ")&amp;IF(LEN(IF(LEN(INDEX('Our policies'!$S$4:$S$503,_calc!$E$649))=0,"",INDEX('Our policies'!$S$4:$S$503,_calc!$E$649)))=0,"",IF(LEN(INDEX('Our policies'!$S$4:$S$503,_calc!$E$649))=0,"",INDEX('Our policies'!$S$4:$S$503,_calc!$E$649)))),TRIM(IF(LEN(IF(LEN(INDEX('Vendor COIs'!$C$4:$C$503,(_calc!$E$649-500)))=0,"",INDEX('Vendor COIs'!$C$4:$C$503,(_calc!$E$649-500))))=0,"","Insurer: "&amp;IF(LEN(INDEX('Vendor COIs'!$C$4:$C$503,(_calc!$E$649-500)))=0,"",INDEX('Vendor COIs'!$C$4:$C$503,(_calc!$E$649-500)))&amp;". ")&amp;IF(LEN(IF(LEN(INDEX('Vendor COIs'!$D$4:$D$503,(_calc!$E$649-500)))=0,"",INDEX('Vendor COIs'!$D$4:$D$503,(_calc!$E$649-500))))=0,"","Policy no.: "&amp;IF(LEN(INDEX('Vendor COIs'!$D$4:$D$503,(_calc!$E$649-500)))=0,"",INDEX('Vendor COIs'!$D$4:$D$503,(_calc!$E$649-500)))&amp;". ")&amp;IF(LEN(IF(LEN(INDEX('Vendor COIs'!$F$4:$F$503,(_calc!$E$649-500)))=0,"",INDEX('Vendor COIs'!$F$4:$F$503,(_calc!$E$649-500))))=0,"","Meets minimum: "&amp;IF(LEN(INDEX('Vendor COIs'!$F$4:$F$503,(_calc!$E$649-500)))=0,"",INDEX('Vendor COIs'!$F$4:$F$503,(_calc!$E$649-500)))&amp;". ")&amp;IF(LEN(IF(LEN(INDEX('Vendor COIs'!$G$4:$G$503,(_calc!$E$649-500)))=0,"",INDEX('Vendor COIs'!$G$4:$G$503,(_calc!$E$649-500))))=0,"","Additional insured: "&amp;IF(LEN(INDEX('Vendor COIs'!$G$4:$G$503,(_calc!$E$649-500)))=0,"",INDEX('Vendor COIs'!$G$4:$G$503,(_calc!$E$649-500)))&amp;". ")&amp;IF(LEN(IF(LEN(INDEX('Vendor COIs'!$M$4:$M$503,(_calc!$E$649-500)))=0,"",INDEX('Vendor COIs'!$M$4:$M$503,(_calc!$E$649-500))))=0,"","Vendor contact: "&amp;IF(LEN(INDEX('Vendor COIs'!$M$4:$M$503,(_calc!$E$649-500)))=0,"",INDEX('Vendor COIs'!$M$4:$M$503,(_calc!$E$649-500)))&amp;". ")&amp;IF(LEN(IF(LEN(INDEX('Vendor COIs'!$P$4:$P$503,(_calc!$E$649-500)))=0,"",INDEX('Vendor COIs'!$P$4:$P$503,(_calc!$E$649-500))))=0,"",IF(LEN(INDEX('Vendor COIs'!$P$4:$P$503,(_calc!$E$649-500)))=0,"",INDEX('Vendor COIs'!$P$4:$P$503,(_calc!$E$649-500)))))))</f>
        <v/>
      </c>
      <c r="G647" s="46">
        <f>IF(_calc!$E$649="","",IF(_calc!$E$649&lt;=500,IF(LEN(INDEX('Our policies'!$R$4:$R$503,_calc!$E$649))=0,"",INDEX('Our policies'!$R$4:$R$503,_calc!$E$649)),IF(LEN(INDEX('Vendor COIs'!$O$4:$O$503,(_calc!$E$649-500)))=0,"",INDEX('Vendor COIs'!$O$4:$O$503,(_calc!$E$649-500)))))</f>
        <v/>
      </c>
      <c r="H647" s="46">
        <f>IF(_calc!$E$649="","",IF(_calc!$E$649&lt;=500,IF(LEN(INDEX('Our policies'!$G$4:$G$503,_calc!$E$649))=0,"",INDEX('Our policies'!$G$4:$G$503,_calc!$E$649)),""))</f>
        <v/>
      </c>
      <c r="I647" s="46">
        <f>IF(_calc!$E$649="","",IF(_calc!$E$649&lt;=500,IF(LEN(INDEX('Our policies'!$H$4:$H$503,_calc!$E$649))=0,"",INDEX('Our policies'!$H$4:$H$503,_calc!$E$649)),""))</f>
        <v/>
      </c>
      <c r="K647" s="46">
        <f>IF(_calc!$E$649="","",IF(_calc!$E$649&lt;=500,IF(LEN(INDEX('Our policies'!$P$4:$P$503,_calc!$E$649))=0,"",INDEX('Our policies'!$P$4:$P$503,_calc!$E$649)),IF(LEN(INDEX('Vendor COIs'!$N$4:$N$503,(_calc!$E$649-500)))=0,"",INDEX('Vendor COIs'!$N$4:$N$503,(_calc!$E$649-500)))))</f>
        <v/>
      </c>
    </row>
    <row r="648">
      <c r="A648" s="46">
        <f>IF(_calc!$E$650="","",IF(_calc!$E$650&lt;=500,IF(LEN(INDEX('Our policies'!$A$4:$A$503,_calc!$E$650))=0,"",INDEX('Our policies'!$A$4:$A$503,_calc!$E$650)),"COI – "&amp;IF(LEN(INDEX('Vendor COIs'!$A$4:$A$503,(_calc!$E$650-500)))=0,"",INDEX('Vendor COIs'!$A$4:$A$503,(_calc!$E$650-500)))&amp;" – "&amp;IF(LEN(INDEX('Vendor COIs'!$B$4:$B$503,(_calc!$E$650-500)))=0,"",INDEX('Vendor COIs'!$B$4:$B$503,(_calc!$E$650-500)))))</f>
        <v/>
      </c>
      <c r="B648" s="46">
        <f>IF(_calc!$E$650="","",IF(_calc!$E$650&lt;=500,IF(ISNUMBER(INDEX('Our policies'!$J$4:$J$503,_calc!$E$650)),TEXT(INDEX('Our policies'!$J$4:$J$503,_calc!$E$650),"yyyy-mm-dd"),""),IF(ISNUMBER(INDEX('Vendor COIs'!$H$4:$H$503,(_calc!$E$650-500))),TEXT(INDEX('Vendor COIs'!$H$4:$H$503,(_calc!$E$650-500)),"yyyy-mm-dd"),"")))</f>
        <v/>
      </c>
      <c r="C648" s="46">
        <f>IF(_calc!$E$650="","",IF(_calc!$E$650&lt;=500,"Insurance","Certificate of insurance"))</f>
        <v/>
      </c>
      <c r="D648" s="46">
        <f>IF(_calc!$E$650="","",IF(_calc!$E$650&lt;=500,IF(ISNUMBER(INDEX('Our policies'!$I$4:$I$503,_calc!$E$650)),TEXT(INDEX('Our policies'!$I$4:$I$503,_calc!$E$650),"yyyy-mm-dd"),""),""))</f>
        <v/>
      </c>
      <c r="E648" s="46">
        <f>IF(_calc!$E$650="","",IF(_calc!$E$650&lt;=500,IF(LEN(INDEX('Our policies'!$Q$4:$Q$503,_calc!$E$650))=0,"",INDEX('Our policies'!$Q$4:$Q$503,_calc!$E$650)),"Medium"))</f>
        <v/>
      </c>
      <c r="F648" s="46">
        <f>IF(_calc!$E$650="","",IF(_calc!$E$650&lt;=500,TRIM(IF(LEN(IF(LEN(INDEX('Our policies'!$B$4:$B$503,_calc!$E$650))=0,"",INDEX('Our policies'!$B$4:$B$503,_calc!$E$650)))=0,"","Cover: "&amp;IF(LEN(INDEX('Our policies'!$B$4:$B$503,_calc!$E$650))=0,"",INDEX('Our policies'!$B$4:$B$503,_calc!$E$650))&amp;". ")&amp;IF(LEN(IF(LEN(INDEX('Our policies'!$C$4:$C$503,_calc!$E$650))=0,"",INDEX('Our policies'!$C$4:$C$503,_calc!$E$650)))=0,"","Insurer: "&amp;IF(LEN(INDEX('Our policies'!$C$4:$C$503,_calc!$E$650))=0,"",INDEX('Our policies'!$C$4:$C$503,_calc!$E$650))&amp;". ")&amp;IF(LEN(IF(LEN(INDEX('Our policies'!$D$4:$D$503,_calc!$E$650))=0,"",INDEX('Our policies'!$D$4:$D$503,_calc!$E$650)))=0,"","Broker: "&amp;IF(LEN(INDEX('Our policies'!$D$4:$D$503,_calc!$E$650))=0,"",INDEX('Our policies'!$D$4:$D$503,_calc!$E$650))&amp;". ")&amp;IF(LEN(IF(LEN(INDEX('Our policies'!$E$4:$E$503,_calc!$E$650))=0,"",INDEX('Our policies'!$E$4:$E$503,_calc!$E$650)))=0,"","Policy no.: "&amp;IF(LEN(INDEX('Our policies'!$E$4:$E$503,_calc!$E$650))=0,"",INDEX('Our policies'!$E$4:$E$503,_calc!$E$650))&amp;". ")&amp;IF(LEN(IF(LEN(INDEX('Our policies'!$S$4:$S$503,_calc!$E$650))=0,"",INDEX('Our policies'!$S$4:$S$503,_calc!$E$650)))=0,"",IF(LEN(INDEX('Our policies'!$S$4:$S$503,_calc!$E$650))=0,"",INDEX('Our policies'!$S$4:$S$503,_calc!$E$650)))),TRIM(IF(LEN(IF(LEN(INDEX('Vendor COIs'!$C$4:$C$503,(_calc!$E$650-500)))=0,"",INDEX('Vendor COIs'!$C$4:$C$503,(_calc!$E$650-500))))=0,"","Insurer: "&amp;IF(LEN(INDEX('Vendor COIs'!$C$4:$C$503,(_calc!$E$650-500)))=0,"",INDEX('Vendor COIs'!$C$4:$C$503,(_calc!$E$650-500)))&amp;". ")&amp;IF(LEN(IF(LEN(INDEX('Vendor COIs'!$D$4:$D$503,(_calc!$E$650-500)))=0,"",INDEX('Vendor COIs'!$D$4:$D$503,(_calc!$E$650-500))))=0,"","Policy no.: "&amp;IF(LEN(INDEX('Vendor COIs'!$D$4:$D$503,(_calc!$E$650-500)))=0,"",INDEX('Vendor COIs'!$D$4:$D$503,(_calc!$E$650-500)))&amp;". ")&amp;IF(LEN(IF(LEN(INDEX('Vendor COIs'!$F$4:$F$503,(_calc!$E$650-500)))=0,"",INDEX('Vendor COIs'!$F$4:$F$503,(_calc!$E$650-500))))=0,"","Meets minimum: "&amp;IF(LEN(INDEX('Vendor COIs'!$F$4:$F$503,(_calc!$E$650-500)))=0,"",INDEX('Vendor COIs'!$F$4:$F$503,(_calc!$E$650-500)))&amp;". ")&amp;IF(LEN(IF(LEN(INDEX('Vendor COIs'!$G$4:$G$503,(_calc!$E$650-500)))=0,"",INDEX('Vendor COIs'!$G$4:$G$503,(_calc!$E$650-500))))=0,"","Additional insured: "&amp;IF(LEN(INDEX('Vendor COIs'!$G$4:$G$503,(_calc!$E$650-500)))=0,"",INDEX('Vendor COIs'!$G$4:$G$503,(_calc!$E$650-500)))&amp;". ")&amp;IF(LEN(IF(LEN(INDEX('Vendor COIs'!$M$4:$M$503,(_calc!$E$650-500)))=0,"",INDEX('Vendor COIs'!$M$4:$M$503,(_calc!$E$650-500))))=0,"","Vendor contact: "&amp;IF(LEN(INDEX('Vendor COIs'!$M$4:$M$503,(_calc!$E$650-500)))=0,"",INDEX('Vendor COIs'!$M$4:$M$503,(_calc!$E$650-500)))&amp;". ")&amp;IF(LEN(IF(LEN(INDEX('Vendor COIs'!$P$4:$P$503,(_calc!$E$650-500)))=0,"",INDEX('Vendor COIs'!$P$4:$P$503,(_calc!$E$650-500))))=0,"",IF(LEN(INDEX('Vendor COIs'!$P$4:$P$503,(_calc!$E$650-500)))=0,"",INDEX('Vendor COIs'!$P$4:$P$503,(_calc!$E$650-500)))))))</f>
        <v/>
      </c>
      <c r="G648" s="46">
        <f>IF(_calc!$E$650="","",IF(_calc!$E$650&lt;=500,IF(LEN(INDEX('Our policies'!$R$4:$R$503,_calc!$E$650))=0,"",INDEX('Our policies'!$R$4:$R$503,_calc!$E$650)),IF(LEN(INDEX('Vendor COIs'!$O$4:$O$503,(_calc!$E$650-500)))=0,"",INDEX('Vendor COIs'!$O$4:$O$503,(_calc!$E$650-500)))))</f>
        <v/>
      </c>
      <c r="H648" s="46">
        <f>IF(_calc!$E$650="","",IF(_calc!$E$650&lt;=500,IF(LEN(INDEX('Our policies'!$G$4:$G$503,_calc!$E$650))=0,"",INDEX('Our policies'!$G$4:$G$503,_calc!$E$650)),""))</f>
        <v/>
      </c>
      <c r="I648" s="46">
        <f>IF(_calc!$E$650="","",IF(_calc!$E$650&lt;=500,IF(LEN(INDEX('Our policies'!$H$4:$H$503,_calc!$E$650))=0,"",INDEX('Our policies'!$H$4:$H$503,_calc!$E$650)),""))</f>
        <v/>
      </c>
      <c r="K648" s="46">
        <f>IF(_calc!$E$650="","",IF(_calc!$E$650&lt;=500,IF(LEN(INDEX('Our policies'!$P$4:$P$503,_calc!$E$650))=0,"",INDEX('Our policies'!$P$4:$P$503,_calc!$E$650)),IF(LEN(INDEX('Vendor COIs'!$N$4:$N$503,(_calc!$E$650-500)))=0,"",INDEX('Vendor COIs'!$N$4:$N$503,(_calc!$E$650-500)))))</f>
        <v/>
      </c>
    </row>
    <row r="649">
      <c r="A649" s="46">
        <f>IF(_calc!$E$651="","",IF(_calc!$E$651&lt;=500,IF(LEN(INDEX('Our policies'!$A$4:$A$503,_calc!$E$651))=0,"",INDEX('Our policies'!$A$4:$A$503,_calc!$E$651)),"COI – "&amp;IF(LEN(INDEX('Vendor COIs'!$A$4:$A$503,(_calc!$E$651-500)))=0,"",INDEX('Vendor COIs'!$A$4:$A$503,(_calc!$E$651-500)))&amp;" – "&amp;IF(LEN(INDEX('Vendor COIs'!$B$4:$B$503,(_calc!$E$651-500)))=0,"",INDEX('Vendor COIs'!$B$4:$B$503,(_calc!$E$651-500)))))</f>
        <v/>
      </c>
      <c r="B649" s="46">
        <f>IF(_calc!$E$651="","",IF(_calc!$E$651&lt;=500,IF(ISNUMBER(INDEX('Our policies'!$J$4:$J$503,_calc!$E$651)),TEXT(INDEX('Our policies'!$J$4:$J$503,_calc!$E$651),"yyyy-mm-dd"),""),IF(ISNUMBER(INDEX('Vendor COIs'!$H$4:$H$503,(_calc!$E$651-500))),TEXT(INDEX('Vendor COIs'!$H$4:$H$503,(_calc!$E$651-500)),"yyyy-mm-dd"),"")))</f>
        <v/>
      </c>
      <c r="C649" s="46">
        <f>IF(_calc!$E$651="","",IF(_calc!$E$651&lt;=500,"Insurance","Certificate of insurance"))</f>
        <v/>
      </c>
      <c r="D649" s="46">
        <f>IF(_calc!$E$651="","",IF(_calc!$E$651&lt;=500,IF(ISNUMBER(INDEX('Our policies'!$I$4:$I$503,_calc!$E$651)),TEXT(INDEX('Our policies'!$I$4:$I$503,_calc!$E$651),"yyyy-mm-dd"),""),""))</f>
        <v/>
      </c>
      <c r="E649" s="46">
        <f>IF(_calc!$E$651="","",IF(_calc!$E$651&lt;=500,IF(LEN(INDEX('Our policies'!$Q$4:$Q$503,_calc!$E$651))=0,"",INDEX('Our policies'!$Q$4:$Q$503,_calc!$E$651)),"Medium"))</f>
        <v/>
      </c>
      <c r="F649" s="46">
        <f>IF(_calc!$E$651="","",IF(_calc!$E$651&lt;=500,TRIM(IF(LEN(IF(LEN(INDEX('Our policies'!$B$4:$B$503,_calc!$E$651))=0,"",INDEX('Our policies'!$B$4:$B$503,_calc!$E$651)))=0,"","Cover: "&amp;IF(LEN(INDEX('Our policies'!$B$4:$B$503,_calc!$E$651))=0,"",INDEX('Our policies'!$B$4:$B$503,_calc!$E$651))&amp;". ")&amp;IF(LEN(IF(LEN(INDEX('Our policies'!$C$4:$C$503,_calc!$E$651))=0,"",INDEX('Our policies'!$C$4:$C$503,_calc!$E$651)))=0,"","Insurer: "&amp;IF(LEN(INDEX('Our policies'!$C$4:$C$503,_calc!$E$651))=0,"",INDEX('Our policies'!$C$4:$C$503,_calc!$E$651))&amp;". ")&amp;IF(LEN(IF(LEN(INDEX('Our policies'!$D$4:$D$503,_calc!$E$651))=0,"",INDEX('Our policies'!$D$4:$D$503,_calc!$E$651)))=0,"","Broker: "&amp;IF(LEN(INDEX('Our policies'!$D$4:$D$503,_calc!$E$651))=0,"",INDEX('Our policies'!$D$4:$D$503,_calc!$E$651))&amp;". ")&amp;IF(LEN(IF(LEN(INDEX('Our policies'!$E$4:$E$503,_calc!$E$651))=0,"",INDEX('Our policies'!$E$4:$E$503,_calc!$E$651)))=0,"","Policy no.: "&amp;IF(LEN(INDEX('Our policies'!$E$4:$E$503,_calc!$E$651))=0,"",INDEX('Our policies'!$E$4:$E$503,_calc!$E$651))&amp;". ")&amp;IF(LEN(IF(LEN(INDEX('Our policies'!$S$4:$S$503,_calc!$E$651))=0,"",INDEX('Our policies'!$S$4:$S$503,_calc!$E$651)))=0,"",IF(LEN(INDEX('Our policies'!$S$4:$S$503,_calc!$E$651))=0,"",INDEX('Our policies'!$S$4:$S$503,_calc!$E$651)))),TRIM(IF(LEN(IF(LEN(INDEX('Vendor COIs'!$C$4:$C$503,(_calc!$E$651-500)))=0,"",INDEX('Vendor COIs'!$C$4:$C$503,(_calc!$E$651-500))))=0,"","Insurer: "&amp;IF(LEN(INDEX('Vendor COIs'!$C$4:$C$503,(_calc!$E$651-500)))=0,"",INDEX('Vendor COIs'!$C$4:$C$503,(_calc!$E$651-500)))&amp;". ")&amp;IF(LEN(IF(LEN(INDEX('Vendor COIs'!$D$4:$D$503,(_calc!$E$651-500)))=0,"",INDEX('Vendor COIs'!$D$4:$D$503,(_calc!$E$651-500))))=0,"","Policy no.: "&amp;IF(LEN(INDEX('Vendor COIs'!$D$4:$D$503,(_calc!$E$651-500)))=0,"",INDEX('Vendor COIs'!$D$4:$D$503,(_calc!$E$651-500)))&amp;". ")&amp;IF(LEN(IF(LEN(INDEX('Vendor COIs'!$F$4:$F$503,(_calc!$E$651-500)))=0,"",INDEX('Vendor COIs'!$F$4:$F$503,(_calc!$E$651-500))))=0,"","Meets minimum: "&amp;IF(LEN(INDEX('Vendor COIs'!$F$4:$F$503,(_calc!$E$651-500)))=0,"",INDEX('Vendor COIs'!$F$4:$F$503,(_calc!$E$651-500)))&amp;". ")&amp;IF(LEN(IF(LEN(INDEX('Vendor COIs'!$G$4:$G$503,(_calc!$E$651-500)))=0,"",INDEX('Vendor COIs'!$G$4:$G$503,(_calc!$E$651-500))))=0,"","Additional insured: "&amp;IF(LEN(INDEX('Vendor COIs'!$G$4:$G$503,(_calc!$E$651-500)))=0,"",INDEX('Vendor COIs'!$G$4:$G$503,(_calc!$E$651-500)))&amp;". ")&amp;IF(LEN(IF(LEN(INDEX('Vendor COIs'!$M$4:$M$503,(_calc!$E$651-500)))=0,"",INDEX('Vendor COIs'!$M$4:$M$503,(_calc!$E$651-500))))=0,"","Vendor contact: "&amp;IF(LEN(INDEX('Vendor COIs'!$M$4:$M$503,(_calc!$E$651-500)))=0,"",INDEX('Vendor COIs'!$M$4:$M$503,(_calc!$E$651-500)))&amp;". ")&amp;IF(LEN(IF(LEN(INDEX('Vendor COIs'!$P$4:$P$503,(_calc!$E$651-500)))=0,"",INDEX('Vendor COIs'!$P$4:$P$503,(_calc!$E$651-500))))=0,"",IF(LEN(INDEX('Vendor COIs'!$P$4:$P$503,(_calc!$E$651-500)))=0,"",INDEX('Vendor COIs'!$P$4:$P$503,(_calc!$E$651-500)))))))</f>
        <v/>
      </c>
      <c r="G649" s="46">
        <f>IF(_calc!$E$651="","",IF(_calc!$E$651&lt;=500,IF(LEN(INDEX('Our policies'!$R$4:$R$503,_calc!$E$651))=0,"",INDEX('Our policies'!$R$4:$R$503,_calc!$E$651)),IF(LEN(INDEX('Vendor COIs'!$O$4:$O$503,(_calc!$E$651-500)))=0,"",INDEX('Vendor COIs'!$O$4:$O$503,(_calc!$E$651-500)))))</f>
        <v/>
      </c>
      <c r="H649" s="46">
        <f>IF(_calc!$E$651="","",IF(_calc!$E$651&lt;=500,IF(LEN(INDEX('Our policies'!$G$4:$G$503,_calc!$E$651))=0,"",INDEX('Our policies'!$G$4:$G$503,_calc!$E$651)),""))</f>
        <v/>
      </c>
      <c r="I649" s="46">
        <f>IF(_calc!$E$651="","",IF(_calc!$E$651&lt;=500,IF(LEN(INDEX('Our policies'!$H$4:$H$503,_calc!$E$651))=0,"",INDEX('Our policies'!$H$4:$H$503,_calc!$E$651)),""))</f>
        <v/>
      </c>
      <c r="K649" s="46">
        <f>IF(_calc!$E$651="","",IF(_calc!$E$651&lt;=500,IF(LEN(INDEX('Our policies'!$P$4:$P$503,_calc!$E$651))=0,"",INDEX('Our policies'!$P$4:$P$503,_calc!$E$651)),IF(LEN(INDEX('Vendor COIs'!$N$4:$N$503,(_calc!$E$651-500)))=0,"",INDEX('Vendor COIs'!$N$4:$N$503,(_calc!$E$651-500)))))</f>
        <v/>
      </c>
    </row>
    <row r="650">
      <c r="A650" s="46">
        <f>IF(_calc!$E$652="","",IF(_calc!$E$652&lt;=500,IF(LEN(INDEX('Our policies'!$A$4:$A$503,_calc!$E$652))=0,"",INDEX('Our policies'!$A$4:$A$503,_calc!$E$652)),"COI – "&amp;IF(LEN(INDEX('Vendor COIs'!$A$4:$A$503,(_calc!$E$652-500)))=0,"",INDEX('Vendor COIs'!$A$4:$A$503,(_calc!$E$652-500)))&amp;" – "&amp;IF(LEN(INDEX('Vendor COIs'!$B$4:$B$503,(_calc!$E$652-500)))=0,"",INDEX('Vendor COIs'!$B$4:$B$503,(_calc!$E$652-500)))))</f>
        <v/>
      </c>
      <c r="B650" s="46">
        <f>IF(_calc!$E$652="","",IF(_calc!$E$652&lt;=500,IF(ISNUMBER(INDEX('Our policies'!$J$4:$J$503,_calc!$E$652)),TEXT(INDEX('Our policies'!$J$4:$J$503,_calc!$E$652),"yyyy-mm-dd"),""),IF(ISNUMBER(INDEX('Vendor COIs'!$H$4:$H$503,(_calc!$E$652-500))),TEXT(INDEX('Vendor COIs'!$H$4:$H$503,(_calc!$E$652-500)),"yyyy-mm-dd"),"")))</f>
        <v/>
      </c>
      <c r="C650" s="46">
        <f>IF(_calc!$E$652="","",IF(_calc!$E$652&lt;=500,"Insurance","Certificate of insurance"))</f>
        <v/>
      </c>
      <c r="D650" s="46">
        <f>IF(_calc!$E$652="","",IF(_calc!$E$652&lt;=500,IF(ISNUMBER(INDEX('Our policies'!$I$4:$I$503,_calc!$E$652)),TEXT(INDEX('Our policies'!$I$4:$I$503,_calc!$E$652),"yyyy-mm-dd"),""),""))</f>
        <v/>
      </c>
      <c r="E650" s="46">
        <f>IF(_calc!$E$652="","",IF(_calc!$E$652&lt;=500,IF(LEN(INDEX('Our policies'!$Q$4:$Q$503,_calc!$E$652))=0,"",INDEX('Our policies'!$Q$4:$Q$503,_calc!$E$652)),"Medium"))</f>
        <v/>
      </c>
      <c r="F650" s="46">
        <f>IF(_calc!$E$652="","",IF(_calc!$E$652&lt;=500,TRIM(IF(LEN(IF(LEN(INDEX('Our policies'!$B$4:$B$503,_calc!$E$652))=0,"",INDEX('Our policies'!$B$4:$B$503,_calc!$E$652)))=0,"","Cover: "&amp;IF(LEN(INDEX('Our policies'!$B$4:$B$503,_calc!$E$652))=0,"",INDEX('Our policies'!$B$4:$B$503,_calc!$E$652))&amp;". ")&amp;IF(LEN(IF(LEN(INDEX('Our policies'!$C$4:$C$503,_calc!$E$652))=0,"",INDEX('Our policies'!$C$4:$C$503,_calc!$E$652)))=0,"","Insurer: "&amp;IF(LEN(INDEX('Our policies'!$C$4:$C$503,_calc!$E$652))=0,"",INDEX('Our policies'!$C$4:$C$503,_calc!$E$652))&amp;". ")&amp;IF(LEN(IF(LEN(INDEX('Our policies'!$D$4:$D$503,_calc!$E$652))=0,"",INDEX('Our policies'!$D$4:$D$503,_calc!$E$652)))=0,"","Broker: "&amp;IF(LEN(INDEX('Our policies'!$D$4:$D$503,_calc!$E$652))=0,"",INDEX('Our policies'!$D$4:$D$503,_calc!$E$652))&amp;". ")&amp;IF(LEN(IF(LEN(INDEX('Our policies'!$E$4:$E$503,_calc!$E$652))=0,"",INDEX('Our policies'!$E$4:$E$503,_calc!$E$652)))=0,"","Policy no.: "&amp;IF(LEN(INDEX('Our policies'!$E$4:$E$503,_calc!$E$652))=0,"",INDEX('Our policies'!$E$4:$E$503,_calc!$E$652))&amp;". ")&amp;IF(LEN(IF(LEN(INDEX('Our policies'!$S$4:$S$503,_calc!$E$652))=0,"",INDEX('Our policies'!$S$4:$S$503,_calc!$E$652)))=0,"",IF(LEN(INDEX('Our policies'!$S$4:$S$503,_calc!$E$652))=0,"",INDEX('Our policies'!$S$4:$S$503,_calc!$E$652)))),TRIM(IF(LEN(IF(LEN(INDEX('Vendor COIs'!$C$4:$C$503,(_calc!$E$652-500)))=0,"",INDEX('Vendor COIs'!$C$4:$C$503,(_calc!$E$652-500))))=0,"","Insurer: "&amp;IF(LEN(INDEX('Vendor COIs'!$C$4:$C$503,(_calc!$E$652-500)))=0,"",INDEX('Vendor COIs'!$C$4:$C$503,(_calc!$E$652-500)))&amp;". ")&amp;IF(LEN(IF(LEN(INDEX('Vendor COIs'!$D$4:$D$503,(_calc!$E$652-500)))=0,"",INDEX('Vendor COIs'!$D$4:$D$503,(_calc!$E$652-500))))=0,"","Policy no.: "&amp;IF(LEN(INDEX('Vendor COIs'!$D$4:$D$503,(_calc!$E$652-500)))=0,"",INDEX('Vendor COIs'!$D$4:$D$503,(_calc!$E$652-500)))&amp;". ")&amp;IF(LEN(IF(LEN(INDEX('Vendor COIs'!$F$4:$F$503,(_calc!$E$652-500)))=0,"",INDEX('Vendor COIs'!$F$4:$F$503,(_calc!$E$652-500))))=0,"","Meets minimum: "&amp;IF(LEN(INDEX('Vendor COIs'!$F$4:$F$503,(_calc!$E$652-500)))=0,"",INDEX('Vendor COIs'!$F$4:$F$503,(_calc!$E$652-500)))&amp;". ")&amp;IF(LEN(IF(LEN(INDEX('Vendor COIs'!$G$4:$G$503,(_calc!$E$652-500)))=0,"",INDEX('Vendor COIs'!$G$4:$G$503,(_calc!$E$652-500))))=0,"","Additional insured: "&amp;IF(LEN(INDEX('Vendor COIs'!$G$4:$G$503,(_calc!$E$652-500)))=0,"",INDEX('Vendor COIs'!$G$4:$G$503,(_calc!$E$652-500)))&amp;". ")&amp;IF(LEN(IF(LEN(INDEX('Vendor COIs'!$M$4:$M$503,(_calc!$E$652-500)))=0,"",INDEX('Vendor COIs'!$M$4:$M$503,(_calc!$E$652-500))))=0,"","Vendor contact: "&amp;IF(LEN(INDEX('Vendor COIs'!$M$4:$M$503,(_calc!$E$652-500)))=0,"",INDEX('Vendor COIs'!$M$4:$M$503,(_calc!$E$652-500)))&amp;". ")&amp;IF(LEN(IF(LEN(INDEX('Vendor COIs'!$P$4:$P$503,(_calc!$E$652-500)))=0,"",INDEX('Vendor COIs'!$P$4:$P$503,(_calc!$E$652-500))))=0,"",IF(LEN(INDEX('Vendor COIs'!$P$4:$P$503,(_calc!$E$652-500)))=0,"",INDEX('Vendor COIs'!$P$4:$P$503,(_calc!$E$652-500)))))))</f>
        <v/>
      </c>
      <c r="G650" s="46">
        <f>IF(_calc!$E$652="","",IF(_calc!$E$652&lt;=500,IF(LEN(INDEX('Our policies'!$R$4:$R$503,_calc!$E$652))=0,"",INDEX('Our policies'!$R$4:$R$503,_calc!$E$652)),IF(LEN(INDEX('Vendor COIs'!$O$4:$O$503,(_calc!$E$652-500)))=0,"",INDEX('Vendor COIs'!$O$4:$O$503,(_calc!$E$652-500)))))</f>
        <v/>
      </c>
      <c r="H650" s="46">
        <f>IF(_calc!$E$652="","",IF(_calc!$E$652&lt;=500,IF(LEN(INDEX('Our policies'!$G$4:$G$503,_calc!$E$652))=0,"",INDEX('Our policies'!$G$4:$G$503,_calc!$E$652)),""))</f>
        <v/>
      </c>
      <c r="I650" s="46">
        <f>IF(_calc!$E$652="","",IF(_calc!$E$652&lt;=500,IF(LEN(INDEX('Our policies'!$H$4:$H$503,_calc!$E$652))=0,"",INDEX('Our policies'!$H$4:$H$503,_calc!$E$652)),""))</f>
        <v/>
      </c>
      <c r="K650" s="46">
        <f>IF(_calc!$E$652="","",IF(_calc!$E$652&lt;=500,IF(LEN(INDEX('Our policies'!$P$4:$P$503,_calc!$E$652))=0,"",INDEX('Our policies'!$P$4:$P$503,_calc!$E$652)),IF(LEN(INDEX('Vendor COIs'!$N$4:$N$503,(_calc!$E$652-500)))=0,"",INDEX('Vendor COIs'!$N$4:$N$503,(_calc!$E$652-500)))))</f>
        <v/>
      </c>
    </row>
    <row r="651">
      <c r="A651" s="46">
        <f>IF(_calc!$E$653="","",IF(_calc!$E$653&lt;=500,IF(LEN(INDEX('Our policies'!$A$4:$A$503,_calc!$E$653))=0,"",INDEX('Our policies'!$A$4:$A$503,_calc!$E$653)),"COI – "&amp;IF(LEN(INDEX('Vendor COIs'!$A$4:$A$503,(_calc!$E$653-500)))=0,"",INDEX('Vendor COIs'!$A$4:$A$503,(_calc!$E$653-500)))&amp;" – "&amp;IF(LEN(INDEX('Vendor COIs'!$B$4:$B$503,(_calc!$E$653-500)))=0,"",INDEX('Vendor COIs'!$B$4:$B$503,(_calc!$E$653-500)))))</f>
        <v/>
      </c>
      <c r="B651" s="46">
        <f>IF(_calc!$E$653="","",IF(_calc!$E$653&lt;=500,IF(ISNUMBER(INDEX('Our policies'!$J$4:$J$503,_calc!$E$653)),TEXT(INDEX('Our policies'!$J$4:$J$503,_calc!$E$653),"yyyy-mm-dd"),""),IF(ISNUMBER(INDEX('Vendor COIs'!$H$4:$H$503,(_calc!$E$653-500))),TEXT(INDEX('Vendor COIs'!$H$4:$H$503,(_calc!$E$653-500)),"yyyy-mm-dd"),"")))</f>
        <v/>
      </c>
      <c r="C651" s="46">
        <f>IF(_calc!$E$653="","",IF(_calc!$E$653&lt;=500,"Insurance","Certificate of insurance"))</f>
        <v/>
      </c>
      <c r="D651" s="46">
        <f>IF(_calc!$E$653="","",IF(_calc!$E$653&lt;=500,IF(ISNUMBER(INDEX('Our policies'!$I$4:$I$503,_calc!$E$653)),TEXT(INDEX('Our policies'!$I$4:$I$503,_calc!$E$653),"yyyy-mm-dd"),""),""))</f>
        <v/>
      </c>
      <c r="E651" s="46">
        <f>IF(_calc!$E$653="","",IF(_calc!$E$653&lt;=500,IF(LEN(INDEX('Our policies'!$Q$4:$Q$503,_calc!$E$653))=0,"",INDEX('Our policies'!$Q$4:$Q$503,_calc!$E$653)),"Medium"))</f>
        <v/>
      </c>
      <c r="F651" s="46">
        <f>IF(_calc!$E$653="","",IF(_calc!$E$653&lt;=500,TRIM(IF(LEN(IF(LEN(INDEX('Our policies'!$B$4:$B$503,_calc!$E$653))=0,"",INDEX('Our policies'!$B$4:$B$503,_calc!$E$653)))=0,"","Cover: "&amp;IF(LEN(INDEX('Our policies'!$B$4:$B$503,_calc!$E$653))=0,"",INDEX('Our policies'!$B$4:$B$503,_calc!$E$653))&amp;". ")&amp;IF(LEN(IF(LEN(INDEX('Our policies'!$C$4:$C$503,_calc!$E$653))=0,"",INDEX('Our policies'!$C$4:$C$503,_calc!$E$653)))=0,"","Insurer: "&amp;IF(LEN(INDEX('Our policies'!$C$4:$C$503,_calc!$E$653))=0,"",INDEX('Our policies'!$C$4:$C$503,_calc!$E$653))&amp;". ")&amp;IF(LEN(IF(LEN(INDEX('Our policies'!$D$4:$D$503,_calc!$E$653))=0,"",INDEX('Our policies'!$D$4:$D$503,_calc!$E$653)))=0,"","Broker: "&amp;IF(LEN(INDEX('Our policies'!$D$4:$D$503,_calc!$E$653))=0,"",INDEX('Our policies'!$D$4:$D$503,_calc!$E$653))&amp;". ")&amp;IF(LEN(IF(LEN(INDEX('Our policies'!$E$4:$E$503,_calc!$E$653))=0,"",INDEX('Our policies'!$E$4:$E$503,_calc!$E$653)))=0,"","Policy no.: "&amp;IF(LEN(INDEX('Our policies'!$E$4:$E$503,_calc!$E$653))=0,"",INDEX('Our policies'!$E$4:$E$503,_calc!$E$653))&amp;". ")&amp;IF(LEN(IF(LEN(INDEX('Our policies'!$S$4:$S$503,_calc!$E$653))=0,"",INDEX('Our policies'!$S$4:$S$503,_calc!$E$653)))=0,"",IF(LEN(INDEX('Our policies'!$S$4:$S$503,_calc!$E$653))=0,"",INDEX('Our policies'!$S$4:$S$503,_calc!$E$653)))),TRIM(IF(LEN(IF(LEN(INDEX('Vendor COIs'!$C$4:$C$503,(_calc!$E$653-500)))=0,"",INDEX('Vendor COIs'!$C$4:$C$503,(_calc!$E$653-500))))=0,"","Insurer: "&amp;IF(LEN(INDEX('Vendor COIs'!$C$4:$C$503,(_calc!$E$653-500)))=0,"",INDEX('Vendor COIs'!$C$4:$C$503,(_calc!$E$653-500)))&amp;". ")&amp;IF(LEN(IF(LEN(INDEX('Vendor COIs'!$D$4:$D$503,(_calc!$E$653-500)))=0,"",INDEX('Vendor COIs'!$D$4:$D$503,(_calc!$E$653-500))))=0,"","Policy no.: "&amp;IF(LEN(INDEX('Vendor COIs'!$D$4:$D$503,(_calc!$E$653-500)))=0,"",INDEX('Vendor COIs'!$D$4:$D$503,(_calc!$E$653-500)))&amp;". ")&amp;IF(LEN(IF(LEN(INDEX('Vendor COIs'!$F$4:$F$503,(_calc!$E$653-500)))=0,"",INDEX('Vendor COIs'!$F$4:$F$503,(_calc!$E$653-500))))=0,"","Meets minimum: "&amp;IF(LEN(INDEX('Vendor COIs'!$F$4:$F$503,(_calc!$E$653-500)))=0,"",INDEX('Vendor COIs'!$F$4:$F$503,(_calc!$E$653-500)))&amp;". ")&amp;IF(LEN(IF(LEN(INDEX('Vendor COIs'!$G$4:$G$503,(_calc!$E$653-500)))=0,"",INDEX('Vendor COIs'!$G$4:$G$503,(_calc!$E$653-500))))=0,"","Additional insured: "&amp;IF(LEN(INDEX('Vendor COIs'!$G$4:$G$503,(_calc!$E$653-500)))=0,"",INDEX('Vendor COIs'!$G$4:$G$503,(_calc!$E$653-500)))&amp;". ")&amp;IF(LEN(IF(LEN(INDEX('Vendor COIs'!$M$4:$M$503,(_calc!$E$653-500)))=0,"",INDEX('Vendor COIs'!$M$4:$M$503,(_calc!$E$653-500))))=0,"","Vendor contact: "&amp;IF(LEN(INDEX('Vendor COIs'!$M$4:$M$503,(_calc!$E$653-500)))=0,"",INDEX('Vendor COIs'!$M$4:$M$503,(_calc!$E$653-500)))&amp;". ")&amp;IF(LEN(IF(LEN(INDEX('Vendor COIs'!$P$4:$P$503,(_calc!$E$653-500)))=0,"",INDEX('Vendor COIs'!$P$4:$P$503,(_calc!$E$653-500))))=0,"",IF(LEN(INDEX('Vendor COIs'!$P$4:$P$503,(_calc!$E$653-500)))=0,"",INDEX('Vendor COIs'!$P$4:$P$503,(_calc!$E$653-500)))))))</f>
        <v/>
      </c>
      <c r="G651" s="46">
        <f>IF(_calc!$E$653="","",IF(_calc!$E$653&lt;=500,IF(LEN(INDEX('Our policies'!$R$4:$R$503,_calc!$E$653))=0,"",INDEX('Our policies'!$R$4:$R$503,_calc!$E$653)),IF(LEN(INDEX('Vendor COIs'!$O$4:$O$503,(_calc!$E$653-500)))=0,"",INDEX('Vendor COIs'!$O$4:$O$503,(_calc!$E$653-500)))))</f>
        <v/>
      </c>
      <c r="H651" s="46">
        <f>IF(_calc!$E$653="","",IF(_calc!$E$653&lt;=500,IF(LEN(INDEX('Our policies'!$G$4:$G$503,_calc!$E$653))=0,"",INDEX('Our policies'!$G$4:$G$503,_calc!$E$653)),""))</f>
        <v/>
      </c>
      <c r="I651" s="46">
        <f>IF(_calc!$E$653="","",IF(_calc!$E$653&lt;=500,IF(LEN(INDEX('Our policies'!$H$4:$H$503,_calc!$E$653))=0,"",INDEX('Our policies'!$H$4:$H$503,_calc!$E$653)),""))</f>
        <v/>
      </c>
      <c r="K651" s="46">
        <f>IF(_calc!$E$653="","",IF(_calc!$E$653&lt;=500,IF(LEN(INDEX('Our policies'!$P$4:$P$503,_calc!$E$653))=0,"",INDEX('Our policies'!$P$4:$P$503,_calc!$E$653)),IF(LEN(INDEX('Vendor COIs'!$N$4:$N$503,(_calc!$E$653-500)))=0,"",INDEX('Vendor COIs'!$N$4:$N$503,(_calc!$E$653-500)))))</f>
        <v/>
      </c>
    </row>
    <row r="652">
      <c r="A652" s="46">
        <f>IF(_calc!$E$654="","",IF(_calc!$E$654&lt;=500,IF(LEN(INDEX('Our policies'!$A$4:$A$503,_calc!$E$654))=0,"",INDEX('Our policies'!$A$4:$A$503,_calc!$E$654)),"COI – "&amp;IF(LEN(INDEX('Vendor COIs'!$A$4:$A$503,(_calc!$E$654-500)))=0,"",INDEX('Vendor COIs'!$A$4:$A$503,(_calc!$E$654-500)))&amp;" – "&amp;IF(LEN(INDEX('Vendor COIs'!$B$4:$B$503,(_calc!$E$654-500)))=0,"",INDEX('Vendor COIs'!$B$4:$B$503,(_calc!$E$654-500)))))</f>
        <v/>
      </c>
      <c r="B652" s="46">
        <f>IF(_calc!$E$654="","",IF(_calc!$E$654&lt;=500,IF(ISNUMBER(INDEX('Our policies'!$J$4:$J$503,_calc!$E$654)),TEXT(INDEX('Our policies'!$J$4:$J$503,_calc!$E$654),"yyyy-mm-dd"),""),IF(ISNUMBER(INDEX('Vendor COIs'!$H$4:$H$503,(_calc!$E$654-500))),TEXT(INDEX('Vendor COIs'!$H$4:$H$503,(_calc!$E$654-500)),"yyyy-mm-dd"),"")))</f>
        <v/>
      </c>
      <c r="C652" s="46">
        <f>IF(_calc!$E$654="","",IF(_calc!$E$654&lt;=500,"Insurance","Certificate of insurance"))</f>
        <v/>
      </c>
      <c r="D652" s="46">
        <f>IF(_calc!$E$654="","",IF(_calc!$E$654&lt;=500,IF(ISNUMBER(INDEX('Our policies'!$I$4:$I$503,_calc!$E$654)),TEXT(INDEX('Our policies'!$I$4:$I$503,_calc!$E$654),"yyyy-mm-dd"),""),""))</f>
        <v/>
      </c>
      <c r="E652" s="46">
        <f>IF(_calc!$E$654="","",IF(_calc!$E$654&lt;=500,IF(LEN(INDEX('Our policies'!$Q$4:$Q$503,_calc!$E$654))=0,"",INDEX('Our policies'!$Q$4:$Q$503,_calc!$E$654)),"Medium"))</f>
        <v/>
      </c>
      <c r="F652" s="46">
        <f>IF(_calc!$E$654="","",IF(_calc!$E$654&lt;=500,TRIM(IF(LEN(IF(LEN(INDEX('Our policies'!$B$4:$B$503,_calc!$E$654))=0,"",INDEX('Our policies'!$B$4:$B$503,_calc!$E$654)))=0,"","Cover: "&amp;IF(LEN(INDEX('Our policies'!$B$4:$B$503,_calc!$E$654))=0,"",INDEX('Our policies'!$B$4:$B$503,_calc!$E$654))&amp;". ")&amp;IF(LEN(IF(LEN(INDEX('Our policies'!$C$4:$C$503,_calc!$E$654))=0,"",INDEX('Our policies'!$C$4:$C$503,_calc!$E$654)))=0,"","Insurer: "&amp;IF(LEN(INDEX('Our policies'!$C$4:$C$503,_calc!$E$654))=0,"",INDEX('Our policies'!$C$4:$C$503,_calc!$E$654))&amp;". ")&amp;IF(LEN(IF(LEN(INDEX('Our policies'!$D$4:$D$503,_calc!$E$654))=0,"",INDEX('Our policies'!$D$4:$D$503,_calc!$E$654)))=0,"","Broker: "&amp;IF(LEN(INDEX('Our policies'!$D$4:$D$503,_calc!$E$654))=0,"",INDEX('Our policies'!$D$4:$D$503,_calc!$E$654))&amp;". ")&amp;IF(LEN(IF(LEN(INDEX('Our policies'!$E$4:$E$503,_calc!$E$654))=0,"",INDEX('Our policies'!$E$4:$E$503,_calc!$E$654)))=0,"","Policy no.: "&amp;IF(LEN(INDEX('Our policies'!$E$4:$E$503,_calc!$E$654))=0,"",INDEX('Our policies'!$E$4:$E$503,_calc!$E$654))&amp;". ")&amp;IF(LEN(IF(LEN(INDEX('Our policies'!$S$4:$S$503,_calc!$E$654))=0,"",INDEX('Our policies'!$S$4:$S$503,_calc!$E$654)))=0,"",IF(LEN(INDEX('Our policies'!$S$4:$S$503,_calc!$E$654))=0,"",INDEX('Our policies'!$S$4:$S$503,_calc!$E$654)))),TRIM(IF(LEN(IF(LEN(INDEX('Vendor COIs'!$C$4:$C$503,(_calc!$E$654-500)))=0,"",INDEX('Vendor COIs'!$C$4:$C$503,(_calc!$E$654-500))))=0,"","Insurer: "&amp;IF(LEN(INDEX('Vendor COIs'!$C$4:$C$503,(_calc!$E$654-500)))=0,"",INDEX('Vendor COIs'!$C$4:$C$503,(_calc!$E$654-500)))&amp;". ")&amp;IF(LEN(IF(LEN(INDEX('Vendor COIs'!$D$4:$D$503,(_calc!$E$654-500)))=0,"",INDEX('Vendor COIs'!$D$4:$D$503,(_calc!$E$654-500))))=0,"","Policy no.: "&amp;IF(LEN(INDEX('Vendor COIs'!$D$4:$D$503,(_calc!$E$654-500)))=0,"",INDEX('Vendor COIs'!$D$4:$D$503,(_calc!$E$654-500)))&amp;". ")&amp;IF(LEN(IF(LEN(INDEX('Vendor COIs'!$F$4:$F$503,(_calc!$E$654-500)))=0,"",INDEX('Vendor COIs'!$F$4:$F$503,(_calc!$E$654-500))))=0,"","Meets minimum: "&amp;IF(LEN(INDEX('Vendor COIs'!$F$4:$F$503,(_calc!$E$654-500)))=0,"",INDEX('Vendor COIs'!$F$4:$F$503,(_calc!$E$654-500)))&amp;". ")&amp;IF(LEN(IF(LEN(INDEX('Vendor COIs'!$G$4:$G$503,(_calc!$E$654-500)))=0,"",INDEX('Vendor COIs'!$G$4:$G$503,(_calc!$E$654-500))))=0,"","Additional insured: "&amp;IF(LEN(INDEX('Vendor COIs'!$G$4:$G$503,(_calc!$E$654-500)))=0,"",INDEX('Vendor COIs'!$G$4:$G$503,(_calc!$E$654-500)))&amp;". ")&amp;IF(LEN(IF(LEN(INDEX('Vendor COIs'!$M$4:$M$503,(_calc!$E$654-500)))=0,"",INDEX('Vendor COIs'!$M$4:$M$503,(_calc!$E$654-500))))=0,"","Vendor contact: "&amp;IF(LEN(INDEX('Vendor COIs'!$M$4:$M$503,(_calc!$E$654-500)))=0,"",INDEX('Vendor COIs'!$M$4:$M$503,(_calc!$E$654-500)))&amp;". ")&amp;IF(LEN(IF(LEN(INDEX('Vendor COIs'!$P$4:$P$503,(_calc!$E$654-500)))=0,"",INDEX('Vendor COIs'!$P$4:$P$503,(_calc!$E$654-500))))=0,"",IF(LEN(INDEX('Vendor COIs'!$P$4:$P$503,(_calc!$E$654-500)))=0,"",INDEX('Vendor COIs'!$P$4:$P$503,(_calc!$E$654-500)))))))</f>
        <v/>
      </c>
      <c r="G652" s="46">
        <f>IF(_calc!$E$654="","",IF(_calc!$E$654&lt;=500,IF(LEN(INDEX('Our policies'!$R$4:$R$503,_calc!$E$654))=0,"",INDEX('Our policies'!$R$4:$R$503,_calc!$E$654)),IF(LEN(INDEX('Vendor COIs'!$O$4:$O$503,(_calc!$E$654-500)))=0,"",INDEX('Vendor COIs'!$O$4:$O$503,(_calc!$E$654-500)))))</f>
        <v/>
      </c>
      <c r="H652" s="46">
        <f>IF(_calc!$E$654="","",IF(_calc!$E$654&lt;=500,IF(LEN(INDEX('Our policies'!$G$4:$G$503,_calc!$E$654))=0,"",INDEX('Our policies'!$G$4:$G$503,_calc!$E$654)),""))</f>
        <v/>
      </c>
      <c r="I652" s="46">
        <f>IF(_calc!$E$654="","",IF(_calc!$E$654&lt;=500,IF(LEN(INDEX('Our policies'!$H$4:$H$503,_calc!$E$654))=0,"",INDEX('Our policies'!$H$4:$H$503,_calc!$E$654)),""))</f>
        <v/>
      </c>
      <c r="K652" s="46">
        <f>IF(_calc!$E$654="","",IF(_calc!$E$654&lt;=500,IF(LEN(INDEX('Our policies'!$P$4:$P$503,_calc!$E$654))=0,"",INDEX('Our policies'!$P$4:$P$503,_calc!$E$654)),IF(LEN(INDEX('Vendor COIs'!$N$4:$N$503,(_calc!$E$654-500)))=0,"",INDEX('Vendor COIs'!$N$4:$N$503,(_calc!$E$654-500)))))</f>
        <v/>
      </c>
    </row>
    <row r="653">
      <c r="A653" s="46">
        <f>IF(_calc!$E$655="","",IF(_calc!$E$655&lt;=500,IF(LEN(INDEX('Our policies'!$A$4:$A$503,_calc!$E$655))=0,"",INDEX('Our policies'!$A$4:$A$503,_calc!$E$655)),"COI – "&amp;IF(LEN(INDEX('Vendor COIs'!$A$4:$A$503,(_calc!$E$655-500)))=0,"",INDEX('Vendor COIs'!$A$4:$A$503,(_calc!$E$655-500)))&amp;" – "&amp;IF(LEN(INDEX('Vendor COIs'!$B$4:$B$503,(_calc!$E$655-500)))=0,"",INDEX('Vendor COIs'!$B$4:$B$503,(_calc!$E$655-500)))))</f>
        <v/>
      </c>
      <c r="B653" s="46">
        <f>IF(_calc!$E$655="","",IF(_calc!$E$655&lt;=500,IF(ISNUMBER(INDEX('Our policies'!$J$4:$J$503,_calc!$E$655)),TEXT(INDEX('Our policies'!$J$4:$J$503,_calc!$E$655),"yyyy-mm-dd"),""),IF(ISNUMBER(INDEX('Vendor COIs'!$H$4:$H$503,(_calc!$E$655-500))),TEXT(INDEX('Vendor COIs'!$H$4:$H$503,(_calc!$E$655-500)),"yyyy-mm-dd"),"")))</f>
        <v/>
      </c>
      <c r="C653" s="46">
        <f>IF(_calc!$E$655="","",IF(_calc!$E$655&lt;=500,"Insurance","Certificate of insurance"))</f>
        <v/>
      </c>
      <c r="D653" s="46">
        <f>IF(_calc!$E$655="","",IF(_calc!$E$655&lt;=500,IF(ISNUMBER(INDEX('Our policies'!$I$4:$I$503,_calc!$E$655)),TEXT(INDEX('Our policies'!$I$4:$I$503,_calc!$E$655),"yyyy-mm-dd"),""),""))</f>
        <v/>
      </c>
      <c r="E653" s="46">
        <f>IF(_calc!$E$655="","",IF(_calc!$E$655&lt;=500,IF(LEN(INDEX('Our policies'!$Q$4:$Q$503,_calc!$E$655))=0,"",INDEX('Our policies'!$Q$4:$Q$503,_calc!$E$655)),"Medium"))</f>
        <v/>
      </c>
      <c r="F653" s="46">
        <f>IF(_calc!$E$655="","",IF(_calc!$E$655&lt;=500,TRIM(IF(LEN(IF(LEN(INDEX('Our policies'!$B$4:$B$503,_calc!$E$655))=0,"",INDEX('Our policies'!$B$4:$B$503,_calc!$E$655)))=0,"","Cover: "&amp;IF(LEN(INDEX('Our policies'!$B$4:$B$503,_calc!$E$655))=0,"",INDEX('Our policies'!$B$4:$B$503,_calc!$E$655))&amp;". ")&amp;IF(LEN(IF(LEN(INDEX('Our policies'!$C$4:$C$503,_calc!$E$655))=0,"",INDEX('Our policies'!$C$4:$C$503,_calc!$E$655)))=0,"","Insurer: "&amp;IF(LEN(INDEX('Our policies'!$C$4:$C$503,_calc!$E$655))=0,"",INDEX('Our policies'!$C$4:$C$503,_calc!$E$655))&amp;". ")&amp;IF(LEN(IF(LEN(INDEX('Our policies'!$D$4:$D$503,_calc!$E$655))=0,"",INDEX('Our policies'!$D$4:$D$503,_calc!$E$655)))=0,"","Broker: "&amp;IF(LEN(INDEX('Our policies'!$D$4:$D$503,_calc!$E$655))=0,"",INDEX('Our policies'!$D$4:$D$503,_calc!$E$655))&amp;". ")&amp;IF(LEN(IF(LEN(INDEX('Our policies'!$E$4:$E$503,_calc!$E$655))=0,"",INDEX('Our policies'!$E$4:$E$503,_calc!$E$655)))=0,"","Policy no.: "&amp;IF(LEN(INDEX('Our policies'!$E$4:$E$503,_calc!$E$655))=0,"",INDEX('Our policies'!$E$4:$E$503,_calc!$E$655))&amp;". ")&amp;IF(LEN(IF(LEN(INDEX('Our policies'!$S$4:$S$503,_calc!$E$655))=0,"",INDEX('Our policies'!$S$4:$S$503,_calc!$E$655)))=0,"",IF(LEN(INDEX('Our policies'!$S$4:$S$503,_calc!$E$655))=0,"",INDEX('Our policies'!$S$4:$S$503,_calc!$E$655)))),TRIM(IF(LEN(IF(LEN(INDEX('Vendor COIs'!$C$4:$C$503,(_calc!$E$655-500)))=0,"",INDEX('Vendor COIs'!$C$4:$C$503,(_calc!$E$655-500))))=0,"","Insurer: "&amp;IF(LEN(INDEX('Vendor COIs'!$C$4:$C$503,(_calc!$E$655-500)))=0,"",INDEX('Vendor COIs'!$C$4:$C$503,(_calc!$E$655-500)))&amp;". ")&amp;IF(LEN(IF(LEN(INDEX('Vendor COIs'!$D$4:$D$503,(_calc!$E$655-500)))=0,"",INDEX('Vendor COIs'!$D$4:$D$503,(_calc!$E$655-500))))=0,"","Policy no.: "&amp;IF(LEN(INDEX('Vendor COIs'!$D$4:$D$503,(_calc!$E$655-500)))=0,"",INDEX('Vendor COIs'!$D$4:$D$503,(_calc!$E$655-500)))&amp;". ")&amp;IF(LEN(IF(LEN(INDEX('Vendor COIs'!$F$4:$F$503,(_calc!$E$655-500)))=0,"",INDEX('Vendor COIs'!$F$4:$F$503,(_calc!$E$655-500))))=0,"","Meets minimum: "&amp;IF(LEN(INDEX('Vendor COIs'!$F$4:$F$503,(_calc!$E$655-500)))=0,"",INDEX('Vendor COIs'!$F$4:$F$503,(_calc!$E$655-500)))&amp;". ")&amp;IF(LEN(IF(LEN(INDEX('Vendor COIs'!$G$4:$G$503,(_calc!$E$655-500)))=0,"",INDEX('Vendor COIs'!$G$4:$G$503,(_calc!$E$655-500))))=0,"","Additional insured: "&amp;IF(LEN(INDEX('Vendor COIs'!$G$4:$G$503,(_calc!$E$655-500)))=0,"",INDEX('Vendor COIs'!$G$4:$G$503,(_calc!$E$655-500)))&amp;". ")&amp;IF(LEN(IF(LEN(INDEX('Vendor COIs'!$M$4:$M$503,(_calc!$E$655-500)))=0,"",INDEX('Vendor COIs'!$M$4:$M$503,(_calc!$E$655-500))))=0,"","Vendor contact: "&amp;IF(LEN(INDEX('Vendor COIs'!$M$4:$M$503,(_calc!$E$655-500)))=0,"",INDEX('Vendor COIs'!$M$4:$M$503,(_calc!$E$655-500)))&amp;". ")&amp;IF(LEN(IF(LEN(INDEX('Vendor COIs'!$P$4:$P$503,(_calc!$E$655-500)))=0,"",INDEX('Vendor COIs'!$P$4:$P$503,(_calc!$E$655-500))))=0,"",IF(LEN(INDEX('Vendor COIs'!$P$4:$P$503,(_calc!$E$655-500)))=0,"",INDEX('Vendor COIs'!$P$4:$P$503,(_calc!$E$655-500)))))))</f>
        <v/>
      </c>
      <c r="G653" s="46">
        <f>IF(_calc!$E$655="","",IF(_calc!$E$655&lt;=500,IF(LEN(INDEX('Our policies'!$R$4:$R$503,_calc!$E$655))=0,"",INDEX('Our policies'!$R$4:$R$503,_calc!$E$655)),IF(LEN(INDEX('Vendor COIs'!$O$4:$O$503,(_calc!$E$655-500)))=0,"",INDEX('Vendor COIs'!$O$4:$O$503,(_calc!$E$655-500)))))</f>
        <v/>
      </c>
      <c r="H653" s="46">
        <f>IF(_calc!$E$655="","",IF(_calc!$E$655&lt;=500,IF(LEN(INDEX('Our policies'!$G$4:$G$503,_calc!$E$655))=0,"",INDEX('Our policies'!$G$4:$G$503,_calc!$E$655)),""))</f>
        <v/>
      </c>
      <c r="I653" s="46">
        <f>IF(_calc!$E$655="","",IF(_calc!$E$655&lt;=500,IF(LEN(INDEX('Our policies'!$H$4:$H$503,_calc!$E$655))=0,"",INDEX('Our policies'!$H$4:$H$503,_calc!$E$655)),""))</f>
        <v/>
      </c>
      <c r="K653" s="46">
        <f>IF(_calc!$E$655="","",IF(_calc!$E$655&lt;=500,IF(LEN(INDEX('Our policies'!$P$4:$P$503,_calc!$E$655))=0,"",INDEX('Our policies'!$P$4:$P$503,_calc!$E$655)),IF(LEN(INDEX('Vendor COIs'!$N$4:$N$503,(_calc!$E$655-500)))=0,"",INDEX('Vendor COIs'!$N$4:$N$503,(_calc!$E$655-500)))))</f>
        <v/>
      </c>
    </row>
    <row r="654">
      <c r="A654" s="46">
        <f>IF(_calc!$E$656="","",IF(_calc!$E$656&lt;=500,IF(LEN(INDEX('Our policies'!$A$4:$A$503,_calc!$E$656))=0,"",INDEX('Our policies'!$A$4:$A$503,_calc!$E$656)),"COI – "&amp;IF(LEN(INDEX('Vendor COIs'!$A$4:$A$503,(_calc!$E$656-500)))=0,"",INDEX('Vendor COIs'!$A$4:$A$503,(_calc!$E$656-500)))&amp;" – "&amp;IF(LEN(INDEX('Vendor COIs'!$B$4:$B$503,(_calc!$E$656-500)))=0,"",INDEX('Vendor COIs'!$B$4:$B$503,(_calc!$E$656-500)))))</f>
        <v/>
      </c>
      <c r="B654" s="46">
        <f>IF(_calc!$E$656="","",IF(_calc!$E$656&lt;=500,IF(ISNUMBER(INDEX('Our policies'!$J$4:$J$503,_calc!$E$656)),TEXT(INDEX('Our policies'!$J$4:$J$503,_calc!$E$656),"yyyy-mm-dd"),""),IF(ISNUMBER(INDEX('Vendor COIs'!$H$4:$H$503,(_calc!$E$656-500))),TEXT(INDEX('Vendor COIs'!$H$4:$H$503,(_calc!$E$656-500)),"yyyy-mm-dd"),"")))</f>
        <v/>
      </c>
      <c r="C654" s="46">
        <f>IF(_calc!$E$656="","",IF(_calc!$E$656&lt;=500,"Insurance","Certificate of insurance"))</f>
        <v/>
      </c>
      <c r="D654" s="46">
        <f>IF(_calc!$E$656="","",IF(_calc!$E$656&lt;=500,IF(ISNUMBER(INDEX('Our policies'!$I$4:$I$503,_calc!$E$656)),TEXT(INDEX('Our policies'!$I$4:$I$503,_calc!$E$656),"yyyy-mm-dd"),""),""))</f>
        <v/>
      </c>
      <c r="E654" s="46">
        <f>IF(_calc!$E$656="","",IF(_calc!$E$656&lt;=500,IF(LEN(INDEX('Our policies'!$Q$4:$Q$503,_calc!$E$656))=0,"",INDEX('Our policies'!$Q$4:$Q$503,_calc!$E$656)),"Medium"))</f>
        <v/>
      </c>
      <c r="F654" s="46">
        <f>IF(_calc!$E$656="","",IF(_calc!$E$656&lt;=500,TRIM(IF(LEN(IF(LEN(INDEX('Our policies'!$B$4:$B$503,_calc!$E$656))=0,"",INDEX('Our policies'!$B$4:$B$503,_calc!$E$656)))=0,"","Cover: "&amp;IF(LEN(INDEX('Our policies'!$B$4:$B$503,_calc!$E$656))=0,"",INDEX('Our policies'!$B$4:$B$503,_calc!$E$656))&amp;". ")&amp;IF(LEN(IF(LEN(INDEX('Our policies'!$C$4:$C$503,_calc!$E$656))=0,"",INDEX('Our policies'!$C$4:$C$503,_calc!$E$656)))=0,"","Insurer: "&amp;IF(LEN(INDEX('Our policies'!$C$4:$C$503,_calc!$E$656))=0,"",INDEX('Our policies'!$C$4:$C$503,_calc!$E$656))&amp;". ")&amp;IF(LEN(IF(LEN(INDEX('Our policies'!$D$4:$D$503,_calc!$E$656))=0,"",INDEX('Our policies'!$D$4:$D$503,_calc!$E$656)))=0,"","Broker: "&amp;IF(LEN(INDEX('Our policies'!$D$4:$D$503,_calc!$E$656))=0,"",INDEX('Our policies'!$D$4:$D$503,_calc!$E$656))&amp;". ")&amp;IF(LEN(IF(LEN(INDEX('Our policies'!$E$4:$E$503,_calc!$E$656))=0,"",INDEX('Our policies'!$E$4:$E$503,_calc!$E$656)))=0,"","Policy no.: "&amp;IF(LEN(INDEX('Our policies'!$E$4:$E$503,_calc!$E$656))=0,"",INDEX('Our policies'!$E$4:$E$503,_calc!$E$656))&amp;". ")&amp;IF(LEN(IF(LEN(INDEX('Our policies'!$S$4:$S$503,_calc!$E$656))=0,"",INDEX('Our policies'!$S$4:$S$503,_calc!$E$656)))=0,"",IF(LEN(INDEX('Our policies'!$S$4:$S$503,_calc!$E$656))=0,"",INDEX('Our policies'!$S$4:$S$503,_calc!$E$656)))),TRIM(IF(LEN(IF(LEN(INDEX('Vendor COIs'!$C$4:$C$503,(_calc!$E$656-500)))=0,"",INDEX('Vendor COIs'!$C$4:$C$503,(_calc!$E$656-500))))=0,"","Insurer: "&amp;IF(LEN(INDEX('Vendor COIs'!$C$4:$C$503,(_calc!$E$656-500)))=0,"",INDEX('Vendor COIs'!$C$4:$C$503,(_calc!$E$656-500)))&amp;". ")&amp;IF(LEN(IF(LEN(INDEX('Vendor COIs'!$D$4:$D$503,(_calc!$E$656-500)))=0,"",INDEX('Vendor COIs'!$D$4:$D$503,(_calc!$E$656-500))))=0,"","Policy no.: "&amp;IF(LEN(INDEX('Vendor COIs'!$D$4:$D$503,(_calc!$E$656-500)))=0,"",INDEX('Vendor COIs'!$D$4:$D$503,(_calc!$E$656-500)))&amp;". ")&amp;IF(LEN(IF(LEN(INDEX('Vendor COIs'!$F$4:$F$503,(_calc!$E$656-500)))=0,"",INDEX('Vendor COIs'!$F$4:$F$503,(_calc!$E$656-500))))=0,"","Meets minimum: "&amp;IF(LEN(INDEX('Vendor COIs'!$F$4:$F$503,(_calc!$E$656-500)))=0,"",INDEX('Vendor COIs'!$F$4:$F$503,(_calc!$E$656-500)))&amp;". ")&amp;IF(LEN(IF(LEN(INDEX('Vendor COIs'!$G$4:$G$503,(_calc!$E$656-500)))=0,"",INDEX('Vendor COIs'!$G$4:$G$503,(_calc!$E$656-500))))=0,"","Additional insured: "&amp;IF(LEN(INDEX('Vendor COIs'!$G$4:$G$503,(_calc!$E$656-500)))=0,"",INDEX('Vendor COIs'!$G$4:$G$503,(_calc!$E$656-500)))&amp;". ")&amp;IF(LEN(IF(LEN(INDEX('Vendor COIs'!$M$4:$M$503,(_calc!$E$656-500)))=0,"",INDEX('Vendor COIs'!$M$4:$M$503,(_calc!$E$656-500))))=0,"","Vendor contact: "&amp;IF(LEN(INDEX('Vendor COIs'!$M$4:$M$503,(_calc!$E$656-500)))=0,"",INDEX('Vendor COIs'!$M$4:$M$503,(_calc!$E$656-500)))&amp;". ")&amp;IF(LEN(IF(LEN(INDEX('Vendor COIs'!$P$4:$P$503,(_calc!$E$656-500)))=0,"",INDEX('Vendor COIs'!$P$4:$P$503,(_calc!$E$656-500))))=0,"",IF(LEN(INDEX('Vendor COIs'!$P$4:$P$503,(_calc!$E$656-500)))=0,"",INDEX('Vendor COIs'!$P$4:$P$503,(_calc!$E$656-500)))))))</f>
        <v/>
      </c>
      <c r="G654" s="46">
        <f>IF(_calc!$E$656="","",IF(_calc!$E$656&lt;=500,IF(LEN(INDEX('Our policies'!$R$4:$R$503,_calc!$E$656))=0,"",INDEX('Our policies'!$R$4:$R$503,_calc!$E$656)),IF(LEN(INDEX('Vendor COIs'!$O$4:$O$503,(_calc!$E$656-500)))=0,"",INDEX('Vendor COIs'!$O$4:$O$503,(_calc!$E$656-500)))))</f>
        <v/>
      </c>
      <c r="H654" s="46">
        <f>IF(_calc!$E$656="","",IF(_calc!$E$656&lt;=500,IF(LEN(INDEX('Our policies'!$G$4:$G$503,_calc!$E$656))=0,"",INDEX('Our policies'!$G$4:$G$503,_calc!$E$656)),""))</f>
        <v/>
      </c>
      <c r="I654" s="46">
        <f>IF(_calc!$E$656="","",IF(_calc!$E$656&lt;=500,IF(LEN(INDEX('Our policies'!$H$4:$H$503,_calc!$E$656))=0,"",INDEX('Our policies'!$H$4:$H$503,_calc!$E$656)),""))</f>
        <v/>
      </c>
      <c r="K654" s="46">
        <f>IF(_calc!$E$656="","",IF(_calc!$E$656&lt;=500,IF(LEN(INDEX('Our policies'!$P$4:$P$503,_calc!$E$656))=0,"",INDEX('Our policies'!$P$4:$P$503,_calc!$E$656)),IF(LEN(INDEX('Vendor COIs'!$N$4:$N$503,(_calc!$E$656-500)))=0,"",INDEX('Vendor COIs'!$N$4:$N$503,(_calc!$E$656-500)))))</f>
        <v/>
      </c>
    </row>
    <row r="655">
      <c r="A655" s="46">
        <f>IF(_calc!$E$657="","",IF(_calc!$E$657&lt;=500,IF(LEN(INDEX('Our policies'!$A$4:$A$503,_calc!$E$657))=0,"",INDEX('Our policies'!$A$4:$A$503,_calc!$E$657)),"COI – "&amp;IF(LEN(INDEX('Vendor COIs'!$A$4:$A$503,(_calc!$E$657-500)))=0,"",INDEX('Vendor COIs'!$A$4:$A$503,(_calc!$E$657-500)))&amp;" – "&amp;IF(LEN(INDEX('Vendor COIs'!$B$4:$B$503,(_calc!$E$657-500)))=0,"",INDEX('Vendor COIs'!$B$4:$B$503,(_calc!$E$657-500)))))</f>
        <v/>
      </c>
      <c r="B655" s="46">
        <f>IF(_calc!$E$657="","",IF(_calc!$E$657&lt;=500,IF(ISNUMBER(INDEX('Our policies'!$J$4:$J$503,_calc!$E$657)),TEXT(INDEX('Our policies'!$J$4:$J$503,_calc!$E$657),"yyyy-mm-dd"),""),IF(ISNUMBER(INDEX('Vendor COIs'!$H$4:$H$503,(_calc!$E$657-500))),TEXT(INDEX('Vendor COIs'!$H$4:$H$503,(_calc!$E$657-500)),"yyyy-mm-dd"),"")))</f>
        <v/>
      </c>
      <c r="C655" s="46">
        <f>IF(_calc!$E$657="","",IF(_calc!$E$657&lt;=500,"Insurance","Certificate of insurance"))</f>
        <v/>
      </c>
      <c r="D655" s="46">
        <f>IF(_calc!$E$657="","",IF(_calc!$E$657&lt;=500,IF(ISNUMBER(INDEX('Our policies'!$I$4:$I$503,_calc!$E$657)),TEXT(INDEX('Our policies'!$I$4:$I$503,_calc!$E$657),"yyyy-mm-dd"),""),""))</f>
        <v/>
      </c>
      <c r="E655" s="46">
        <f>IF(_calc!$E$657="","",IF(_calc!$E$657&lt;=500,IF(LEN(INDEX('Our policies'!$Q$4:$Q$503,_calc!$E$657))=0,"",INDEX('Our policies'!$Q$4:$Q$503,_calc!$E$657)),"Medium"))</f>
        <v/>
      </c>
      <c r="F655" s="46">
        <f>IF(_calc!$E$657="","",IF(_calc!$E$657&lt;=500,TRIM(IF(LEN(IF(LEN(INDEX('Our policies'!$B$4:$B$503,_calc!$E$657))=0,"",INDEX('Our policies'!$B$4:$B$503,_calc!$E$657)))=0,"","Cover: "&amp;IF(LEN(INDEX('Our policies'!$B$4:$B$503,_calc!$E$657))=0,"",INDEX('Our policies'!$B$4:$B$503,_calc!$E$657))&amp;". ")&amp;IF(LEN(IF(LEN(INDEX('Our policies'!$C$4:$C$503,_calc!$E$657))=0,"",INDEX('Our policies'!$C$4:$C$503,_calc!$E$657)))=0,"","Insurer: "&amp;IF(LEN(INDEX('Our policies'!$C$4:$C$503,_calc!$E$657))=0,"",INDEX('Our policies'!$C$4:$C$503,_calc!$E$657))&amp;". ")&amp;IF(LEN(IF(LEN(INDEX('Our policies'!$D$4:$D$503,_calc!$E$657))=0,"",INDEX('Our policies'!$D$4:$D$503,_calc!$E$657)))=0,"","Broker: "&amp;IF(LEN(INDEX('Our policies'!$D$4:$D$503,_calc!$E$657))=0,"",INDEX('Our policies'!$D$4:$D$503,_calc!$E$657))&amp;". ")&amp;IF(LEN(IF(LEN(INDEX('Our policies'!$E$4:$E$503,_calc!$E$657))=0,"",INDEX('Our policies'!$E$4:$E$503,_calc!$E$657)))=0,"","Policy no.: "&amp;IF(LEN(INDEX('Our policies'!$E$4:$E$503,_calc!$E$657))=0,"",INDEX('Our policies'!$E$4:$E$503,_calc!$E$657))&amp;". ")&amp;IF(LEN(IF(LEN(INDEX('Our policies'!$S$4:$S$503,_calc!$E$657))=0,"",INDEX('Our policies'!$S$4:$S$503,_calc!$E$657)))=0,"",IF(LEN(INDEX('Our policies'!$S$4:$S$503,_calc!$E$657))=0,"",INDEX('Our policies'!$S$4:$S$503,_calc!$E$657)))),TRIM(IF(LEN(IF(LEN(INDEX('Vendor COIs'!$C$4:$C$503,(_calc!$E$657-500)))=0,"",INDEX('Vendor COIs'!$C$4:$C$503,(_calc!$E$657-500))))=0,"","Insurer: "&amp;IF(LEN(INDEX('Vendor COIs'!$C$4:$C$503,(_calc!$E$657-500)))=0,"",INDEX('Vendor COIs'!$C$4:$C$503,(_calc!$E$657-500)))&amp;". ")&amp;IF(LEN(IF(LEN(INDEX('Vendor COIs'!$D$4:$D$503,(_calc!$E$657-500)))=0,"",INDEX('Vendor COIs'!$D$4:$D$503,(_calc!$E$657-500))))=0,"","Policy no.: "&amp;IF(LEN(INDEX('Vendor COIs'!$D$4:$D$503,(_calc!$E$657-500)))=0,"",INDEX('Vendor COIs'!$D$4:$D$503,(_calc!$E$657-500)))&amp;". ")&amp;IF(LEN(IF(LEN(INDEX('Vendor COIs'!$F$4:$F$503,(_calc!$E$657-500)))=0,"",INDEX('Vendor COIs'!$F$4:$F$503,(_calc!$E$657-500))))=0,"","Meets minimum: "&amp;IF(LEN(INDEX('Vendor COIs'!$F$4:$F$503,(_calc!$E$657-500)))=0,"",INDEX('Vendor COIs'!$F$4:$F$503,(_calc!$E$657-500)))&amp;". ")&amp;IF(LEN(IF(LEN(INDEX('Vendor COIs'!$G$4:$G$503,(_calc!$E$657-500)))=0,"",INDEX('Vendor COIs'!$G$4:$G$503,(_calc!$E$657-500))))=0,"","Additional insured: "&amp;IF(LEN(INDEX('Vendor COIs'!$G$4:$G$503,(_calc!$E$657-500)))=0,"",INDEX('Vendor COIs'!$G$4:$G$503,(_calc!$E$657-500)))&amp;". ")&amp;IF(LEN(IF(LEN(INDEX('Vendor COIs'!$M$4:$M$503,(_calc!$E$657-500)))=0,"",INDEX('Vendor COIs'!$M$4:$M$503,(_calc!$E$657-500))))=0,"","Vendor contact: "&amp;IF(LEN(INDEX('Vendor COIs'!$M$4:$M$503,(_calc!$E$657-500)))=0,"",INDEX('Vendor COIs'!$M$4:$M$503,(_calc!$E$657-500)))&amp;". ")&amp;IF(LEN(IF(LEN(INDEX('Vendor COIs'!$P$4:$P$503,(_calc!$E$657-500)))=0,"",INDEX('Vendor COIs'!$P$4:$P$503,(_calc!$E$657-500))))=0,"",IF(LEN(INDEX('Vendor COIs'!$P$4:$P$503,(_calc!$E$657-500)))=0,"",INDEX('Vendor COIs'!$P$4:$P$503,(_calc!$E$657-500)))))))</f>
        <v/>
      </c>
      <c r="G655" s="46">
        <f>IF(_calc!$E$657="","",IF(_calc!$E$657&lt;=500,IF(LEN(INDEX('Our policies'!$R$4:$R$503,_calc!$E$657))=0,"",INDEX('Our policies'!$R$4:$R$503,_calc!$E$657)),IF(LEN(INDEX('Vendor COIs'!$O$4:$O$503,(_calc!$E$657-500)))=0,"",INDEX('Vendor COIs'!$O$4:$O$503,(_calc!$E$657-500)))))</f>
        <v/>
      </c>
      <c r="H655" s="46">
        <f>IF(_calc!$E$657="","",IF(_calc!$E$657&lt;=500,IF(LEN(INDEX('Our policies'!$G$4:$G$503,_calc!$E$657))=0,"",INDEX('Our policies'!$G$4:$G$503,_calc!$E$657)),""))</f>
        <v/>
      </c>
      <c r="I655" s="46">
        <f>IF(_calc!$E$657="","",IF(_calc!$E$657&lt;=500,IF(LEN(INDEX('Our policies'!$H$4:$H$503,_calc!$E$657))=0,"",INDEX('Our policies'!$H$4:$H$503,_calc!$E$657)),""))</f>
        <v/>
      </c>
      <c r="K655" s="46">
        <f>IF(_calc!$E$657="","",IF(_calc!$E$657&lt;=500,IF(LEN(INDEX('Our policies'!$P$4:$P$503,_calc!$E$657))=0,"",INDEX('Our policies'!$P$4:$P$503,_calc!$E$657)),IF(LEN(INDEX('Vendor COIs'!$N$4:$N$503,(_calc!$E$657-500)))=0,"",INDEX('Vendor COIs'!$N$4:$N$503,(_calc!$E$657-500)))))</f>
        <v/>
      </c>
    </row>
    <row r="656">
      <c r="A656" s="46">
        <f>IF(_calc!$E$658="","",IF(_calc!$E$658&lt;=500,IF(LEN(INDEX('Our policies'!$A$4:$A$503,_calc!$E$658))=0,"",INDEX('Our policies'!$A$4:$A$503,_calc!$E$658)),"COI – "&amp;IF(LEN(INDEX('Vendor COIs'!$A$4:$A$503,(_calc!$E$658-500)))=0,"",INDEX('Vendor COIs'!$A$4:$A$503,(_calc!$E$658-500)))&amp;" – "&amp;IF(LEN(INDEX('Vendor COIs'!$B$4:$B$503,(_calc!$E$658-500)))=0,"",INDEX('Vendor COIs'!$B$4:$B$503,(_calc!$E$658-500)))))</f>
        <v/>
      </c>
      <c r="B656" s="46">
        <f>IF(_calc!$E$658="","",IF(_calc!$E$658&lt;=500,IF(ISNUMBER(INDEX('Our policies'!$J$4:$J$503,_calc!$E$658)),TEXT(INDEX('Our policies'!$J$4:$J$503,_calc!$E$658),"yyyy-mm-dd"),""),IF(ISNUMBER(INDEX('Vendor COIs'!$H$4:$H$503,(_calc!$E$658-500))),TEXT(INDEX('Vendor COIs'!$H$4:$H$503,(_calc!$E$658-500)),"yyyy-mm-dd"),"")))</f>
        <v/>
      </c>
      <c r="C656" s="46">
        <f>IF(_calc!$E$658="","",IF(_calc!$E$658&lt;=500,"Insurance","Certificate of insurance"))</f>
        <v/>
      </c>
      <c r="D656" s="46">
        <f>IF(_calc!$E$658="","",IF(_calc!$E$658&lt;=500,IF(ISNUMBER(INDEX('Our policies'!$I$4:$I$503,_calc!$E$658)),TEXT(INDEX('Our policies'!$I$4:$I$503,_calc!$E$658),"yyyy-mm-dd"),""),""))</f>
        <v/>
      </c>
      <c r="E656" s="46">
        <f>IF(_calc!$E$658="","",IF(_calc!$E$658&lt;=500,IF(LEN(INDEX('Our policies'!$Q$4:$Q$503,_calc!$E$658))=0,"",INDEX('Our policies'!$Q$4:$Q$503,_calc!$E$658)),"Medium"))</f>
        <v/>
      </c>
      <c r="F656" s="46">
        <f>IF(_calc!$E$658="","",IF(_calc!$E$658&lt;=500,TRIM(IF(LEN(IF(LEN(INDEX('Our policies'!$B$4:$B$503,_calc!$E$658))=0,"",INDEX('Our policies'!$B$4:$B$503,_calc!$E$658)))=0,"","Cover: "&amp;IF(LEN(INDEX('Our policies'!$B$4:$B$503,_calc!$E$658))=0,"",INDEX('Our policies'!$B$4:$B$503,_calc!$E$658))&amp;". ")&amp;IF(LEN(IF(LEN(INDEX('Our policies'!$C$4:$C$503,_calc!$E$658))=0,"",INDEX('Our policies'!$C$4:$C$503,_calc!$E$658)))=0,"","Insurer: "&amp;IF(LEN(INDEX('Our policies'!$C$4:$C$503,_calc!$E$658))=0,"",INDEX('Our policies'!$C$4:$C$503,_calc!$E$658))&amp;". ")&amp;IF(LEN(IF(LEN(INDEX('Our policies'!$D$4:$D$503,_calc!$E$658))=0,"",INDEX('Our policies'!$D$4:$D$503,_calc!$E$658)))=0,"","Broker: "&amp;IF(LEN(INDEX('Our policies'!$D$4:$D$503,_calc!$E$658))=0,"",INDEX('Our policies'!$D$4:$D$503,_calc!$E$658))&amp;". ")&amp;IF(LEN(IF(LEN(INDEX('Our policies'!$E$4:$E$503,_calc!$E$658))=0,"",INDEX('Our policies'!$E$4:$E$503,_calc!$E$658)))=0,"","Policy no.: "&amp;IF(LEN(INDEX('Our policies'!$E$4:$E$503,_calc!$E$658))=0,"",INDEX('Our policies'!$E$4:$E$503,_calc!$E$658))&amp;". ")&amp;IF(LEN(IF(LEN(INDEX('Our policies'!$S$4:$S$503,_calc!$E$658))=0,"",INDEX('Our policies'!$S$4:$S$503,_calc!$E$658)))=0,"",IF(LEN(INDEX('Our policies'!$S$4:$S$503,_calc!$E$658))=0,"",INDEX('Our policies'!$S$4:$S$503,_calc!$E$658)))),TRIM(IF(LEN(IF(LEN(INDEX('Vendor COIs'!$C$4:$C$503,(_calc!$E$658-500)))=0,"",INDEX('Vendor COIs'!$C$4:$C$503,(_calc!$E$658-500))))=0,"","Insurer: "&amp;IF(LEN(INDEX('Vendor COIs'!$C$4:$C$503,(_calc!$E$658-500)))=0,"",INDEX('Vendor COIs'!$C$4:$C$503,(_calc!$E$658-500)))&amp;". ")&amp;IF(LEN(IF(LEN(INDEX('Vendor COIs'!$D$4:$D$503,(_calc!$E$658-500)))=0,"",INDEX('Vendor COIs'!$D$4:$D$503,(_calc!$E$658-500))))=0,"","Policy no.: "&amp;IF(LEN(INDEX('Vendor COIs'!$D$4:$D$503,(_calc!$E$658-500)))=0,"",INDEX('Vendor COIs'!$D$4:$D$503,(_calc!$E$658-500)))&amp;". ")&amp;IF(LEN(IF(LEN(INDEX('Vendor COIs'!$F$4:$F$503,(_calc!$E$658-500)))=0,"",INDEX('Vendor COIs'!$F$4:$F$503,(_calc!$E$658-500))))=0,"","Meets minimum: "&amp;IF(LEN(INDEX('Vendor COIs'!$F$4:$F$503,(_calc!$E$658-500)))=0,"",INDEX('Vendor COIs'!$F$4:$F$503,(_calc!$E$658-500)))&amp;". ")&amp;IF(LEN(IF(LEN(INDEX('Vendor COIs'!$G$4:$G$503,(_calc!$E$658-500)))=0,"",INDEX('Vendor COIs'!$G$4:$G$503,(_calc!$E$658-500))))=0,"","Additional insured: "&amp;IF(LEN(INDEX('Vendor COIs'!$G$4:$G$503,(_calc!$E$658-500)))=0,"",INDEX('Vendor COIs'!$G$4:$G$503,(_calc!$E$658-500)))&amp;". ")&amp;IF(LEN(IF(LEN(INDEX('Vendor COIs'!$M$4:$M$503,(_calc!$E$658-500)))=0,"",INDEX('Vendor COIs'!$M$4:$M$503,(_calc!$E$658-500))))=0,"","Vendor contact: "&amp;IF(LEN(INDEX('Vendor COIs'!$M$4:$M$503,(_calc!$E$658-500)))=0,"",INDEX('Vendor COIs'!$M$4:$M$503,(_calc!$E$658-500)))&amp;". ")&amp;IF(LEN(IF(LEN(INDEX('Vendor COIs'!$P$4:$P$503,(_calc!$E$658-500)))=0,"",INDEX('Vendor COIs'!$P$4:$P$503,(_calc!$E$658-500))))=0,"",IF(LEN(INDEX('Vendor COIs'!$P$4:$P$503,(_calc!$E$658-500)))=0,"",INDEX('Vendor COIs'!$P$4:$P$503,(_calc!$E$658-500)))))))</f>
        <v/>
      </c>
      <c r="G656" s="46">
        <f>IF(_calc!$E$658="","",IF(_calc!$E$658&lt;=500,IF(LEN(INDEX('Our policies'!$R$4:$R$503,_calc!$E$658))=0,"",INDEX('Our policies'!$R$4:$R$503,_calc!$E$658)),IF(LEN(INDEX('Vendor COIs'!$O$4:$O$503,(_calc!$E$658-500)))=0,"",INDEX('Vendor COIs'!$O$4:$O$503,(_calc!$E$658-500)))))</f>
        <v/>
      </c>
      <c r="H656" s="46">
        <f>IF(_calc!$E$658="","",IF(_calc!$E$658&lt;=500,IF(LEN(INDEX('Our policies'!$G$4:$G$503,_calc!$E$658))=0,"",INDEX('Our policies'!$G$4:$G$503,_calc!$E$658)),""))</f>
        <v/>
      </c>
      <c r="I656" s="46">
        <f>IF(_calc!$E$658="","",IF(_calc!$E$658&lt;=500,IF(LEN(INDEX('Our policies'!$H$4:$H$503,_calc!$E$658))=0,"",INDEX('Our policies'!$H$4:$H$503,_calc!$E$658)),""))</f>
        <v/>
      </c>
      <c r="K656" s="46">
        <f>IF(_calc!$E$658="","",IF(_calc!$E$658&lt;=500,IF(LEN(INDEX('Our policies'!$P$4:$P$503,_calc!$E$658))=0,"",INDEX('Our policies'!$P$4:$P$503,_calc!$E$658)),IF(LEN(INDEX('Vendor COIs'!$N$4:$N$503,(_calc!$E$658-500)))=0,"",INDEX('Vendor COIs'!$N$4:$N$503,(_calc!$E$658-500)))))</f>
        <v/>
      </c>
    </row>
    <row r="657">
      <c r="A657" s="46">
        <f>IF(_calc!$E$659="","",IF(_calc!$E$659&lt;=500,IF(LEN(INDEX('Our policies'!$A$4:$A$503,_calc!$E$659))=0,"",INDEX('Our policies'!$A$4:$A$503,_calc!$E$659)),"COI – "&amp;IF(LEN(INDEX('Vendor COIs'!$A$4:$A$503,(_calc!$E$659-500)))=0,"",INDEX('Vendor COIs'!$A$4:$A$503,(_calc!$E$659-500)))&amp;" – "&amp;IF(LEN(INDEX('Vendor COIs'!$B$4:$B$503,(_calc!$E$659-500)))=0,"",INDEX('Vendor COIs'!$B$4:$B$503,(_calc!$E$659-500)))))</f>
        <v/>
      </c>
      <c r="B657" s="46">
        <f>IF(_calc!$E$659="","",IF(_calc!$E$659&lt;=500,IF(ISNUMBER(INDEX('Our policies'!$J$4:$J$503,_calc!$E$659)),TEXT(INDEX('Our policies'!$J$4:$J$503,_calc!$E$659),"yyyy-mm-dd"),""),IF(ISNUMBER(INDEX('Vendor COIs'!$H$4:$H$503,(_calc!$E$659-500))),TEXT(INDEX('Vendor COIs'!$H$4:$H$503,(_calc!$E$659-500)),"yyyy-mm-dd"),"")))</f>
        <v/>
      </c>
      <c r="C657" s="46">
        <f>IF(_calc!$E$659="","",IF(_calc!$E$659&lt;=500,"Insurance","Certificate of insurance"))</f>
        <v/>
      </c>
      <c r="D657" s="46">
        <f>IF(_calc!$E$659="","",IF(_calc!$E$659&lt;=500,IF(ISNUMBER(INDEX('Our policies'!$I$4:$I$503,_calc!$E$659)),TEXT(INDEX('Our policies'!$I$4:$I$503,_calc!$E$659),"yyyy-mm-dd"),""),""))</f>
        <v/>
      </c>
      <c r="E657" s="46">
        <f>IF(_calc!$E$659="","",IF(_calc!$E$659&lt;=500,IF(LEN(INDEX('Our policies'!$Q$4:$Q$503,_calc!$E$659))=0,"",INDEX('Our policies'!$Q$4:$Q$503,_calc!$E$659)),"Medium"))</f>
        <v/>
      </c>
      <c r="F657" s="46">
        <f>IF(_calc!$E$659="","",IF(_calc!$E$659&lt;=500,TRIM(IF(LEN(IF(LEN(INDEX('Our policies'!$B$4:$B$503,_calc!$E$659))=0,"",INDEX('Our policies'!$B$4:$B$503,_calc!$E$659)))=0,"","Cover: "&amp;IF(LEN(INDEX('Our policies'!$B$4:$B$503,_calc!$E$659))=0,"",INDEX('Our policies'!$B$4:$B$503,_calc!$E$659))&amp;". ")&amp;IF(LEN(IF(LEN(INDEX('Our policies'!$C$4:$C$503,_calc!$E$659))=0,"",INDEX('Our policies'!$C$4:$C$503,_calc!$E$659)))=0,"","Insurer: "&amp;IF(LEN(INDEX('Our policies'!$C$4:$C$503,_calc!$E$659))=0,"",INDEX('Our policies'!$C$4:$C$503,_calc!$E$659))&amp;". ")&amp;IF(LEN(IF(LEN(INDEX('Our policies'!$D$4:$D$503,_calc!$E$659))=0,"",INDEX('Our policies'!$D$4:$D$503,_calc!$E$659)))=0,"","Broker: "&amp;IF(LEN(INDEX('Our policies'!$D$4:$D$503,_calc!$E$659))=0,"",INDEX('Our policies'!$D$4:$D$503,_calc!$E$659))&amp;". ")&amp;IF(LEN(IF(LEN(INDEX('Our policies'!$E$4:$E$503,_calc!$E$659))=0,"",INDEX('Our policies'!$E$4:$E$503,_calc!$E$659)))=0,"","Policy no.: "&amp;IF(LEN(INDEX('Our policies'!$E$4:$E$503,_calc!$E$659))=0,"",INDEX('Our policies'!$E$4:$E$503,_calc!$E$659))&amp;". ")&amp;IF(LEN(IF(LEN(INDEX('Our policies'!$S$4:$S$503,_calc!$E$659))=0,"",INDEX('Our policies'!$S$4:$S$503,_calc!$E$659)))=0,"",IF(LEN(INDEX('Our policies'!$S$4:$S$503,_calc!$E$659))=0,"",INDEX('Our policies'!$S$4:$S$503,_calc!$E$659)))),TRIM(IF(LEN(IF(LEN(INDEX('Vendor COIs'!$C$4:$C$503,(_calc!$E$659-500)))=0,"",INDEX('Vendor COIs'!$C$4:$C$503,(_calc!$E$659-500))))=0,"","Insurer: "&amp;IF(LEN(INDEX('Vendor COIs'!$C$4:$C$503,(_calc!$E$659-500)))=0,"",INDEX('Vendor COIs'!$C$4:$C$503,(_calc!$E$659-500)))&amp;". ")&amp;IF(LEN(IF(LEN(INDEX('Vendor COIs'!$D$4:$D$503,(_calc!$E$659-500)))=0,"",INDEX('Vendor COIs'!$D$4:$D$503,(_calc!$E$659-500))))=0,"","Policy no.: "&amp;IF(LEN(INDEX('Vendor COIs'!$D$4:$D$503,(_calc!$E$659-500)))=0,"",INDEX('Vendor COIs'!$D$4:$D$503,(_calc!$E$659-500)))&amp;". ")&amp;IF(LEN(IF(LEN(INDEX('Vendor COIs'!$F$4:$F$503,(_calc!$E$659-500)))=0,"",INDEX('Vendor COIs'!$F$4:$F$503,(_calc!$E$659-500))))=0,"","Meets minimum: "&amp;IF(LEN(INDEX('Vendor COIs'!$F$4:$F$503,(_calc!$E$659-500)))=0,"",INDEX('Vendor COIs'!$F$4:$F$503,(_calc!$E$659-500)))&amp;". ")&amp;IF(LEN(IF(LEN(INDEX('Vendor COIs'!$G$4:$G$503,(_calc!$E$659-500)))=0,"",INDEX('Vendor COIs'!$G$4:$G$503,(_calc!$E$659-500))))=0,"","Additional insured: "&amp;IF(LEN(INDEX('Vendor COIs'!$G$4:$G$503,(_calc!$E$659-500)))=0,"",INDEX('Vendor COIs'!$G$4:$G$503,(_calc!$E$659-500)))&amp;". ")&amp;IF(LEN(IF(LEN(INDEX('Vendor COIs'!$M$4:$M$503,(_calc!$E$659-500)))=0,"",INDEX('Vendor COIs'!$M$4:$M$503,(_calc!$E$659-500))))=0,"","Vendor contact: "&amp;IF(LEN(INDEX('Vendor COIs'!$M$4:$M$503,(_calc!$E$659-500)))=0,"",INDEX('Vendor COIs'!$M$4:$M$503,(_calc!$E$659-500)))&amp;". ")&amp;IF(LEN(IF(LEN(INDEX('Vendor COIs'!$P$4:$P$503,(_calc!$E$659-500)))=0,"",INDEX('Vendor COIs'!$P$4:$P$503,(_calc!$E$659-500))))=0,"",IF(LEN(INDEX('Vendor COIs'!$P$4:$P$503,(_calc!$E$659-500)))=0,"",INDEX('Vendor COIs'!$P$4:$P$503,(_calc!$E$659-500)))))))</f>
        <v/>
      </c>
      <c r="G657" s="46">
        <f>IF(_calc!$E$659="","",IF(_calc!$E$659&lt;=500,IF(LEN(INDEX('Our policies'!$R$4:$R$503,_calc!$E$659))=0,"",INDEX('Our policies'!$R$4:$R$503,_calc!$E$659)),IF(LEN(INDEX('Vendor COIs'!$O$4:$O$503,(_calc!$E$659-500)))=0,"",INDEX('Vendor COIs'!$O$4:$O$503,(_calc!$E$659-500)))))</f>
        <v/>
      </c>
      <c r="H657" s="46">
        <f>IF(_calc!$E$659="","",IF(_calc!$E$659&lt;=500,IF(LEN(INDEX('Our policies'!$G$4:$G$503,_calc!$E$659))=0,"",INDEX('Our policies'!$G$4:$G$503,_calc!$E$659)),""))</f>
        <v/>
      </c>
      <c r="I657" s="46">
        <f>IF(_calc!$E$659="","",IF(_calc!$E$659&lt;=500,IF(LEN(INDEX('Our policies'!$H$4:$H$503,_calc!$E$659))=0,"",INDEX('Our policies'!$H$4:$H$503,_calc!$E$659)),""))</f>
        <v/>
      </c>
      <c r="K657" s="46">
        <f>IF(_calc!$E$659="","",IF(_calc!$E$659&lt;=500,IF(LEN(INDEX('Our policies'!$P$4:$P$503,_calc!$E$659))=0,"",INDEX('Our policies'!$P$4:$P$503,_calc!$E$659)),IF(LEN(INDEX('Vendor COIs'!$N$4:$N$503,(_calc!$E$659-500)))=0,"",INDEX('Vendor COIs'!$N$4:$N$503,(_calc!$E$659-500)))))</f>
        <v/>
      </c>
    </row>
    <row r="658">
      <c r="A658" s="46">
        <f>IF(_calc!$E$660="","",IF(_calc!$E$660&lt;=500,IF(LEN(INDEX('Our policies'!$A$4:$A$503,_calc!$E$660))=0,"",INDEX('Our policies'!$A$4:$A$503,_calc!$E$660)),"COI – "&amp;IF(LEN(INDEX('Vendor COIs'!$A$4:$A$503,(_calc!$E$660-500)))=0,"",INDEX('Vendor COIs'!$A$4:$A$503,(_calc!$E$660-500)))&amp;" – "&amp;IF(LEN(INDEX('Vendor COIs'!$B$4:$B$503,(_calc!$E$660-500)))=0,"",INDEX('Vendor COIs'!$B$4:$B$503,(_calc!$E$660-500)))))</f>
        <v/>
      </c>
      <c r="B658" s="46">
        <f>IF(_calc!$E$660="","",IF(_calc!$E$660&lt;=500,IF(ISNUMBER(INDEX('Our policies'!$J$4:$J$503,_calc!$E$660)),TEXT(INDEX('Our policies'!$J$4:$J$503,_calc!$E$660),"yyyy-mm-dd"),""),IF(ISNUMBER(INDEX('Vendor COIs'!$H$4:$H$503,(_calc!$E$660-500))),TEXT(INDEX('Vendor COIs'!$H$4:$H$503,(_calc!$E$660-500)),"yyyy-mm-dd"),"")))</f>
        <v/>
      </c>
      <c r="C658" s="46">
        <f>IF(_calc!$E$660="","",IF(_calc!$E$660&lt;=500,"Insurance","Certificate of insurance"))</f>
        <v/>
      </c>
      <c r="D658" s="46">
        <f>IF(_calc!$E$660="","",IF(_calc!$E$660&lt;=500,IF(ISNUMBER(INDEX('Our policies'!$I$4:$I$503,_calc!$E$660)),TEXT(INDEX('Our policies'!$I$4:$I$503,_calc!$E$660),"yyyy-mm-dd"),""),""))</f>
        <v/>
      </c>
      <c r="E658" s="46">
        <f>IF(_calc!$E$660="","",IF(_calc!$E$660&lt;=500,IF(LEN(INDEX('Our policies'!$Q$4:$Q$503,_calc!$E$660))=0,"",INDEX('Our policies'!$Q$4:$Q$503,_calc!$E$660)),"Medium"))</f>
        <v/>
      </c>
      <c r="F658" s="46">
        <f>IF(_calc!$E$660="","",IF(_calc!$E$660&lt;=500,TRIM(IF(LEN(IF(LEN(INDEX('Our policies'!$B$4:$B$503,_calc!$E$660))=0,"",INDEX('Our policies'!$B$4:$B$503,_calc!$E$660)))=0,"","Cover: "&amp;IF(LEN(INDEX('Our policies'!$B$4:$B$503,_calc!$E$660))=0,"",INDEX('Our policies'!$B$4:$B$503,_calc!$E$660))&amp;". ")&amp;IF(LEN(IF(LEN(INDEX('Our policies'!$C$4:$C$503,_calc!$E$660))=0,"",INDEX('Our policies'!$C$4:$C$503,_calc!$E$660)))=0,"","Insurer: "&amp;IF(LEN(INDEX('Our policies'!$C$4:$C$503,_calc!$E$660))=0,"",INDEX('Our policies'!$C$4:$C$503,_calc!$E$660))&amp;". ")&amp;IF(LEN(IF(LEN(INDEX('Our policies'!$D$4:$D$503,_calc!$E$660))=0,"",INDEX('Our policies'!$D$4:$D$503,_calc!$E$660)))=0,"","Broker: "&amp;IF(LEN(INDEX('Our policies'!$D$4:$D$503,_calc!$E$660))=0,"",INDEX('Our policies'!$D$4:$D$503,_calc!$E$660))&amp;". ")&amp;IF(LEN(IF(LEN(INDEX('Our policies'!$E$4:$E$503,_calc!$E$660))=0,"",INDEX('Our policies'!$E$4:$E$503,_calc!$E$660)))=0,"","Policy no.: "&amp;IF(LEN(INDEX('Our policies'!$E$4:$E$503,_calc!$E$660))=0,"",INDEX('Our policies'!$E$4:$E$503,_calc!$E$660))&amp;". ")&amp;IF(LEN(IF(LEN(INDEX('Our policies'!$S$4:$S$503,_calc!$E$660))=0,"",INDEX('Our policies'!$S$4:$S$503,_calc!$E$660)))=0,"",IF(LEN(INDEX('Our policies'!$S$4:$S$503,_calc!$E$660))=0,"",INDEX('Our policies'!$S$4:$S$503,_calc!$E$660)))),TRIM(IF(LEN(IF(LEN(INDEX('Vendor COIs'!$C$4:$C$503,(_calc!$E$660-500)))=0,"",INDEX('Vendor COIs'!$C$4:$C$503,(_calc!$E$660-500))))=0,"","Insurer: "&amp;IF(LEN(INDEX('Vendor COIs'!$C$4:$C$503,(_calc!$E$660-500)))=0,"",INDEX('Vendor COIs'!$C$4:$C$503,(_calc!$E$660-500)))&amp;". ")&amp;IF(LEN(IF(LEN(INDEX('Vendor COIs'!$D$4:$D$503,(_calc!$E$660-500)))=0,"",INDEX('Vendor COIs'!$D$4:$D$503,(_calc!$E$660-500))))=0,"","Policy no.: "&amp;IF(LEN(INDEX('Vendor COIs'!$D$4:$D$503,(_calc!$E$660-500)))=0,"",INDEX('Vendor COIs'!$D$4:$D$503,(_calc!$E$660-500)))&amp;". ")&amp;IF(LEN(IF(LEN(INDEX('Vendor COIs'!$F$4:$F$503,(_calc!$E$660-500)))=0,"",INDEX('Vendor COIs'!$F$4:$F$503,(_calc!$E$660-500))))=0,"","Meets minimum: "&amp;IF(LEN(INDEX('Vendor COIs'!$F$4:$F$503,(_calc!$E$660-500)))=0,"",INDEX('Vendor COIs'!$F$4:$F$503,(_calc!$E$660-500)))&amp;". ")&amp;IF(LEN(IF(LEN(INDEX('Vendor COIs'!$G$4:$G$503,(_calc!$E$660-500)))=0,"",INDEX('Vendor COIs'!$G$4:$G$503,(_calc!$E$660-500))))=0,"","Additional insured: "&amp;IF(LEN(INDEX('Vendor COIs'!$G$4:$G$503,(_calc!$E$660-500)))=0,"",INDEX('Vendor COIs'!$G$4:$G$503,(_calc!$E$660-500)))&amp;". ")&amp;IF(LEN(IF(LEN(INDEX('Vendor COIs'!$M$4:$M$503,(_calc!$E$660-500)))=0,"",INDEX('Vendor COIs'!$M$4:$M$503,(_calc!$E$660-500))))=0,"","Vendor contact: "&amp;IF(LEN(INDEX('Vendor COIs'!$M$4:$M$503,(_calc!$E$660-500)))=0,"",INDEX('Vendor COIs'!$M$4:$M$503,(_calc!$E$660-500)))&amp;". ")&amp;IF(LEN(IF(LEN(INDEX('Vendor COIs'!$P$4:$P$503,(_calc!$E$660-500)))=0,"",INDEX('Vendor COIs'!$P$4:$P$503,(_calc!$E$660-500))))=0,"",IF(LEN(INDEX('Vendor COIs'!$P$4:$P$503,(_calc!$E$660-500)))=0,"",INDEX('Vendor COIs'!$P$4:$P$503,(_calc!$E$660-500)))))))</f>
        <v/>
      </c>
      <c r="G658" s="46">
        <f>IF(_calc!$E$660="","",IF(_calc!$E$660&lt;=500,IF(LEN(INDEX('Our policies'!$R$4:$R$503,_calc!$E$660))=0,"",INDEX('Our policies'!$R$4:$R$503,_calc!$E$660)),IF(LEN(INDEX('Vendor COIs'!$O$4:$O$503,(_calc!$E$660-500)))=0,"",INDEX('Vendor COIs'!$O$4:$O$503,(_calc!$E$660-500)))))</f>
        <v/>
      </c>
      <c r="H658" s="46">
        <f>IF(_calc!$E$660="","",IF(_calc!$E$660&lt;=500,IF(LEN(INDEX('Our policies'!$G$4:$G$503,_calc!$E$660))=0,"",INDEX('Our policies'!$G$4:$G$503,_calc!$E$660)),""))</f>
        <v/>
      </c>
      <c r="I658" s="46">
        <f>IF(_calc!$E$660="","",IF(_calc!$E$660&lt;=500,IF(LEN(INDEX('Our policies'!$H$4:$H$503,_calc!$E$660))=0,"",INDEX('Our policies'!$H$4:$H$503,_calc!$E$660)),""))</f>
        <v/>
      </c>
      <c r="K658" s="46">
        <f>IF(_calc!$E$660="","",IF(_calc!$E$660&lt;=500,IF(LEN(INDEX('Our policies'!$P$4:$P$503,_calc!$E$660))=0,"",INDEX('Our policies'!$P$4:$P$503,_calc!$E$660)),IF(LEN(INDEX('Vendor COIs'!$N$4:$N$503,(_calc!$E$660-500)))=0,"",INDEX('Vendor COIs'!$N$4:$N$503,(_calc!$E$660-500)))))</f>
        <v/>
      </c>
    </row>
    <row r="659">
      <c r="A659" s="46">
        <f>IF(_calc!$E$661="","",IF(_calc!$E$661&lt;=500,IF(LEN(INDEX('Our policies'!$A$4:$A$503,_calc!$E$661))=0,"",INDEX('Our policies'!$A$4:$A$503,_calc!$E$661)),"COI – "&amp;IF(LEN(INDEX('Vendor COIs'!$A$4:$A$503,(_calc!$E$661-500)))=0,"",INDEX('Vendor COIs'!$A$4:$A$503,(_calc!$E$661-500)))&amp;" – "&amp;IF(LEN(INDEX('Vendor COIs'!$B$4:$B$503,(_calc!$E$661-500)))=0,"",INDEX('Vendor COIs'!$B$4:$B$503,(_calc!$E$661-500)))))</f>
        <v/>
      </c>
      <c r="B659" s="46">
        <f>IF(_calc!$E$661="","",IF(_calc!$E$661&lt;=500,IF(ISNUMBER(INDEX('Our policies'!$J$4:$J$503,_calc!$E$661)),TEXT(INDEX('Our policies'!$J$4:$J$503,_calc!$E$661),"yyyy-mm-dd"),""),IF(ISNUMBER(INDEX('Vendor COIs'!$H$4:$H$503,(_calc!$E$661-500))),TEXT(INDEX('Vendor COIs'!$H$4:$H$503,(_calc!$E$661-500)),"yyyy-mm-dd"),"")))</f>
        <v/>
      </c>
      <c r="C659" s="46">
        <f>IF(_calc!$E$661="","",IF(_calc!$E$661&lt;=500,"Insurance","Certificate of insurance"))</f>
        <v/>
      </c>
      <c r="D659" s="46">
        <f>IF(_calc!$E$661="","",IF(_calc!$E$661&lt;=500,IF(ISNUMBER(INDEX('Our policies'!$I$4:$I$503,_calc!$E$661)),TEXT(INDEX('Our policies'!$I$4:$I$503,_calc!$E$661),"yyyy-mm-dd"),""),""))</f>
        <v/>
      </c>
      <c r="E659" s="46">
        <f>IF(_calc!$E$661="","",IF(_calc!$E$661&lt;=500,IF(LEN(INDEX('Our policies'!$Q$4:$Q$503,_calc!$E$661))=0,"",INDEX('Our policies'!$Q$4:$Q$503,_calc!$E$661)),"Medium"))</f>
        <v/>
      </c>
      <c r="F659" s="46">
        <f>IF(_calc!$E$661="","",IF(_calc!$E$661&lt;=500,TRIM(IF(LEN(IF(LEN(INDEX('Our policies'!$B$4:$B$503,_calc!$E$661))=0,"",INDEX('Our policies'!$B$4:$B$503,_calc!$E$661)))=0,"","Cover: "&amp;IF(LEN(INDEX('Our policies'!$B$4:$B$503,_calc!$E$661))=0,"",INDEX('Our policies'!$B$4:$B$503,_calc!$E$661))&amp;". ")&amp;IF(LEN(IF(LEN(INDEX('Our policies'!$C$4:$C$503,_calc!$E$661))=0,"",INDEX('Our policies'!$C$4:$C$503,_calc!$E$661)))=0,"","Insurer: "&amp;IF(LEN(INDEX('Our policies'!$C$4:$C$503,_calc!$E$661))=0,"",INDEX('Our policies'!$C$4:$C$503,_calc!$E$661))&amp;". ")&amp;IF(LEN(IF(LEN(INDEX('Our policies'!$D$4:$D$503,_calc!$E$661))=0,"",INDEX('Our policies'!$D$4:$D$503,_calc!$E$661)))=0,"","Broker: "&amp;IF(LEN(INDEX('Our policies'!$D$4:$D$503,_calc!$E$661))=0,"",INDEX('Our policies'!$D$4:$D$503,_calc!$E$661))&amp;". ")&amp;IF(LEN(IF(LEN(INDEX('Our policies'!$E$4:$E$503,_calc!$E$661))=0,"",INDEX('Our policies'!$E$4:$E$503,_calc!$E$661)))=0,"","Policy no.: "&amp;IF(LEN(INDEX('Our policies'!$E$4:$E$503,_calc!$E$661))=0,"",INDEX('Our policies'!$E$4:$E$503,_calc!$E$661))&amp;". ")&amp;IF(LEN(IF(LEN(INDEX('Our policies'!$S$4:$S$503,_calc!$E$661))=0,"",INDEX('Our policies'!$S$4:$S$503,_calc!$E$661)))=0,"",IF(LEN(INDEX('Our policies'!$S$4:$S$503,_calc!$E$661))=0,"",INDEX('Our policies'!$S$4:$S$503,_calc!$E$661)))),TRIM(IF(LEN(IF(LEN(INDEX('Vendor COIs'!$C$4:$C$503,(_calc!$E$661-500)))=0,"",INDEX('Vendor COIs'!$C$4:$C$503,(_calc!$E$661-500))))=0,"","Insurer: "&amp;IF(LEN(INDEX('Vendor COIs'!$C$4:$C$503,(_calc!$E$661-500)))=0,"",INDEX('Vendor COIs'!$C$4:$C$503,(_calc!$E$661-500)))&amp;". ")&amp;IF(LEN(IF(LEN(INDEX('Vendor COIs'!$D$4:$D$503,(_calc!$E$661-500)))=0,"",INDEX('Vendor COIs'!$D$4:$D$503,(_calc!$E$661-500))))=0,"","Policy no.: "&amp;IF(LEN(INDEX('Vendor COIs'!$D$4:$D$503,(_calc!$E$661-500)))=0,"",INDEX('Vendor COIs'!$D$4:$D$503,(_calc!$E$661-500)))&amp;". ")&amp;IF(LEN(IF(LEN(INDEX('Vendor COIs'!$F$4:$F$503,(_calc!$E$661-500)))=0,"",INDEX('Vendor COIs'!$F$4:$F$503,(_calc!$E$661-500))))=0,"","Meets minimum: "&amp;IF(LEN(INDEX('Vendor COIs'!$F$4:$F$503,(_calc!$E$661-500)))=0,"",INDEX('Vendor COIs'!$F$4:$F$503,(_calc!$E$661-500)))&amp;". ")&amp;IF(LEN(IF(LEN(INDEX('Vendor COIs'!$G$4:$G$503,(_calc!$E$661-500)))=0,"",INDEX('Vendor COIs'!$G$4:$G$503,(_calc!$E$661-500))))=0,"","Additional insured: "&amp;IF(LEN(INDEX('Vendor COIs'!$G$4:$G$503,(_calc!$E$661-500)))=0,"",INDEX('Vendor COIs'!$G$4:$G$503,(_calc!$E$661-500)))&amp;". ")&amp;IF(LEN(IF(LEN(INDEX('Vendor COIs'!$M$4:$M$503,(_calc!$E$661-500)))=0,"",INDEX('Vendor COIs'!$M$4:$M$503,(_calc!$E$661-500))))=0,"","Vendor contact: "&amp;IF(LEN(INDEX('Vendor COIs'!$M$4:$M$503,(_calc!$E$661-500)))=0,"",INDEX('Vendor COIs'!$M$4:$M$503,(_calc!$E$661-500)))&amp;". ")&amp;IF(LEN(IF(LEN(INDEX('Vendor COIs'!$P$4:$P$503,(_calc!$E$661-500)))=0,"",INDEX('Vendor COIs'!$P$4:$P$503,(_calc!$E$661-500))))=0,"",IF(LEN(INDEX('Vendor COIs'!$P$4:$P$503,(_calc!$E$661-500)))=0,"",INDEX('Vendor COIs'!$P$4:$P$503,(_calc!$E$661-500)))))))</f>
        <v/>
      </c>
      <c r="G659" s="46">
        <f>IF(_calc!$E$661="","",IF(_calc!$E$661&lt;=500,IF(LEN(INDEX('Our policies'!$R$4:$R$503,_calc!$E$661))=0,"",INDEX('Our policies'!$R$4:$R$503,_calc!$E$661)),IF(LEN(INDEX('Vendor COIs'!$O$4:$O$503,(_calc!$E$661-500)))=0,"",INDEX('Vendor COIs'!$O$4:$O$503,(_calc!$E$661-500)))))</f>
        <v/>
      </c>
      <c r="H659" s="46">
        <f>IF(_calc!$E$661="","",IF(_calc!$E$661&lt;=500,IF(LEN(INDEX('Our policies'!$G$4:$G$503,_calc!$E$661))=0,"",INDEX('Our policies'!$G$4:$G$503,_calc!$E$661)),""))</f>
        <v/>
      </c>
      <c r="I659" s="46">
        <f>IF(_calc!$E$661="","",IF(_calc!$E$661&lt;=500,IF(LEN(INDEX('Our policies'!$H$4:$H$503,_calc!$E$661))=0,"",INDEX('Our policies'!$H$4:$H$503,_calc!$E$661)),""))</f>
        <v/>
      </c>
      <c r="K659" s="46">
        <f>IF(_calc!$E$661="","",IF(_calc!$E$661&lt;=500,IF(LEN(INDEX('Our policies'!$P$4:$P$503,_calc!$E$661))=0,"",INDEX('Our policies'!$P$4:$P$503,_calc!$E$661)),IF(LEN(INDEX('Vendor COIs'!$N$4:$N$503,(_calc!$E$661-500)))=0,"",INDEX('Vendor COIs'!$N$4:$N$503,(_calc!$E$661-500)))))</f>
        <v/>
      </c>
    </row>
    <row r="660">
      <c r="A660" s="46">
        <f>IF(_calc!$E$662="","",IF(_calc!$E$662&lt;=500,IF(LEN(INDEX('Our policies'!$A$4:$A$503,_calc!$E$662))=0,"",INDEX('Our policies'!$A$4:$A$503,_calc!$E$662)),"COI – "&amp;IF(LEN(INDEX('Vendor COIs'!$A$4:$A$503,(_calc!$E$662-500)))=0,"",INDEX('Vendor COIs'!$A$4:$A$503,(_calc!$E$662-500)))&amp;" – "&amp;IF(LEN(INDEX('Vendor COIs'!$B$4:$B$503,(_calc!$E$662-500)))=0,"",INDEX('Vendor COIs'!$B$4:$B$503,(_calc!$E$662-500)))))</f>
        <v/>
      </c>
      <c r="B660" s="46">
        <f>IF(_calc!$E$662="","",IF(_calc!$E$662&lt;=500,IF(ISNUMBER(INDEX('Our policies'!$J$4:$J$503,_calc!$E$662)),TEXT(INDEX('Our policies'!$J$4:$J$503,_calc!$E$662),"yyyy-mm-dd"),""),IF(ISNUMBER(INDEX('Vendor COIs'!$H$4:$H$503,(_calc!$E$662-500))),TEXT(INDEX('Vendor COIs'!$H$4:$H$503,(_calc!$E$662-500)),"yyyy-mm-dd"),"")))</f>
        <v/>
      </c>
      <c r="C660" s="46">
        <f>IF(_calc!$E$662="","",IF(_calc!$E$662&lt;=500,"Insurance","Certificate of insurance"))</f>
        <v/>
      </c>
      <c r="D660" s="46">
        <f>IF(_calc!$E$662="","",IF(_calc!$E$662&lt;=500,IF(ISNUMBER(INDEX('Our policies'!$I$4:$I$503,_calc!$E$662)),TEXT(INDEX('Our policies'!$I$4:$I$503,_calc!$E$662),"yyyy-mm-dd"),""),""))</f>
        <v/>
      </c>
      <c r="E660" s="46">
        <f>IF(_calc!$E$662="","",IF(_calc!$E$662&lt;=500,IF(LEN(INDEX('Our policies'!$Q$4:$Q$503,_calc!$E$662))=0,"",INDEX('Our policies'!$Q$4:$Q$503,_calc!$E$662)),"Medium"))</f>
        <v/>
      </c>
      <c r="F660" s="46">
        <f>IF(_calc!$E$662="","",IF(_calc!$E$662&lt;=500,TRIM(IF(LEN(IF(LEN(INDEX('Our policies'!$B$4:$B$503,_calc!$E$662))=0,"",INDEX('Our policies'!$B$4:$B$503,_calc!$E$662)))=0,"","Cover: "&amp;IF(LEN(INDEX('Our policies'!$B$4:$B$503,_calc!$E$662))=0,"",INDEX('Our policies'!$B$4:$B$503,_calc!$E$662))&amp;". ")&amp;IF(LEN(IF(LEN(INDEX('Our policies'!$C$4:$C$503,_calc!$E$662))=0,"",INDEX('Our policies'!$C$4:$C$503,_calc!$E$662)))=0,"","Insurer: "&amp;IF(LEN(INDEX('Our policies'!$C$4:$C$503,_calc!$E$662))=0,"",INDEX('Our policies'!$C$4:$C$503,_calc!$E$662))&amp;". ")&amp;IF(LEN(IF(LEN(INDEX('Our policies'!$D$4:$D$503,_calc!$E$662))=0,"",INDEX('Our policies'!$D$4:$D$503,_calc!$E$662)))=0,"","Broker: "&amp;IF(LEN(INDEX('Our policies'!$D$4:$D$503,_calc!$E$662))=0,"",INDEX('Our policies'!$D$4:$D$503,_calc!$E$662))&amp;". ")&amp;IF(LEN(IF(LEN(INDEX('Our policies'!$E$4:$E$503,_calc!$E$662))=0,"",INDEX('Our policies'!$E$4:$E$503,_calc!$E$662)))=0,"","Policy no.: "&amp;IF(LEN(INDEX('Our policies'!$E$4:$E$503,_calc!$E$662))=0,"",INDEX('Our policies'!$E$4:$E$503,_calc!$E$662))&amp;". ")&amp;IF(LEN(IF(LEN(INDEX('Our policies'!$S$4:$S$503,_calc!$E$662))=0,"",INDEX('Our policies'!$S$4:$S$503,_calc!$E$662)))=0,"",IF(LEN(INDEX('Our policies'!$S$4:$S$503,_calc!$E$662))=0,"",INDEX('Our policies'!$S$4:$S$503,_calc!$E$662)))),TRIM(IF(LEN(IF(LEN(INDEX('Vendor COIs'!$C$4:$C$503,(_calc!$E$662-500)))=0,"",INDEX('Vendor COIs'!$C$4:$C$503,(_calc!$E$662-500))))=0,"","Insurer: "&amp;IF(LEN(INDEX('Vendor COIs'!$C$4:$C$503,(_calc!$E$662-500)))=0,"",INDEX('Vendor COIs'!$C$4:$C$503,(_calc!$E$662-500)))&amp;". ")&amp;IF(LEN(IF(LEN(INDEX('Vendor COIs'!$D$4:$D$503,(_calc!$E$662-500)))=0,"",INDEX('Vendor COIs'!$D$4:$D$503,(_calc!$E$662-500))))=0,"","Policy no.: "&amp;IF(LEN(INDEX('Vendor COIs'!$D$4:$D$503,(_calc!$E$662-500)))=0,"",INDEX('Vendor COIs'!$D$4:$D$503,(_calc!$E$662-500)))&amp;". ")&amp;IF(LEN(IF(LEN(INDEX('Vendor COIs'!$F$4:$F$503,(_calc!$E$662-500)))=0,"",INDEX('Vendor COIs'!$F$4:$F$503,(_calc!$E$662-500))))=0,"","Meets minimum: "&amp;IF(LEN(INDEX('Vendor COIs'!$F$4:$F$503,(_calc!$E$662-500)))=0,"",INDEX('Vendor COIs'!$F$4:$F$503,(_calc!$E$662-500)))&amp;". ")&amp;IF(LEN(IF(LEN(INDEX('Vendor COIs'!$G$4:$G$503,(_calc!$E$662-500)))=0,"",INDEX('Vendor COIs'!$G$4:$G$503,(_calc!$E$662-500))))=0,"","Additional insured: "&amp;IF(LEN(INDEX('Vendor COIs'!$G$4:$G$503,(_calc!$E$662-500)))=0,"",INDEX('Vendor COIs'!$G$4:$G$503,(_calc!$E$662-500)))&amp;". ")&amp;IF(LEN(IF(LEN(INDEX('Vendor COIs'!$M$4:$M$503,(_calc!$E$662-500)))=0,"",INDEX('Vendor COIs'!$M$4:$M$503,(_calc!$E$662-500))))=0,"","Vendor contact: "&amp;IF(LEN(INDEX('Vendor COIs'!$M$4:$M$503,(_calc!$E$662-500)))=0,"",INDEX('Vendor COIs'!$M$4:$M$503,(_calc!$E$662-500)))&amp;". ")&amp;IF(LEN(IF(LEN(INDEX('Vendor COIs'!$P$4:$P$503,(_calc!$E$662-500)))=0,"",INDEX('Vendor COIs'!$P$4:$P$503,(_calc!$E$662-500))))=0,"",IF(LEN(INDEX('Vendor COIs'!$P$4:$P$503,(_calc!$E$662-500)))=0,"",INDEX('Vendor COIs'!$P$4:$P$503,(_calc!$E$662-500)))))))</f>
        <v/>
      </c>
      <c r="G660" s="46">
        <f>IF(_calc!$E$662="","",IF(_calc!$E$662&lt;=500,IF(LEN(INDEX('Our policies'!$R$4:$R$503,_calc!$E$662))=0,"",INDEX('Our policies'!$R$4:$R$503,_calc!$E$662)),IF(LEN(INDEX('Vendor COIs'!$O$4:$O$503,(_calc!$E$662-500)))=0,"",INDEX('Vendor COIs'!$O$4:$O$503,(_calc!$E$662-500)))))</f>
        <v/>
      </c>
      <c r="H660" s="46">
        <f>IF(_calc!$E$662="","",IF(_calc!$E$662&lt;=500,IF(LEN(INDEX('Our policies'!$G$4:$G$503,_calc!$E$662))=0,"",INDEX('Our policies'!$G$4:$G$503,_calc!$E$662)),""))</f>
        <v/>
      </c>
      <c r="I660" s="46">
        <f>IF(_calc!$E$662="","",IF(_calc!$E$662&lt;=500,IF(LEN(INDEX('Our policies'!$H$4:$H$503,_calc!$E$662))=0,"",INDEX('Our policies'!$H$4:$H$503,_calc!$E$662)),""))</f>
        <v/>
      </c>
      <c r="K660" s="46">
        <f>IF(_calc!$E$662="","",IF(_calc!$E$662&lt;=500,IF(LEN(INDEX('Our policies'!$P$4:$P$503,_calc!$E$662))=0,"",INDEX('Our policies'!$P$4:$P$503,_calc!$E$662)),IF(LEN(INDEX('Vendor COIs'!$N$4:$N$503,(_calc!$E$662-500)))=0,"",INDEX('Vendor COIs'!$N$4:$N$503,(_calc!$E$662-500)))))</f>
        <v/>
      </c>
    </row>
    <row r="661">
      <c r="A661" s="46">
        <f>IF(_calc!$E$663="","",IF(_calc!$E$663&lt;=500,IF(LEN(INDEX('Our policies'!$A$4:$A$503,_calc!$E$663))=0,"",INDEX('Our policies'!$A$4:$A$503,_calc!$E$663)),"COI – "&amp;IF(LEN(INDEX('Vendor COIs'!$A$4:$A$503,(_calc!$E$663-500)))=0,"",INDEX('Vendor COIs'!$A$4:$A$503,(_calc!$E$663-500)))&amp;" – "&amp;IF(LEN(INDEX('Vendor COIs'!$B$4:$B$503,(_calc!$E$663-500)))=0,"",INDEX('Vendor COIs'!$B$4:$B$503,(_calc!$E$663-500)))))</f>
        <v/>
      </c>
      <c r="B661" s="46">
        <f>IF(_calc!$E$663="","",IF(_calc!$E$663&lt;=500,IF(ISNUMBER(INDEX('Our policies'!$J$4:$J$503,_calc!$E$663)),TEXT(INDEX('Our policies'!$J$4:$J$503,_calc!$E$663),"yyyy-mm-dd"),""),IF(ISNUMBER(INDEX('Vendor COIs'!$H$4:$H$503,(_calc!$E$663-500))),TEXT(INDEX('Vendor COIs'!$H$4:$H$503,(_calc!$E$663-500)),"yyyy-mm-dd"),"")))</f>
        <v/>
      </c>
      <c r="C661" s="46">
        <f>IF(_calc!$E$663="","",IF(_calc!$E$663&lt;=500,"Insurance","Certificate of insurance"))</f>
        <v/>
      </c>
      <c r="D661" s="46">
        <f>IF(_calc!$E$663="","",IF(_calc!$E$663&lt;=500,IF(ISNUMBER(INDEX('Our policies'!$I$4:$I$503,_calc!$E$663)),TEXT(INDEX('Our policies'!$I$4:$I$503,_calc!$E$663),"yyyy-mm-dd"),""),""))</f>
        <v/>
      </c>
      <c r="E661" s="46">
        <f>IF(_calc!$E$663="","",IF(_calc!$E$663&lt;=500,IF(LEN(INDEX('Our policies'!$Q$4:$Q$503,_calc!$E$663))=0,"",INDEX('Our policies'!$Q$4:$Q$503,_calc!$E$663)),"Medium"))</f>
        <v/>
      </c>
      <c r="F661" s="46">
        <f>IF(_calc!$E$663="","",IF(_calc!$E$663&lt;=500,TRIM(IF(LEN(IF(LEN(INDEX('Our policies'!$B$4:$B$503,_calc!$E$663))=0,"",INDEX('Our policies'!$B$4:$B$503,_calc!$E$663)))=0,"","Cover: "&amp;IF(LEN(INDEX('Our policies'!$B$4:$B$503,_calc!$E$663))=0,"",INDEX('Our policies'!$B$4:$B$503,_calc!$E$663))&amp;". ")&amp;IF(LEN(IF(LEN(INDEX('Our policies'!$C$4:$C$503,_calc!$E$663))=0,"",INDEX('Our policies'!$C$4:$C$503,_calc!$E$663)))=0,"","Insurer: "&amp;IF(LEN(INDEX('Our policies'!$C$4:$C$503,_calc!$E$663))=0,"",INDEX('Our policies'!$C$4:$C$503,_calc!$E$663))&amp;". ")&amp;IF(LEN(IF(LEN(INDEX('Our policies'!$D$4:$D$503,_calc!$E$663))=0,"",INDEX('Our policies'!$D$4:$D$503,_calc!$E$663)))=0,"","Broker: "&amp;IF(LEN(INDEX('Our policies'!$D$4:$D$503,_calc!$E$663))=0,"",INDEX('Our policies'!$D$4:$D$503,_calc!$E$663))&amp;". ")&amp;IF(LEN(IF(LEN(INDEX('Our policies'!$E$4:$E$503,_calc!$E$663))=0,"",INDEX('Our policies'!$E$4:$E$503,_calc!$E$663)))=0,"","Policy no.: "&amp;IF(LEN(INDEX('Our policies'!$E$4:$E$503,_calc!$E$663))=0,"",INDEX('Our policies'!$E$4:$E$503,_calc!$E$663))&amp;". ")&amp;IF(LEN(IF(LEN(INDEX('Our policies'!$S$4:$S$503,_calc!$E$663))=0,"",INDEX('Our policies'!$S$4:$S$503,_calc!$E$663)))=0,"",IF(LEN(INDEX('Our policies'!$S$4:$S$503,_calc!$E$663))=0,"",INDEX('Our policies'!$S$4:$S$503,_calc!$E$663)))),TRIM(IF(LEN(IF(LEN(INDEX('Vendor COIs'!$C$4:$C$503,(_calc!$E$663-500)))=0,"",INDEX('Vendor COIs'!$C$4:$C$503,(_calc!$E$663-500))))=0,"","Insurer: "&amp;IF(LEN(INDEX('Vendor COIs'!$C$4:$C$503,(_calc!$E$663-500)))=0,"",INDEX('Vendor COIs'!$C$4:$C$503,(_calc!$E$663-500)))&amp;". ")&amp;IF(LEN(IF(LEN(INDEX('Vendor COIs'!$D$4:$D$503,(_calc!$E$663-500)))=0,"",INDEX('Vendor COIs'!$D$4:$D$503,(_calc!$E$663-500))))=0,"","Policy no.: "&amp;IF(LEN(INDEX('Vendor COIs'!$D$4:$D$503,(_calc!$E$663-500)))=0,"",INDEX('Vendor COIs'!$D$4:$D$503,(_calc!$E$663-500)))&amp;". ")&amp;IF(LEN(IF(LEN(INDEX('Vendor COIs'!$F$4:$F$503,(_calc!$E$663-500)))=0,"",INDEX('Vendor COIs'!$F$4:$F$503,(_calc!$E$663-500))))=0,"","Meets minimum: "&amp;IF(LEN(INDEX('Vendor COIs'!$F$4:$F$503,(_calc!$E$663-500)))=0,"",INDEX('Vendor COIs'!$F$4:$F$503,(_calc!$E$663-500)))&amp;". ")&amp;IF(LEN(IF(LEN(INDEX('Vendor COIs'!$G$4:$G$503,(_calc!$E$663-500)))=0,"",INDEX('Vendor COIs'!$G$4:$G$503,(_calc!$E$663-500))))=0,"","Additional insured: "&amp;IF(LEN(INDEX('Vendor COIs'!$G$4:$G$503,(_calc!$E$663-500)))=0,"",INDEX('Vendor COIs'!$G$4:$G$503,(_calc!$E$663-500)))&amp;". ")&amp;IF(LEN(IF(LEN(INDEX('Vendor COIs'!$M$4:$M$503,(_calc!$E$663-500)))=0,"",INDEX('Vendor COIs'!$M$4:$M$503,(_calc!$E$663-500))))=0,"","Vendor contact: "&amp;IF(LEN(INDEX('Vendor COIs'!$M$4:$M$503,(_calc!$E$663-500)))=0,"",INDEX('Vendor COIs'!$M$4:$M$503,(_calc!$E$663-500)))&amp;". ")&amp;IF(LEN(IF(LEN(INDEX('Vendor COIs'!$P$4:$P$503,(_calc!$E$663-500)))=0,"",INDEX('Vendor COIs'!$P$4:$P$503,(_calc!$E$663-500))))=0,"",IF(LEN(INDEX('Vendor COIs'!$P$4:$P$503,(_calc!$E$663-500)))=0,"",INDEX('Vendor COIs'!$P$4:$P$503,(_calc!$E$663-500)))))))</f>
        <v/>
      </c>
      <c r="G661" s="46">
        <f>IF(_calc!$E$663="","",IF(_calc!$E$663&lt;=500,IF(LEN(INDEX('Our policies'!$R$4:$R$503,_calc!$E$663))=0,"",INDEX('Our policies'!$R$4:$R$503,_calc!$E$663)),IF(LEN(INDEX('Vendor COIs'!$O$4:$O$503,(_calc!$E$663-500)))=0,"",INDEX('Vendor COIs'!$O$4:$O$503,(_calc!$E$663-500)))))</f>
        <v/>
      </c>
      <c r="H661" s="46">
        <f>IF(_calc!$E$663="","",IF(_calc!$E$663&lt;=500,IF(LEN(INDEX('Our policies'!$G$4:$G$503,_calc!$E$663))=0,"",INDEX('Our policies'!$G$4:$G$503,_calc!$E$663)),""))</f>
        <v/>
      </c>
      <c r="I661" s="46">
        <f>IF(_calc!$E$663="","",IF(_calc!$E$663&lt;=500,IF(LEN(INDEX('Our policies'!$H$4:$H$503,_calc!$E$663))=0,"",INDEX('Our policies'!$H$4:$H$503,_calc!$E$663)),""))</f>
        <v/>
      </c>
      <c r="K661" s="46">
        <f>IF(_calc!$E$663="","",IF(_calc!$E$663&lt;=500,IF(LEN(INDEX('Our policies'!$P$4:$P$503,_calc!$E$663))=0,"",INDEX('Our policies'!$P$4:$P$503,_calc!$E$663)),IF(LEN(INDEX('Vendor COIs'!$N$4:$N$503,(_calc!$E$663-500)))=0,"",INDEX('Vendor COIs'!$N$4:$N$503,(_calc!$E$663-500)))))</f>
        <v/>
      </c>
    </row>
    <row r="662">
      <c r="A662" s="46">
        <f>IF(_calc!$E$664="","",IF(_calc!$E$664&lt;=500,IF(LEN(INDEX('Our policies'!$A$4:$A$503,_calc!$E$664))=0,"",INDEX('Our policies'!$A$4:$A$503,_calc!$E$664)),"COI – "&amp;IF(LEN(INDEX('Vendor COIs'!$A$4:$A$503,(_calc!$E$664-500)))=0,"",INDEX('Vendor COIs'!$A$4:$A$503,(_calc!$E$664-500)))&amp;" – "&amp;IF(LEN(INDEX('Vendor COIs'!$B$4:$B$503,(_calc!$E$664-500)))=0,"",INDEX('Vendor COIs'!$B$4:$B$503,(_calc!$E$664-500)))))</f>
        <v/>
      </c>
      <c r="B662" s="46">
        <f>IF(_calc!$E$664="","",IF(_calc!$E$664&lt;=500,IF(ISNUMBER(INDEX('Our policies'!$J$4:$J$503,_calc!$E$664)),TEXT(INDEX('Our policies'!$J$4:$J$503,_calc!$E$664),"yyyy-mm-dd"),""),IF(ISNUMBER(INDEX('Vendor COIs'!$H$4:$H$503,(_calc!$E$664-500))),TEXT(INDEX('Vendor COIs'!$H$4:$H$503,(_calc!$E$664-500)),"yyyy-mm-dd"),"")))</f>
        <v/>
      </c>
      <c r="C662" s="46">
        <f>IF(_calc!$E$664="","",IF(_calc!$E$664&lt;=500,"Insurance","Certificate of insurance"))</f>
        <v/>
      </c>
      <c r="D662" s="46">
        <f>IF(_calc!$E$664="","",IF(_calc!$E$664&lt;=500,IF(ISNUMBER(INDEX('Our policies'!$I$4:$I$503,_calc!$E$664)),TEXT(INDEX('Our policies'!$I$4:$I$503,_calc!$E$664),"yyyy-mm-dd"),""),""))</f>
        <v/>
      </c>
      <c r="E662" s="46">
        <f>IF(_calc!$E$664="","",IF(_calc!$E$664&lt;=500,IF(LEN(INDEX('Our policies'!$Q$4:$Q$503,_calc!$E$664))=0,"",INDEX('Our policies'!$Q$4:$Q$503,_calc!$E$664)),"Medium"))</f>
        <v/>
      </c>
      <c r="F662" s="46">
        <f>IF(_calc!$E$664="","",IF(_calc!$E$664&lt;=500,TRIM(IF(LEN(IF(LEN(INDEX('Our policies'!$B$4:$B$503,_calc!$E$664))=0,"",INDEX('Our policies'!$B$4:$B$503,_calc!$E$664)))=0,"","Cover: "&amp;IF(LEN(INDEX('Our policies'!$B$4:$B$503,_calc!$E$664))=0,"",INDEX('Our policies'!$B$4:$B$503,_calc!$E$664))&amp;". ")&amp;IF(LEN(IF(LEN(INDEX('Our policies'!$C$4:$C$503,_calc!$E$664))=0,"",INDEX('Our policies'!$C$4:$C$503,_calc!$E$664)))=0,"","Insurer: "&amp;IF(LEN(INDEX('Our policies'!$C$4:$C$503,_calc!$E$664))=0,"",INDEX('Our policies'!$C$4:$C$503,_calc!$E$664))&amp;". ")&amp;IF(LEN(IF(LEN(INDEX('Our policies'!$D$4:$D$503,_calc!$E$664))=0,"",INDEX('Our policies'!$D$4:$D$503,_calc!$E$664)))=0,"","Broker: "&amp;IF(LEN(INDEX('Our policies'!$D$4:$D$503,_calc!$E$664))=0,"",INDEX('Our policies'!$D$4:$D$503,_calc!$E$664))&amp;". ")&amp;IF(LEN(IF(LEN(INDEX('Our policies'!$E$4:$E$503,_calc!$E$664))=0,"",INDEX('Our policies'!$E$4:$E$503,_calc!$E$664)))=0,"","Policy no.: "&amp;IF(LEN(INDEX('Our policies'!$E$4:$E$503,_calc!$E$664))=0,"",INDEX('Our policies'!$E$4:$E$503,_calc!$E$664))&amp;". ")&amp;IF(LEN(IF(LEN(INDEX('Our policies'!$S$4:$S$503,_calc!$E$664))=0,"",INDEX('Our policies'!$S$4:$S$503,_calc!$E$664)))=0,"",IF(LEN(INDEX('Our policies'!$S$4:$S$503,_calc!$E$664))=0,"",INDEX('Our policies'!$S$4:$S$503,_calc!$E$664)))),TRIM(IF(LEN(IF(LEN(INDEX('Vendor COIs'!$C$4:$C$503,(_calc!$E$664-500)))=0,"",INDEX('Vendor COIs'!$C$4:$C$503,(_calc!$E$664-500))))=0,"","Insurer: "&amp;IF(LEN(INDEX('Vendor COIs'!$C$4:$C$503,(_calc!$E$664-500)))=0,"",INDEX('Vendor COIs'!$C$4:$C$503,(_calc!$E$664-500)))&amp;". ")&amp;IF(LEN(IF(LEN(INDEX('Vendor COIs'!$D$4:$D$503,(_calc!$E$664-500)))=0,"",INDEX('Vendor COIs'!$D$4:$D$503,(_calc!$E$664-500))))=0,"","Policy no.: "&amp;IF(LEN(INDEX('Vendor COIs'!$D$4:$D$503,(_calc!$E$664-500)))=0,"",INDEX('Vendor COIs'!$D$4:$D$503,(_calc!$E$664-500)))&amp;". ")&amp;IF(LEN(IF(LEN(INDEX('Vendor COIs'!$F$4:$F$503,(_calc!$E$664-500)))=0,"",INDEX('Vendor COIs'!$F$4:$F$503,(_calc!$E$664-500))))=0,"","Meets minimum: "&amp;IF(LEN(INDEX('Vendor COIs'!$F$4:$F$503,(_calc!$E$664-500)))=0,"",INDEX('Vendor COIs'!$F$4:$F$503,(_calc!$E$664-500)))&amp;". ")&amp;IF(LEN(IF(LEN(INDEX('Vendor COIs'!$G$4:$G$503,(_calc!$E$664-500)))=0,"",INDEX('Vendor COIs'!$G$4:$G$503,(_calc!$E$664-500))))=0,"","Additional insured: "&amp;IF(LEN(INDEX('Vendor COIs'!$G$4:$G$503,(_calc!$E$664-500)))=0,"",INDEX('Vendor COIs'!$G$4:$G$503,(_calc!$E$664-500)))&amp;". ")&amp;IF(LEN(IF(LEN(INDEX('Vendor COIs'!$M$4:$M$503,(_calc!$E$664-500)))=0,"",INDEX('Vendor COIs'!$M$4:$M$503,(_calc!$E$664-500))))=0,"","Vendor contact: "&amp;IF(LEN(INDEX('Vendor COIs'!$M$4:$M$503,(_calc!$E$664-500)))=0,"",INDEX('Vendor COIs'!$M$4:$M$503,(_calc!$E$664-500)))&amp;". ")&amp;IF(LEN(IF(LEN(INDEX('Vendor COIs'!$P$4:$P$503,(_calc!$E$664-500)))=0,"",INDEX('Vendor COIs'!$P$4:$P$503,(_calc!$E$664-500))))=0,"",IF(LEN(INDEX('Vendor COIs'!$P$4:$P$503,(_calc!$E$664-500)))=0,"",INDEX('Vendor COIs'!$P$4:$P$503,(_calc!$E$664-500)))))))</f>
        <v/>
      </c>
      <c r="G662" s="46">
        <f>IF(_calc!$E$664="","",IF(_calc!$E$664&lt;=500,IF(LEN(INDEX('Our policies'!$R$4:$R$503,_calc!$E$664))=0,"",INDEX('Our policies'!$R$4:$R$503,_calc!$E$664)),IF(LEN(INDEX('Vendor COIs'!$O$4:$O$503,(_calc!$E$664-500)))=0,"",INDEX('Vendor COIs'!$O$4:$O$503,(_calc!$E$664-500)))))</f>
        <v/>
      </c>
      <c r="H662" s="46">
        <f>IF(_calc!$E$664="","",IF(_calc!$E$664&lt;=500,IF(LEN(INDEX('Our policies'!$G$4:$G$503,_calc!$E$664))=0,"",INDEX('Our policies'!$G$4:$G$503,_calc!$E$664)),""))</f>
        <v/>
      </c>
      <c r="I662" s="46">
        <f>IF(_calc!$E$664="","",IF(_calc!$E$664&lt;=500,IF(LEN(INDEX('Our policies'!$H$4:$H$503,_calc!$E$664))=0,"",INDEX('Our policies'!$H$4:$H$503,_calc!$E$664)),""))</f>
        <v/>
      </c>
      <c r="K662" s="46">
        <f>IF(_calc!$E$664="","",IF(_calc!$E$664&lt;=500,IF(LEN(INDEX('Our policies'!$P$4:$P$503,_calc!$E$664))=0,"",INDEX('Our policies'!$P$4:$P$503,_calc!$E$664)),IF(LEN(INDEX('Vendor COIs'!$N$4:$N$503,(_calc!$E$664-500)))=0,"",INDEX('Vendor COIs'!$N$4:$N$503,(_calc!$E$664-500)))))</f>
        <v/>
      </c>
    </row>
    <row r="663">
      <c r="A663" s="46">
        <f>IF(_calc!$E$665="","",IF(_calc!$E$665&lt;=500,IF(LEN(INDEX('Our policies'!$A$4:$A$503,_calc!$E$665))=0,"",INDEX('Our policies'!$A$4:$A$503,_calc!$E$665)),"COI – "&amp;IF(LEN(INDEX('Vendor COIs'!$A$4:$A$503,(_calc!$E$665-500)))=0,"",INDEX('Vendor COIs'!$A$4:$A$503,(_calc!$E$665-500)))&amp;" – "&amp;IF(LEN(INDEX('Vendor COIs'!$B$4:$B$503,(_calc!$E$665-500)))=0,"",INDEX('Vendor COIs'!$B$4:$B$503,(_calc!$E$665-500)))))</f>
        <v/>
      </c>
      <c r="B663" s="46">
        <f>IF(_calc!$E$665="","",IF(_calc!$E$665&lt;=500,IF(ISNUMBER(INDEX('Our policies'!$J$4:$J$503,_calc!$E$665)),TEXT(INDEX('Our policies'!$J$4:$J$503,_calc!$E$665),"yyyy-mm-dd"),""),IF(ISNUMBER(INDEX('Vendor COIs'!$H$4:$H$503,(_calc!$E$665-500))),TEXT(INDEX('Vendor COIs'!$H$4:$H$503,(_calc!$E$665-500)),"yyyy-mm-dd"),"")))</f>
        <v/>
      </c>
      <c r="C663" s="46">
        <f>IF(_calc!$E$665="","",IF(_calc!$E$665&lt;=500,"Insurance","Certificate of insurance"))</f>
        <v/>
      </c>
      <c r="D663" s="46">
        <f>IF(_calc!$E$665="","",IF(_calc!$E$665&lt;=500,IF(ISNUMBER(INDEX('Our policies'!$I$4:$I$503,_calc!$E$665)),TEXT(INDEX('Our policies'!$I$4:$I$503,_calc!$E$665),"yyyy-mm-dd"),""),""))</f>
        <v/>
      </c>
      <c r="E663" s="46">
        <f>IF(_calc!$E$665="","",IF(_calc!$E$665&lt;=500,IF(LEN(INDEX('Our policies'!$Q$4:$Q$503,_calc!$E$665))=0,"",INDEX('Our policies'!$Q$4:$Q$503,_calc!$E$665)),"Medium"))</f>
        <v/>
      </c>
      <c r="F663" s="46">
        <f>IF(_calc!$E$665="","",IF(_calc!$E$665&lt;=500,TRIM(IF(LEN(IF(LEN(INDEX('Our policies'!$B$4:$B$503,_calc!$E$665))=0,"",INDEX('Our policies'!$B$4:$B$503,_calc!$E$665)))=0,"","Cover: "&amp;IF(LEN(INDEX('Our policies'!$B$4:$B$503,_calc!$E$665))=0,"",INDEX('Our policies'!$B$4:$B$503,_calc!$E$665))&amp;". ")&amp;IF(LEN(IF(LEN(INDEX('Our policies'!$C$4:$C$503,_calc!$E$665))=0,"",INDEX('Our policies'!$C$4:$C$503,_calc!$E$665)))=0,"","Insurer: "&amp;IF(LEN(INDEX('Our policies'!$C$4:$C$503,_calc!$E$665))=0,"",INDEX('Our policies'!$C$4:$C$503,_calc!$E$665))&amp;". ")&amp;IF(LEN(IF(LEN(INDEX('Our policies'!$D$4:$D$503,_calc!$E$665))=0,"",INDEX('Our policies'!$D$4:$D$503,_calc!$E$665)))=0,"","Broker: "&amp;IF(LEN(INDEX('Our policies'!$D$4:$D$503,_calc!$E$665))=0,"",INDEX('Our policies'!$D$4:$D$503,_calc!$E$665))&amp;". ")&amp;IF(LEN(IF(LEN(INDEX('Our policies'!$E$4:$E$503,_calc!$E$665))=0,"",INDEX('Our policies'!$E$4:$E$503,_calc!$E$665)))=0,"","Policy no.: "&amp;IF(LEN(INDEX('Our policies'!$E$4:$E$503,_calc!$E$665))=0,"",INDEX('Our policies'!$E$4:$E$503,_calc!$E$665))&amp;". ")&amp;IF(LEN(IF(LEN(INDEX('Our policies'!$S$4:$S$503,_calc!$E$665))=0,"",INDEX('Our policies'!$S$4:$S$503,_calc!$E$665)))=0,"",IF(LEN(INDEX('Our policies'!$S$4:$S$503,_calc!$E$665))=0,"",INDEX('Our policies'!$S$4:$S$503,_calc!$E$665)))),TRIM(IF(LEN(IF(LEN(INDEX('Vendor COIs'!$C$4:$C$503,(_calc!$E$665-500)))=0,"",INDEX('Vendor COIs'!$C$4:$C$503,(_calc!$E$665-500))))=0,"","Insurer: "&amp;IF(LEN(INDEX('Vendor COIs'!$C$4:$C$503,(_calc!$E$665-500)))=0,"",INDEX('Vendor COIs'!$C$4:$C$503,(_calc!$E$665-500)))&amp;". ")&amp;IF(LEN(IF(LEN(INDEX('Vendor COIs'!$D$4:$D$503,(_calc!$E$665-500)))=0,"",INDEX('Vendor COIs'!$D$4:$D$503,(_calc!$E$665-500))))=0,"","Policy no.: "&amp;IF(LEN(INDEX('Vendor COIs'!$D$4:$D$503,(_calc!$E$665-500)))=0,"",INDEX('Vendor COIs'!$D$4:$D$503,(_calc!$E$665-500)))&amp;". ")&amp;IF(LEN(IF(LEN(INDEX('Vendor COIs'!$F$4:$F$503,(_calc!$E$665-500)))=0,"",INDEX('Vendor COIs'!$F$4:$F$503,(_calc!$E$665-500))))=0,"","Meets minimum: "&amp;IF(LEN(INDEX('Vendor COIs'!$F$4:$F$503,(_calc!$E$665-500)))=0,"",INDEX('Vendor COIs'!$F$4:$F$503,(_calc!$E$665-500)))&amp;". ")&amp;IF(LEN(IF(LEN(INDEX('Vendor COIs'!$G$4:$G$503,(_calc!$E$665-500)))=0,"",INDEX('Vendor COIs'!$G$4:$G$503,(_calc!$E$665-500))))=0,"","Additional insured: "&amp;IF(LEN(INDEX('Vendor COIs'!$G$4:$G$503,(_calc!$E$665-500)))=0,"",INDEX('Vendor COIs'!$G$4:$G$503,(_calc!$E$665-500)))&amp;". ")&amp;IF(LEN(IF(LEN(INDEX('Vendor COIs'!$M$4:$M$503,(_calc!$E$665-500)))=0,"",INDEX('Vendor COIs'!$M$4:$M$503,(_calc!$E$665-500))))=0,"","Vendor contact: "&amp;IF(LEN(INDEX('Vendor COIs'!$M$4:$M$503,(_calc!$E$665-500)))=0,"",INDEX('Vendor COIs'!$M$4:$M$503,(_calc!$E$665-500)))&amp;". ")&amp;IF(LEN(IF(LEN(INDEX('Vendor COIs'!$P$4:$P$503,(_calc!$E$665-500)))=0,"",INDEX('Vendor COIs'!$P$4:$P$503,(_calc!$E$665-500))))=0,"",IF(LEN(INDEX('Vendor COIs'!$P$4:$P$503,(_calc!$E$665-500)))=0,"",INDEX('Vendor COIs'!$P$4:$P$503,(_calc!$E$665-500)))))))</f>
        <v/>
      </c>
      <c r="G663" s="46">
        <f>IF(_calc!$E$665="","",IF(_calc!$E$665&lt;=500,IF(LEN(INDEX('Our policies'!$R$4:$R$503,_calc!$E$665))=0,"",INDEX('Our policies'!$R$4:$R$503,_calc!$E$665)),IF(LEN(INDEX('Vendor COIs'!$O$4:$O$503,(_calc!$E$665-500)))=0,"",INDEX('Vendor COIs'!$O$4:$O$503,(_calc!$E$665-500)))))</f>
        <v/>
      </c>
      <c r="H663" s="46">
        <f>IF(_calc!$E$665="","",IF(_calc!$E$665&lt;=500,IF(LEN(INDEX('Our policies'!$G$4:$G$503,_calc!$E$665))=0,"",INDEX('Our policies'!$G$4:$G$503,_calc!$E$665)),""))</f>
        <v/>
      </c>
      <c r="I663" s="46">
        <f>IF(_calc!$E$665="","",IF(_calc!$E$665&lt;=500,IF(LEN(INDEX('Our policies'!$H$4:$H$503,_calc!$E$665))=0,"",INDEX('Our policies'!$H$4:$H$503,_calc!$E$665)),""))</f>
        <v/>
      </c>
      <c r="K663" s="46">
        <f>IF(_calc!$E$665="","",IF(_calc!$E$665&lt;=500,IF(LEN(INDEX('Our policies'!$P$4:$P$503,_calc!$E$665))=0,"",INDEX('Our policies'!$P$4:$P$503,_calc!$E$665)),IF(LEN(INDEX('Vendor COIs'!$N$4:$N$503,(_calc!$E$665-500)))=0,"",INDEX('Vendor COIs'!$N$4:$N$503,(_calc!$E$665-500)))))</f>
        <v/>
      </c>
    </row>
    <row r="664">
      <c r="A664" s="46">
        <f>IF(_calc!$E$666="","",IF(_calc!$E$666&lt;=500,IF(LEN(INDEX('Our policies'!$A$4:$A$503,_calc!$E$666))=0,"",INDEX('Our policies'!$A$4:$A$503,_calc!$E$666)),"COI – "&amp;IF(LEN(INDEX('Vendor COIs'!$A$4:$A$503,(_calc!$E$666-500)))=0,"",INDEX('Vendor COIs'!$A$4:$A$503,(_calc!$E$666-500)))&amp;" – "&amp;IF(LEN(INDEX('Vendor COIs'!$B$4:$B$503,(_calc!$E$666-500)))=0,"",INDEX('Vendor COIs'!$B$4:$B$503,(_calc!$E$666-500)))))</f>
        <v/>
      </c>
      <c r="B664" s="46">
        <f>IF(_calc!$E$666="","",IF(_calc!$E$666&lt;=500,IF(ISNUMBER(INDEX('Our policies'!$J$4:$J$503,_calc!$E$666)),TEXT(INDEX('Our policies'!$J$4:$J$503,_calc!$E$666),"yyyy-mm-dd"),""),IF(ISNUMBER(INDEX('Vendor COIs'!$H$4:$H$503,(_calc!$E$666-500))),TEXT(INDEX('Vendor COIs'!$H$4:$H$503,(_calc!$E$666-500)),"yyyy-mm-dd"),"")))</f>
        <v/>
      </c>
      <c r="C664" s="46">
        <f>IF(_calc!$E$666="","",IF(_calc!$E$666&lt;=500,"Insurance","Certificate of insurance"))</f>
        <v/>
      </c>
      <c r="D664" s="46">
        <f>IF(_calc!$E$666="","",IF(_calc!$E$666&lt;=500,IF(ISNUMBER(INDEX('Our policies'!$I$4:$I$503,_calc!$E$666)),TEXT(INDEX('Our policies'!$I$4:$I$503,_calc!$E$666),"yyyy-mm-dd"),""),""))</f>
        <v/>
      </c>
      <c r="E664" s="46">
        <f>IF(_calc!$E$666="","",IF(_calc!$E$666&lt;=500,IF(LEN(INDEX('Our policies'!$Q$4:$Q$503,_calc!$E$666))=0,"",INDEX('Our policies'!$Q$4:$Q$503,_calc!$E$666)),"Medium"))</f>
        <v/>
      </c>
      <c r="F664" s="46">
        <f>IF(_calc!$E$666="","",IF(_calc!$E$666&lt;=500,TRIM(IF(LEN(IF(LEN(INDEX('Our policies'!$B$4:$B$503,_calc!$E$666))=0,"",INDEX('Our policies'!$B$4:$B$503,_calc!$E$666)))=0,"","Cover: "&amp;IF(LEN(INDEX('Our policies'!$B$4:$B$503,_calc!$E$666))=0,"",INDEX('Our policies'!$B$4:$B$503,_calc!$E$666))&amp;". ")&amp;IF(LEN(IF(LEN(INDEX('Our policies'!$C$4:$C$503,_calc!$E$666))=0,"",INDEX('Our policies'!$C$4:$C$503,_calc!$E$666)))=0,"","Insurer: "&amp;IF(LEN(INDEX('Our policies'!$C$4:$C$503,_calc!$E$666))=0,"",INDEX('Our policies'!$C$4:$C$503,_calc!$E$666))&amp;". ")&amp;IF(LEN(IF(LEN(INDEX('Our policies'!$D$4:$D$503,_calc!$E$666))=0,"",INDEX('Our policies'!$D$4:$D$503,_calc!$E$666)))=0,"","Broker: "&amp;IF(LEN(INDEX('Our policies'!$D$4:$D$503,_calc!$E$666))=0,"",INDEX('Our policies'!$D$4:$D$503,_calc!$E$666))&amp;". ")&amp;IF(LEN(IF(LEN(INDEX('Our policies'!$E$4:$E$503,_calc!$E$666))=0,"",INDEX('Our policies'!$E$4:$E$503,_calc!$E$666)))=0,"","Policy no.: "&amp;IF(LEN(INDEX('Our policies'!$E$4:$E$503,_calc!$E$666))=0,"",INDEX('Our policies'!$E$4:$E$503,_calc!$E$666))&amp;". ")&amp;IF(LEN(IF(LEN(INDEX('Our policies'!$S$4:$S$503,_calc!$E$666))=0,"",INDEX('Our policies'!$S$4:$S$503,_calc!$E$666)))=0,"",IF(LEN(INDEX('Our policies'!$S$4:$S$503,_calc!$E$666))=0,"",INDEX('Our policies'!$S$4:$S$503,_calc!$E$666)))),TRIM(IF(LEN(IF(LEN(INDEX('Vendor COIs'!$C$4:$C$503,(_calc!$E$666-500)))=0,"",INDEX('Vendor COIs'!$C$4:$C$503,(_calc!$E$666-500))))=0,"","Insurer: "&amp;IF(LEN(INDEX('Vendor COIs'!$C$4:$C$503,(_calc!$E$666-500)))=0,"",INDEX('Vendor COIs'!$C$4:$C$503,(_calc!$E$666-500)))&amp;". ")&amp;IF(LEN(IF(LEN(INDEX('Vendor COIs'!$D$4:$D$503,(_calc!$E$666-500)))=0,"",INDEX('Vendor COIs'!$D$4:$D$503,(_calc!$E$666-500))))=0,"","Policy no.: "&amp;IF(LEN(INDEX('Vendor COIs'!$D$4:$D$503,(_calc!$E$666-500)))=0,"",INDEX('Vendor COIs'!$D$4:$D$503,(_calc!$E$666-500)))&amp;". ")&amp;IF(LEN(IF(LEN(INDEX('Vendor COIs'!$F$4:$F$503,(_calc!$E$666-500)))=0,"",INDEX('Vendor COIs'!$F$4:$F$503,(_calc!$E$666-500))))=0,"","Meets minimum: "&amp;IF(LEN(INDEX('Vendor COIs'!$F$4:$F$503,(_calc!$E$666-500)))=0,"",INDEX('Vendor COIs'!$F$4:$F$503,(_calc!$E$666-500)))&amp;". ")&amp;IF(LEN(IF(LEN(INDEX('Vendor COIs'!$G$4:$G$503,(_calc!$E$666-500)))=0,"",INDEX('Vendor COIs'!$G$4:$G$503,(_calc!$E$666-500))))=0,"","Additional insured: "&amp;IF(LEN(INDEX('Vendor COIs'!$G$4:$G$503,(_calc!$E$666-500)))=0,"",INDEX('Vendor COIs'!$G$4:$G$503,(_calc!$E$666-500)))&amp;". ")&amp;IF(LEN(IF(LEN(INDEX('Vendor COIs'!$M$4:$M$503,(_calc!$E$666-500)))=0,"",INDEX('Vendor COIs'!$M$4:$M$503,(_calc!$E$666-500))))=0,"","Vendor contact: "&amp;IF(LEN(INDEX('Vendor COIs'!$M$4:$M$503,(_calc!$E$666-500)))=0,"",INDEX('Vendor COIs'!$M$4:$M$503,(_calc!$E$666-500)))&amp;". ")&amp;IF(LEN(IF(LEN(INDEX('Vendor COIs'!$P$4:$P$503,(_calc!$E$666-500)))=0,"",INDEX('Vendor COIs'!$P$4:$P$503,(_calc!$E$666-500))))=0,"",IF(LEN(INDEX('Vendor COIs'!$P$4:$P$503,(_calc!$E$666-500)))=0,"",INDEX('Vendor COIs'!$P$4:$P$503,(_calc!$E$666-500)))))))</f>
        <v/>
      </c>
      <c r="G664" s="46">
        <f>IF(_calc!$E$666="","",IF(_calc!$E$666&lt;=500,IF(LEN(INDEX('Our policies'!$R$4:$R$503,_calc!$E$666))=0,"",INDEX('Our policies'!$R$4:$R$503,_calc!$E$666)),IF(LEN(INDEX('Vendor COIs'!$O$4:$O$503,(_calc!$E$666-500)))=0,"",INDEX('Vendor COIs'!$O$4:$O$503,(_calc!$E$666-500)))))</f>
        <v/>
      </c>
      <c r="H664" s="46">
        <f>IF(_calc!$E$666="","",IF(_calc!$E$666&lt;=500,IF(LEN(INDEX('Our policies'!$G$4:$G$503,_calc!$E$666))=0,"",INDEX('Our policies'!$G$4:$G$503,_calc!$E$666)),""))</f>
        <v/>
      </c>
      <c r="I664" s="46">
        <f>IF(_calc!$E$666="","",IF(_calc!$E$666&lt;=500,IF(LEN(INDEX('Our policies'!$H$4:$H$503,_calc!$E$666))=0,"",INDEX('Our policies'!$H$4:$H$503,_calc!$E$666)),""))</f>
        <v/>
      </c>
      <c r="K664" s="46">
        <f>IF(_calc!$E$666="","",IF(_calc!$E$666&lt;=500,IF(LEN(INDEX('Our policies'!$P$4:$P$503,_calc!$E$666))=0,"",INDEX('Our policies'!$P$4:$P$503,_calc!$E$666)),IF(LEN(INDEX('Vendor COIs'!$N$4:$N$503,(_calc!$E$666-500)))=0,"",INDEX('Vendor COIs'!$N$4:$N$503,(_calc!$E$666-500)))))</f>
        <v/>
      </c>
    </row>
    <row r="665">
      <c r="A665" s="46">
        <f>IF(_calc!$E$667="","",IF(_calc!$E$667&lt;=500,IF(LEN(INDEX('Our policies'!$A$4:$A$503,_calc!$E$667))=0,"",INDEX('Our policies'!$A$4:$A$503,_calc!$E$667)),"COI – "&amp;IF(LEN(INDEX('Vendor COIs'!$A$4:$A$503,(_calc!$E$667-500)))=0,"",INDEX('Vendor COIs'!$A$4:$A$503,(_calc!$E$667-500)))&amp;" – "&amp;IF(LEN(INDEX('Vendor COIs'!$B$4:$B$503,(_calc!$E$667-500)))=0,"",INDEX('Vendor COIs'!$B$4:$B$503,(_calc!$E$667-500)))))</f>
        <v/>
      </c>
      <c r="B665" s="46">
        <f>IF(_calc!$E$667="","",IF(_calc!$E$667&lt;=500,IF(ISNUMBER(INDEX('Our policies'!$J$4:$J$503,_calc!$E$667)),TEXT(INDEX('Our policies'!$J$4:$J$503,_calc!$E$667),"yyyy-mm-dd"),""),IF(ISNUMBER(INDEX('Vendor COIs'!$H$4:$H$503,(_calc!$E$667-500))),TEXT(INDEX('Vendor COIs'!$H$4:$H$503,(_calc!$E$667-500)),"yyyy-mm-dd"),"")))</f>
        <v/>
      </c>
      <c r="C665" s="46">
        <f>IF(_calc!$E$667="","",IF(_calc!$E$667&lt;=500,"Insurance","Certificate of insurance"))</f>
        <v/>
      </c>
      <c r="D665" s="46">
        <f>IF(_calc!$E$667="","",IF(_calc!$E$667&lt;=500,IF(ISNUMBER(INDEX('Our policies'!$I$4:$I$503,_calc!$E$667)),TEXT(INDEX('Our policies'!$I$4:$I$503,_calc!$E$667),"yyyy-mm-dd"),""),""))</f>
        <v/>
      </c>
      <c r="E665" s="46">
        <f>IF(_calc!$E$667="","",IF(_calc!$E$667&lt;=500,IF(LEN(INDEX('Our policies'!$Q$4:$Q$503,_calc!$E$667))=0,"",INDEX('Our policies'!$Q$4:$Q$503,_calc!$E$667)),"Medium"))</f>
        <v/>
      </c>
      <c r="F665" s="46">
        <f>IF(_calc!$E$667="","",IF(_calc!$E$667&lt;=500,TRIM(IF(LEN(IF(LEN(INDEX('Our policies'!$B$4:$B$503,_calc!$E$667))=0,"",INDEX('Our policies'!$B$4:$B$503,_calc!$E$667)))=0,"","Cover: "&amp;IF(LEN(INDEX('Our policies'!$B$4:$B$503,_calc!$E$667))=0,"",INDEX('Our policies'!$B$4:$B$503,_calc!$E$667))&amp;". ")&amp;IF(LEN(IF(LEN(INDEX('Our policies'!$C$4:$C$503,_calc!$E$667))=0,"",INDEX('Our policies'!$C$4:$C$503,_calc!$E$667)))=0,"","Insurer: "&amp;IF(LEN(INDEX('Our policies'!$C$4:$C$503,_calc!$E$667))=0,"",INDEX('Our policies'!$C$4:$C$503,_calc!$E$667))&amp;". ")&amp;IF(LEN(IF(LEN(INDEX('Our policies'!$D$4:$D$503,_calc!$E$667))=0,"",INDEX('Our policies'!$D$4:$D$503,_calc!$E$667)))=0,"","Broker: "&amp;IF(LEN(INDEX('Our policies'!$D$4:$D$503,_calc!$E$667))=0,"",INDEX('Our policies'!$D$4:$D$503,_calc!$E$667))&amp;". ")&amp;IF(LEN(IF(LEN(INDEX('Our policies'!$E$4:$E$503,_calc!$E$667))=0,"",INDEX('Our policies'!$E$4:$E$503,_calc!$E$667)))=0,"","Policy no.: "&amp;IF(LEN(INDEX('Our policies'!$E$4:$E$503,_calc!$E$667))=0,"",INDEX('Our policies'!$E$4:$E$503,_calc!$E$667))&amp;". ")&amp;IF(LEN(IF(LEN(INDEX('Our policies'!$S$4:$S$503,_calc!$E$667))=0,"",INDEX('Our policies'!$S$4:$S$503,_calc!$E$667)))=0,"",IF(LEN(INDEX('Our policies'!$S$4:$S$503,_calc!$E$667))=0,"",INDEX('Our policies'!$S$4:$S$503,_calc!$E$667)))),TRIM(IF(LEN(IF(LEN(INDEX('Vendor COIs'!$C$4:$C$503,(_calc!$E$667-500)))=0,"",INDEX('Vendor COIs'!$C$4:$C$503,(_calc!$E$667-500))))=0,"","Insurer: "&amp;IF(LEN(INDEX('Vendor COIs'!$C$4:$C$503,(_calc!$E$667-500)))=0,"",INDEX('Vendor COIs'!$C$4:$C$503,(_calc!$E$667-500)))&amp;". ")&amp;IF(LEN(IF(LEN(INDEX('Vendor COIs'!$D$4:$D$503,(_calc!$E$667-500)))=0,"",INDEX('Vendor COIs'!$D$4:$D$503,(_calc!$E$667-500))))=0,"","Policy no.: "&amp;IF(LEN(INDEX('Vendor COIs'!$D$4:$D$503,(_calc!$E$667-500)))=0,"",INDEX('Vendor COIs'!$D$4:$D$503,(_calc!$E$667-500)))&amp;". ")&amp;IF(LEN(IF(LEN(INDEX('Vendor COIs'!$F$4:$F$503,(_calc!$E$667-500)))=0,"",INDEX('Vendor COIs'!$F$4:$F$503,(_calc!$E$667-500))))=0,"","Meets minimum: "&amp;IF(LEN(INDEX('Vendor COIs'!$F$4:$F$503,(_calc!$E$667-500)))=0,"",INDEX('Vendor COIs'!$F$4:$F$503,(_calc!$E$667-500)))&amp;". ")&amp;IF(LEN(IF(LEN(INDEX('Vendor COIs'!$G$4:$G$503,(_calc!$E$667-500)))=0,"",INDEX('Vendor COIs'!$G$4:$G$503,(_calc!$E$667-500))))=0,"","Additional insured: "&amp;IF(LEN(INDEX('Vendor COIs'!$G$4:$G$503,(_calc!$E$667-500)))=0,"",INDEX('Vendor COIs'!$G$4:$G$503,(_calc!$E$667-500)))&amp;". ")&amp;IF(LEN(IF(LEN(INDEX('Vendor COIs'!$M$4:$M$503,(_calc!$E$667-500)))=0,"",INDEX('Vendor COIs'!$M$4:$M$503,(_calc!$E$667-500))))=0,"","Vendor contact: "&amp;IF(LEN(INDEX('Vendor COIs'!$M$4:$M$503,(_calc!$E$667-500)))=0,"",INDEX('Vendor COIs'!$M$4:$M$503,(_calc!$E$667-500)))&amp;". ")&amp;IF(LEN(IF(LEN(INDEX('Vendor COIs'!$P$4:$P$503,(_calc!$E$667-500)))=0,"",INDEX('Vendor COIs'!$P$4:$P$503,(_calc!$E$667-500))))=0,"",IF(LEN(INDEX('Vendor COIs'!$P$4:$P$503,(_calc!$E$667-500)))=0,"",INDEX('Vendor COIs'!$P$4:$P$503,(_calc!$E$667-500)))))))</f>
        <v/>
      </c>
      <c r="G665" s="46">
        <f>IF(_calc!$E$667="","",IF(_calc!$E$667&lt;=500,IF(LEN(INDEX('Our policies'!$R$4:$R$503,_calc!$E$667))=0,"",INDEX('Our policies'!$R$4:$R$503,_calc!$E$667)),IF(LEN(INDEX('Vendor COIs'!$O$4:$O$503,(_calc!$E$667-500)))=0,"",INDEX('Vendor COIs'!$O$4:$O$503,(_calc!$E$667-500)))))</f>
        <v/>
      </c>
      <c r="H665" s="46">
        <f>IF(_calc!$E$667="","",IF(_calc!$E$667&lt;=500,IF(LEN(INDEX('Our policies'!$G$4:$G$503,_calc!$E$667))=0,"",INDEX('Our policies'!$G$4:$G$503,_calc!$E$667)),""))</f>
        <v/>
      </c>
      <c r="I665" s="46">
        <f>IF(_calc!$E$667="","",IF(_calc!$E$667&lt;=500,IF(LEN(INDEX('Our policies'!$H$4:$H$503,_calc!$E$667))=0,"",INDEX('Our policies'!$H$4:$H$503,_calc!$E$667)),""))</f>
        <v/>
      </c>
      <c r="K665" s="46">
        <f>IF(_calc!$E$667="","",IF(_calc!$E$667&lt;=500,IF(LEN(INDEX('Our policies'!$P$4:$P$503,_calc!$E$667))=0,"",INDEX('Our policies'!$P$4:$P$503,_calc!$E$667)),IF(LEN(INDEX('Vendor COIs'!$N$4:$N$503,(_calc!$E$667-500)))=0,"",INDEX('Vendor COIs'!$N$4:$N$503,(_calc!$E$667-500)))))</f>
        <v/>
      </c>
    </row>
    <row r="666">
      <c r="A666" s="46">
        <f>IF(_calc!$E$668="","",IF(_calc!$E$668&lt;=500,IF(LEN(INDEX('Our policies'!$A$4:$A$503,_calc!$E$668))=0,"",INDEX('Our policies'!$A$4:$A$503,_calc!$E$668)),"COI – "&amp;IF(LEN(INDEX('Vendor COIs'!$A$4:$A$503,(_calc!$E$668-500)))=0,"",INDEX('Vendor COIs'!$A$4:$A$503,(_calc!$E$668-500)))&amp;" – "&amp;IF(LEN(INDEX('Vendor COIs'!$B$4:$B$503,(_calc!$E$668-500)))=0,"",INDEX('Vendor COIs'!$B$4:$B$503,(_calc!$E$668-500)))))</f>
        <v/>
      </c>
      <c r="B666" s="46">
        <f>IF(_calc!$E$668="","",IF(_calc!$E$668&lt;=500,IF(ISNUMBER(INDEX('Our policies'!$J$4:$J$503,_calc!$E$668)),TEXT(INDEX('Our policies'!$J$4:$J$503,_calc!$E$668),"yyyy-mm-dd"),""),IF(ISNUMBER(INDEX('Vendor COIs'!$H$4:$H$503,(_calc!$E$668-500))),TEXT(INDEX('Vendor COIs'!$H$4:$H$503,(_calc!$E$668-500)),"yyyy-mm-dd"),"")))</f>
        <v/>
      </c>
      <c r="C666" s="46">
        <f>IF(_calc!$E$668="","",IF(_calc!$E$668&lt;=500,"Insurance","Certificate of insurance"))</f>
        <v/>
      </c>
      <c r="D666" s="46">
        <f>IF(_calc!$E$668="","",IF(_calc!$E$668&lt;=500,IF(ISNUMBER(INDEX('Our policies'!$I$4:$I$503,_calc!$E$668)),TEXT(INDEX('Our policies'!$I$4:$I$503,_calc!$E$668),"yyyy-mm-dd"),""),""))</f>
        <v/>
      </c>
      <c r="E666" s="46">
        <f>IF(_calc!$E$668="","",IF(_calc!$E$668&lt;=500,IF(LEN(INDEX('Our policies'!$Q$4:$Q$503,_calc!$E$668))=0,"",INDEX('Our policies'!$Q$4:$Q$503,_calc!$E$668)),"Medium"))</f>
        <v/>
      </c>
      <c r="F666" s="46">
        <f>IF(_calc!$E$668="","",IF(_calc!$E$668&lt;=500,TRIM(IF(LEN(IF(LEN(INDEX('Our policies'!$B$4:$B$503,_calc!$E$668))=0,"",INDEX('Our policies'!$B$4:$B$503,_calc!$E$668)))=0,"","Cover: "&amp;IF(LEN(INDEX('Our policies'!$B$4:$B$503,_calc!$E$668))=0,"",INDEX('Our policies'!$B$4:$B$503,_calc!$E$668))&amp;". ")&amp;IF(LEN(IF(LEN(INDEX('Our policies'!$C$4:$C$503,_calc!$E$668))=0,"",INDEX('Our policies'!$C$4:$C$503,_calc!$E$668)))=0,"","Insurer: "&amp;IF(LEN(INDEX('Our policies'!$C$4:$C$503,_calc!$E$668))=0,"",INDEX('Our policies'!$C$4:$C$503,_calc!$E$668))&amp;". ")&amp;IF(LEN(IF(LEN(INDEX('Our policies'!$D$4:$D$503,_calc!$E$668))=0,"",INDEX('Our policies'!$D$4:$D$503,_calc!$E$668)))=0,"","Broker: "&amp;IF(LEN(INDEX('Our policies'!$D$4:$D$503,_calc!$E$668))=0,"",INDEX('Our policies'!$D$4:$D$503,_calc!$E$668))&amp;". ")&amp;IF(LEN(IF(LEN(INDEX('Our policies'!$E$4:$E$503,_calc!$E$668))=0,"",INDEX('Our policies'!$E$4:$E$503,_calc!$E$668)))=0,"","Policy no.: "&amp;IF(LEN(INDEX('Our policies'!$E$4:$E$503,_calc!$E$668))=0,"",INDEX('Our policies'!$E$4:$E$503,_calc!$E$668))&amp;". ")&amp;IF(LEN(IF(LEN(INDEX('Our policies'!$S$4:$S$503,_calc!$E$668))=0,"",INDEX('Our policies'!$S$4:$S$503,_calc!$E$668)))=0,"",IF(LEN(INDEX('Our policies'!$S$4:$S$503,_calc!$E$668))=0,"",INDEX('Our policies'!$S$4:$S$503,_calc!$E$668)))),TRIM(IF(LEN(IF(LEN(INDEX('Vendor COIs'!$C$4:$C$503,(_calc!$E$668-500)))=0,"",INDEX('Vendor COIs'!$C$4:$C$503,(_calc!$E$668-500))))=0,"","Insurer: "&amp;IF(LEN(INDEX('Vendor COIs'!$C$4:$C$503,(_calc!$E$668-500)))=0,"",INDEX('Vendor COIs'!$C$4:$C$503,(_calc!$E$668-500)))&amp;". ")&amp;IF(LEN(IF(LEN(INDEX('Vendor COIs'!$D$4:$D$503,(_calc!$E$668-500)))=0,"",INDEX('Vendor COIs'!$D$4:$D$503,(_calc!$E$668-500))))=0,"","Policy no.: "&amp;IF(LEN(INDEX('Vendor COIs'!$D$4:$D$503,(_calc!$E$668-500)))=0,"",INDEX('Vendor COIs'!$D$4:$D$503,(_calc!$E$668-500)))&amp;". ")&amp;IF(LEN(IF(LEN(INDEX('Vendor COIs'!$F$4:$F$503,(_calc!$E$668-500)))=0,"",INDEX('Vendor COIs'!$F$4:$F$503,(_calc!$E$668-500))))=0,"","Meets minimum: "&amp;IF(LEN(INDEX('Vendor COIs'!$F$4:$F$503,(_calc!$E$668-500)))=0,"",INDEX('Vendor COIs'!$F$4:$F$503,(_calc!$E$668-500)))&amp;". ")&amp;IF(LEN(IF(LEN(INDEX('Vendor COIs'!$G$4:$G$503,(_calc!$E$668-500)))=0,"",INDEX('Vendor COIs'!$G$4:$G$503,(_calc!$E$668-500))))=0,"","Additional insured: "&amp;IF(LEN(INDEX('Vendor COIs'!$G$4:$G$503,(_calc!$E$668-500)))=0,"",INDEX('Vendor COIs'!$G$4:$G$503,(_calc!$E$668-500)))&amp;". ")&amp;IF(LEN(IF(LEN(INDEX('Vendor COIs'!$M$4:$M$503,(_calc!$E$668-500)))=0,"",INDEX('Vendor COIs'!$M$4:$M$503,(_calc!$E$668-500))))=0,"","Vendor contact: "&amp;IF(LEN(INDEX('Vendor COIs'!$M$4:$M$503,(_calc!$E$668-500)))=0,"",INDEX('Vendor COIs'!$M$4:$M$503,(_calc!$E$668-500)))&amp;". ")&amp;IF(LEN(IF(LEN(INDEX('Vendor COIs'!$P$4:$P$503,(_calc!$E$668-500)))=0,"",INDEX('Vendor COIs'!$P$4:$P$503,(_calc!$E$668-500))))=0,"",IF(LEN(INDEX('Vendor COIs'!$P$4:$P$503,(_calc!$E$668-500)))=0,"",INDEX('Vendor COIs'!$P$4:$P$503,(_calc!$E$668-500)))))))</f>
        <v/>
      </c>
      <c r="G666" s="46">
        <f>IF(_calc!$E$668="","",IF(_calc!$E$668&lt;=500,IF(LEN(INDEX('Our policies'!$R$4:$R$503,_calc!$E$668))=0,"",INDEX('Our policies'!$R$4:$R$503,_calc!$E$668)),IF(LEN(INDEX('Vendor COIs'!$O$4:$O$503,(_calc!$E$668-500)))=0,"",INDEX('Vendor COIs'!$O$4:$O$503,(_calc!$E$668-500)))))</f>
        <v/>
      </c>
      <c r="H666" s="46">
        <f>IF(_calc!$E$668="","",IF(_calc!$E$668&lt;=500,IF(LEN(INDEX('Our policies'!$G$4:$G$503,_calc!$E$668))=0,"",INDEX('Our policies'!$G$4:$G$503,_calc!$E$668)),""))</f>
        <v/>
      </c>
      <c r="I666" s="46">
        <f>IF(_calc!$E$668="","",IF(_calc!$E$668&lt;=500,IF(LEN(INDEX('Our policies'!$H$4:$H$503,_calc!$E$668))=0,"",INDEX('Our policies'!$H$4:$H$503,_calc!$E$668)),""))</f>
        <v/>
      </c>
      <c r="K666" s="46">
        <f>IF(_calc!$E$668="","",IF(_calc!$E$668&lt;=500,IF(LEN(INDEX('Our policies'!$P$4:$P$503,_calc!$E$668))=0,"",INDEX('Our policies'!$P$4:$P$503,_calc!$E$668)),IF(LEN(INDEX('Vendor COIs'!$N$4:$N$503,(_calc!$E$668-500)))=0,"",INDEX('Vendor COIs'!$N$4:$N$503,(_calc!$E$668-500)))))</f>
        <v/>
      </c>
    </row>
    <row r="667">
      <c r="A667" s="46">
        <f>IF(_calc!$E$669="","",IF(_calc!$E$669&lt;=500,IF(LEN(INDEX('Our policies'!$A$4:$A$503,_calc!$E$669))=0,"",INDEX('Our policies'!$A$4:$A$503,_calc!$E$669)),"COI – "&amp;IF(LEN(INDEX('Vendor COIs'!$A$4:$A$503,(_calc!$E$669-500)))=0,"",INDEX('Vendor COIs'!$A$4:$A$503,(_calc!$E$669-500)))&amp;" – "&amp;IF(LEN(INDEX('Vendor COIs'!$B$4:$B$503,(_calc!$E$669-500)))=0,"",INDEX('Vendor COIs'!$B$4:$B$503,(_calc!$E$669-500)))))</f>
        <v/>
      </c>
      <c r="B667" s="46">
        <f>IF(_calc!$E$669="","",IF(_calc!$E$669&lt;=500,IF(ISNUMBER(INDEX('Our policies'!$J$4:$J$503,_calc!$E$669)),TEXT(INDEX('Our policies'!$J$4:$J$503,_calc!$E$669),"yyyy-mm-dd"),""),IF(ISNUMBER(INDEX('Vendor COIs'!$H$4:$H$503,(_calc!$E$669-500))),TEXT(INDEX('Vendor COIs'!$H$4:$H$503,(_calc!$E$669-500)),"yyyy-mm-dd"),"")))</f>
        <v/>
      </c>
      <c r="C667" s="46">
        <f>IF(_calc!$E$669="","",IF(_calc!$E$669&lt;=500,"Insurance","Certificate of insurance"))</f>
        <v/>
      </c>
      <c r="D667" s="46">
        <f>IF(_calc!$E$669="","",IF(_calc!$E$669&lt;=500,IF(ISNUMBER(INDEX('Our policies'!$I$4:$I$503,_calc!$E$669)),TEXT(INDEX('Our policies'!$I$4:$I$503,_calc!$E$669),"yyyy-mm-dd"),""),""))</f>
        <v/>
      </c>
      <c r="E667" s="46">
        <f>IF(_calc!$E$669="","",IF(_calc!$E$669&lt;=500,IF(LEN(INDEX('Our policies'!$Q$4:$Q$503,_calc!$E$669))=0,"",INDEX('Our policies'!$Q$4:$Q$503,_calc!$E$669)),"Medium"))</f>
        <v/>
      </c>
      <c r="F667" s="46">
        <f>IF(_calc!$E$669="","",IF(_calc!$E$669&lt;=500,TRIM(IF(LEN(IF(LEN(INDEX('Our policies'!$B$4:$B$503,_calc!$E$669))=0,"",INDEX('Our policies'!$B$4:$B$503,_calc!$E$669)))=0,"","Cover: "&amp;IF(LEN(INDEX('Our policies'!$B$4:$B$503,_calc!$E$669))=0,"",INDEX('Our policies'!$B$4:$B$503,_calc!$E$669))&amp;". ")&amp;IF(LEN(IF(LEN(INDEX('Our policies'!$C$4:$C$503,_calc!$E$669))=0,"",INDEX('Our policies'!$C$4:$C$503,_calc!$E$669)))=0,"","Insurer: "&amp;IF(LEN(INDEX('Our policies'!$C$4:$C$503,_calc!$E$669))=0,"",INDEX('Our policies'!$C$4:$C$503,_calc!$E$669))&amp;". ")&amp;IF(LEN(IF(LEN(INDEX('Our policies'!$D$4:$D$503,_calc!$E$669))=0,"",INDEX('Our policies'!$D$4:$D$503,_calc!$E$669)))=0,"","Broker: "&amp;IF(LEN(INDEX('Our policies'!$D$4:$D$503,_calc!$E$669))=0,"",INDEX('Our policies'!$D$4:$D$503,_calc!$E$669))&amp;". ")&amp;IF(LEN(IF(LEN(INDEX('Our policies'!$E$4:$E$503,_calc!$E$669))=0,"",INDEX('Our policies'!$E$4:$E$503,_calc!$E$669)))=0,"","Policy no.: "&amp;IF(LEN(INDEX('Our policies'!$E$4:$E$503,_calc!$E$669))=0,"",INDEX('Our policies'!$E$4:$E$503,_calc!$E$669))&amp;". ")&amp;IF(LEN(IF(LEN(INDEX('Our policies'!$S$4:$S$503,_calc!$E$669))=0,"",INDEX('Our policies'!$S$4:$S$503,_calc!$E$669)))=0,"",IF(LEN(INDEX('Our policies'!$S$4:$S$503,_calc!$E$669))=0,"",INDEX('Our policies'!$S$4:$S$503,_calc!$E$669)))),TRIM(IF(LEN(IF(LEN(INDEX('Vendor COIs'!$C$4:$C$503,(_calc!$E$669-500)))=0,"",INDEX('Vendor COIs'!$C$4:$C$503,(_calc!$E$669-500))))=0,"","Insurer: "&amp;IF(LEN(INDEX('Vendor COIs'!$C$4:$C$503,(_calc!$E$669-500)))=0,"",INDEX('Vendor COIs'!$C$4:$C$503,(_calc!$E$669-500)))&amp;". ")&amp;IF(LEN(IF(LEN(INDEX('Vendor COIs'!$D$4:$D$503,(_calc!$E$669-500)))=0,"",INDEX('Vendor COIs'!$D$4:$D$503,(_calc!$E$669-500))))=0,"","Policy no.: "&amp;IF(LEN(INDEX('Vendor COIs'!$D$4:$D$503,(_calc!$E$669-500)))=0,"",INDEX('Vendor COIs'!$D$4:$D$503,(_calc!$E$669-500)))&amp;". ")&amp;IF(LEN(IF(LEN(INDEX('Vendor COIs'!$F$4:$F$503,(_calc!$E$669-500)))=0,"",INDEX('Vendor COIs'!$F$4:$F$503,(_calc!$E$669-500))))=0,"","Meets minimum: "&amp;IF(LEN(INDEX('Vendor COIs'!$F$4:$F$503,(_calc!$E$669-500)))=0,"",INDEX('Vendor COIs'!$F$4:$F$503,(_calc!$E$669-500)))&amp;". ")&amp;IF(LEN(IF(LEN(INDEX('Vendor COIs'!$G$4:$G$503,(_calc!$E$669-500)))=0,"",INDEX('Vendor COIs'!$G$4:$G$503,(_calc!$E$669-500))))=0,"","Additional insured: "&amp;IF(LEN(INDEX('Vendor COIs'!$G$4:$G$503,(_calc!$E$669-500)))=0,"",INDEX('Vendor COIs'!$G$4:$G$503,(_calc!$E$669-500)))&amp;". ")&amp;IF(LEN(IF(LEN(INDEX('Vendor COIs'!$M$4:$M$503,(_calc!$E$669-500)))=0,"",INDEX('Vendor COIs'!$M$4:$M$503,(_calc!$E$669-500))))=0,"","Vendor contact: "&amp;IF(LEN(INDEX('Vendor COIs'!$M$4:$M$503,(_calc!$E$669-500)))=0,"",INDEX('Vendor COIs'!$M$4:$M$503,(_calc!$E$669-500)))&amp;". ")&amp;IF(LEN(IF(LEN(INDEX('Vendor COIs'!$P$4:$P$503,(_calc!$E$669-500)))=0,"",INDEX('Vendor COIs'!$P$4:$P$503,(_calc!$E$669-500))))=0,"",IF(LEN(INDEX('Vendor COIs'!$P$4:$P$503,(_calc!$E$669-500)))=0,"",INDEX('Vendor COIs'!$P$4:$P$503,(_calc!$E$669-500)))))))</f>
        <v/>
      </c>
      <c r="G667" s="46">
        <f>IF(_calc!$E$669="","",IF(_calc!$E$669&lt;=500,IF(LEN(INDEX('Our policies'!$R$4:$R$503,_calc!$E$669))=0,"",INDEX('Our policies'!$R$4:$R$503,_calc!$E$669)),IF(LEN(INDEX('Vendor COIs'!$O$4:$O$503,(_calc!$E$669-500)))=0,"",INDEX('Vendor COIs'!$O$4:$O$503,(_calc!$E$669-500)))))</f>
        <v/>
      </c>
      <c r="H667" s="46">
        <f>IF(_calc!$E$669="","",IF(_calc!$E$669&lt;=500,IF(LEN(INDEX('Our policies'!$G$4:$G$503,_calc!$E$669))=0,"",INDEX('Our policies'!$G$4:$G$503,_calc!$E$669)),""))</f>
        <v/>
      </c>
      <c r="I667" s="46">
        <f>IF(_calc!$E$669="","",IF(_calc!$E$669&lt;=500,IF(LEN(INDEX('Our policies'!$H$4:$H$503,_calc!$E$669))=0,"",INDEX('Our policies'!$H$4:$H$503,_calc!$E$669)),""))</f>
        <v/>
      </c>
      <c r="K667" s="46">
        <f>IF(_calc!$E$669="","",IF(_calc!$E$669&lt;=500,IF(LEN(INDEX('Our policies'!$P$4:$P$503,_calc!$E$669))=0,"",INDEX('Our policies'!$P$4:$P$503,_calc!$E$669)),IF(LEN(INDEX('Vendor COIs'!$N$4:$N$503,(_calc!$E$669-500)))=0,"",INDEX('Vendor COIs'!$N$4:$N$503,(_calc!$E$669-500)))))</f>
        <v/>
      </c>
    </row>
    <row r="668">
      <c r="A668" s="46">
        <f>IF(_calc!$E$670="","",IF(_calc!$E$670&lt;=500,IF(LEN(INDEX('Our policies'!$A$4:$A$503,_calc!$E$670))=0,"",INDEX('Our policies'!$A$4:$A$503,_calc!$E$670)),"COI – "&amp;IF(LEN(INDEX('Vendor COIs'!$A$4:$A$503,(_calc!$E$670-500)))=0,"",INDEX('Vendor COIs'!$A$4:$A$503,(_calc!$E$670-500)))&amp;" – "&amp;IF(LEN(INDEX('Vendor COIs'!$B$4:$B$503,(_calc!$E$670-500)))=0,"",INDEX('Vendor COIs'!$B$4:$B$503,(_calc!$E$670-500)))))</f>
        <v/>
      </c>
      <c r="B668" s="46">
        <f>IF(_calc!$E$670="","",IF(_calc!$E$670&lt;=500,IF(ISNUMBER(INDEX('Our policies'!$J$4:$J$503,_calc!$E$670)),TEXT(INDEX('Our policies'!$J$4:$J$503,_calc!$E$670),"yyyy-mm-dd"),""),IF(ISNUMBER(INDEX('Vendor COIs'!$H$4:$H$503,(_calc!$E$670-500))),TEXT(INDEX('Vendor COIs'!$H$4:$H$503,(_calc!$E$670-500)),"yyyy-mm-dd"),"")))</f>
        <v/>
      </c>
      <c r="C668" s="46">
        <f>IF(_calc!$E$670="","",IF(_calc!$E$670&lt;=500,"Insurance","Certificate of insurance"))</f>
        <v/>
      </c>
      <c r="D668" s="46">
        <f>IF(_calc!$E$670="","",IF(_calc!$E$670&lt;=500,IF(ISNUMBER(INDEX('Our policies'!$I$4:$I$503,_calc!$E$670)),TEXT(INDEX('Our policies'!$I$4:$I$503,_calc!$E$670),"yyyy-mm-dd"),""),""))</f>
        <v/>
      </c>
      <c r="E668" s="46">
        <f>IF(_calc!$E$670="","",IF(_calc!$E$670&lt;=500,IF(LEN(INDEX('Our policies'!$Q$4:$Q$503,_calc!$E$670))=0,"",INDEX('Our policies'!$Q$4:$Q$503,_calc!$E$670)),"Medium"))</f>
        <v/>
      </c>
      <c r="F668" s="46">
        <f>IF(_calc!$E$670="","",IF(_calc!$E$670&lt;=500,TRIM(IF(LEN(IF(LEN(INDEX('Our policies'!$B$4:$B$503,_calc!$E$670))=0,"",INDEX('Our policies'!$B$4:$B$503,_calc!$E$670)))=0,"","Cover: "&amp;IF(LEN(INDEX('Our policies'!$B$4:$B$503,_calc!$E$670))=0,"",INDEX('Our policies'!$B$4:$B$503,_calc!$E$670))&amp;". ")&amp;IF(LEN(IF(LEN(INDEX('Our policies'!$C$4:$C$503,_calc!$E$670))=0,"",INDEX('Our policies'!$C$4:$C$503,_calc!$E$670)))=0,"","Insurer: "&amp;IF(LEN(INDEX('Our policies'!$C$4:$C$503,_calc!$E$670))=0,"",INDEX('Our policies'!$C$4:$C$503,_calc!$E$670))&amp;". ")&amp;IF(LEN(IF(LEN(INDEX('Our policies'!$D$4:$D$503,_calc!$E$670))=0,"",INDEX('Our policies'!$D$4:$D$503,_calc!$E$670)))=0,"","Broker: "&amp;IF(LEN(INDEX('Our policies'!$D$4:$D$503,_calc!$E$670))=0,"",INDEX('Our policies'!$D$4:$D$503,_calc!$E$670))&amp;". ")&amp;IF(LEN(IF(LEN(INDEX('Our policies'!$E$4:$E$503,_calc!$E$670))=0,"",INDEX('Our policies'!$E$4:$E$503,_calc!$E$670)))=0,"","Policy no.: "&amp;IF(LEN(INDEX('Our policies'!$E$4:$E$503,_calc!$E$670))=0,"",INDEX('Our policies'!$E$4:$E$503,_calc!$E$670))&amp;". ")&amp;IF(LEN(IF(LEN(INDEX('Our policies'!$S$4:$S$503,_calc!$E$670))=0,"",INDEX('Our policies'!$S$4:$S$503,_calc!$E$670)))=0,"",IF(LEN(INDEX('Our policies'!$S$4:$S$503,_calc!$E$670))=0,"",INDEX('Our policies'!$S$4:$S$503,_calc!$E$670)))),TRIM(IF(LEN(IF(LEN(INDEX('Vendor COIs'!$C$4:$C$503,(_calc!$E$670-500)))=0,"",INDEX('Vendor COIs'!$C$4:$C$503,(_calc!$E$670-500))))=0,"","Insurer: "&amp;IF(LEN(INDEX('Vendor COIs'!$C$4:$C$503,(_calc!$E$670-500)))=0,"",INDEX('Vendor COIs'!$C$4:$C$503,(_calc!$E$670-500)))&amp;". ")&amp;IF(LEN(IF(LEN(INDEX('Vendor COIs'!$D$4:$D$503,(_calc!$E$670-500)))=0,"",INDEX('Vendor COIs'!$D$4:$D$503,(_calc!$E$670-500))))=0,"","Policy no.: "&amp;IF(LEN(INDEX('Vendor COIs'!$D$4:$D$503,(_calc!$E$670-500)))=0,"",INDEX('Vendor COIs'!$D$4:$D$503,(_calc!$E$670-500)))&amp;". ")&amp;IF(LEN(IF(LEN(INDEX('Vendor COIs'!$F$4:$F$503,(_calc!$E$670-500)))=0,"",INDEX('Vendor COIs'!$F$4:$F$503,(_calc!$E$670-500))))=0,"","Meets minimum: "&amp;IF(LEN(INDEX('Vendor COIs'!$F$4:$F$503,(_calc!$E$670-500)))=0,"",INDEX('Vendor COIs'!$F$4:$F$503,(_calc!$E$670-500)))&amp;". ")&amp;IF(LEN(IF(LEN(INDEX('Vendor COIs'!$G$4:$G$503,(_calc!$E$670-500)))=0,"",INDEX('Vendor COIs'!$G$4:$G$503,(_calc!$E$670-500))))=0,"","Additional insured: "&amp;IF(LEN(INDEX('Vendor COIs'!$G$4:$G$503,(_calc!$E$670-500)))=0,"",INDEX('Vendor COIs'!$G$4:$G$503,(_calc!$E$670-500)))&amp;". ")&amp;IF(LEN(IF(LEN(INDEX('Vendor COIs'!$M$4:$M$503,(_calc!$E$670-500)))=0,"",INDEX('Vendor COIs'!$M$4:$M$503,(_calc!$E$670-500))))=0,"","Vendor contact: "&amp;IF(LEN(INDEX('Vendor COIs'!$M$4:$M$503,(_calc!$E$670-500)))=0,"",INDEX('Vendor COIs'!$M$4:$M$503,(_calc!$E$670-500)))&amp;". ")&amp;IF(LEN(IF(LEN(INDEX('Vendor COIs'!$P$4:$P$503,(_calc!$E$670-500)))=0,"",INDEX('Vendor COIs'!$P$4:$P$503,(_calc!$E$670-500))))=0,"",IF(LEN(INDEX('Vendor COIs'!$P$4:$P$503,(_calc!$E$670-500)))=0,"",INDEX('Vendor COIs'!$P$4:$P$503,(_calc!$E$670-500)))))))</f>
        <v/>
      </c>
      <c r="G668" s="46">
        <f>IF(_calc!$E$670="","",IF(_calc!$E$670&lt;=500,IF(LEN(INDEX('Our policies'!$R$4:$R$503,_calc!$E$670))=0,"",INDEX('Our policies'!$R$4:$R$503,_calc!$E$670)),IF(LEN(INDEX('Vendor COIs'!$O$4:$O$503,(_calc!$E$670-500)))=0,"",INDEX('Vendor COIs'!$O$4:$O$503,(_calc!$E$670-500)))))</f>
        <v/>
      </c>
      <c r="H668" s="46">
        <f>IF(_calc!$E$670="","",IF(_calc!$E$670&lt;=500,IF(LEN(INDEX('Our policies'!$G$4:$G$503,_calc!$E$670))=0,"",INDEX('Our policies'!$G$4:$G$503,_calc!$E$670)),""))</f>
        <v/>
      </c>
      <c r="I668" s="46">
        <f>IF(_calc!$E$670="","",IF(_calc!$E$670&lt;=500,IF(LEN(INDEX('Our policies'!$H$4:$H$503,_calc!$E$670))=0,"",INDEX('Our policies'!$H$4:$H$503,_calc!$E$670)),""))</f>
        <v/>
      </c>
      <c r="K668" s="46">
        <f>IF(_calc!$E$670="","",IF(_calc!$E$670&lt;=500,IF(LEN(INDEX('Our policies'!$P$4:$P$503,_calc!$E$670))=0,"",INDEX('Our policies'!$P$4:$P$503,_calc!$E$670)),IF(LEN(INDEX('Vendor COIs'!$N$4:$N$503,(_calc!$E$670-500)))=0,"",INDEX('Vendor COIs'!$N$4:$N$503,(_calc!$E$670-500)))))</f>
        <v/>
      </c>
    </row>
    <row r="669">
      <c r="A669" s="46">
        <f>IF(_calc!$E$671="","",IF(_calc!$E$671&lt;=500,IF(LEN(INDEX('Our policies'!$A$4:$A$503,_calc!$E$671))=0,"",INDEX('Our policies'!$A$4:$A$503,_calc!$E$671)),"COI – "&amp;IF(LEN(INDEX('Vendor COIs'!$A$4:$A$503,(_calc!$E$671-500)))=0,"",INDEX('Vendor COIs'!$A$4:$A$503,(_calc!$E$671-500)))&amp;" – "&amp;IF(LEN(INDEX('Vendor COIs'!$B$4:$B$503,(_calc!$E$671-500)))=0,"",INDEX('Vendor COIs'!$B$4:$B$503,(_calc!$E$671-500)))))</f>
        <v/>
      </c>
      <c r="B669" s="46">
        <f>IF(_calc!$E$671="","",IF(_calc!$E$671&lt;=500,IF(ISNUMBER(INDEX('Our policies'!$J$4:$J$503,_calc!$E$671)),TEXT(INDEX('Our policies'!$J$4:$J$503,_calc!$E$671),"yyyy-mm-dd"),""),IF(ISNUMBER(INDEX('Vendor COIs'!$H$4:$H$503,(_calc!$E$671-500))),TEXT(INDEX('Vendor COIs'!$H$4:$H$503,(_calc!$E$671-500)),"yyyy-mm-dd"),"")))</f>
        <v/>
      </c>
      <c r="C669" s="46">
        <f>IF(_calc!$E$671="","",IF(_calc!$E$671&lt;=500,"Insurance","Certificate of insurance"))</f>
        <v/>
      </c>
      <c r="D669" s="46">
        <f>IF(_calc!$E$671="","",IF(_calc!$E$671&lt;=500,IF(ISNUMBER(INDEX('Our policies'!$I$4:$I$503,_calc!$E$671)),TEXT(INDEX('Our policies'!$I$4:$I$503,_calc!$E$671),"yyyy-mm-dd"),""),""))</f>
        <v/>
      </c>
      <c r="E669" s="46">
        <f>IF(_calc!$E$671="","",IF(_calc!$E$671&lt;=500,IF(LEN(INDEX('Our policies'!$Q$4:$Q$503,_calc!$E$671))=0,"",INDEX('Our policies'!$Q$4:$Q$503,_calc!$E$671)),"Medium"))</f>
        <v/>
      </c>
      <c r="F669" s="46">
        <f>IF(_calc!$E$671="","",IF(_calc!$E$671&lt;=500,TRIM(IF(LEN(IF(LEN(INDEX('Our policies'!$B$4:$B$503,_calc!$E$671))=0,"",INDEX('Our policies'!$B$4:$B$503,_calc!$E$671)))=0,"","Cover: "&amp;IF(LEN(INDEX('Our policies'!$B$4:$B$503,_calc!$E$671))=0,"",INDEX('Our policies'!$B$4:$B$503,_calc!$E$671))&amp;". ")&amp;IF(LEN(IF(LEN(INDEX('Our policies'!$C$4:$C$503,_calc!$E$671))=0,"",INDEX('Our policies'!$C$4:$C$503,_calc!$E$671)))=0,"","Insurer: "&amp;IF(LEN(INDEX('Our policies'!$C$4:$C$503,_calc!$E$671))=0,"",INDEX('Our policies'!$C$4:$C$503,_calc!$E$671))&amp;". ")&amp;IF(LEN(IF(LEN(INDEX('Our policies'!$D$4:$D$503,_calc!$E$671))=0,"",INDEX('Our policies'!$D$4:$D$503,_calc!$E$671)))=0,"","Broker: "&amp;IF(LEN(INDEX('Our policies'!$D$4:$D$503,_calc!$E$671))=0,"",INDEX('Our policies'!$D$4:$D$503,_calc!$E$671))&amp;". ")&amp;IF(LEN(IF(LEN(INDEX('Our policies'!$E$4:$E$503,_calc!$E$671))=0,"",INDEX('Our policies'!$E$4:$E$503,_calc!$E$671)))=0,"","Policy no.: "&amp;IF(LEN(INDEX('Our policies'!$E$4:$E$503,_calc!$E$671))=0,"",INDEX('Our policies'!$E$4:$E$503,_calc!$E$671))&amp;". ")&amp;IF(LEN(IF(LEN(INDEX('Our policies'!$S$4:$S$503,_calc!$E$671))=0,"",INDEX('Our policies'!$S$4:$S$503,_calc!$E$671)))=0,"",IF(LEN(INDEX('Our policies'!$S$4:$S$503,_calc!$E$671))=0,"",INDEX('Our policies'!$S$4:$S$503,_calc!$E$671)))),TRIM(IF(LEN(IF(LEN(INDEX('Vendor COIs'!$C$4:$C$503,(_calc!$E$671-500)))=0,"",INDEX('Vendor COIs'!$C$4:$C$503,(_calc!$E$671-500))))=0,"","Insurer: "&amp;IF(LEN(INDEX('Vendor COIs'!$C$4:$C$503,(_calc!$E$671-500)))=0,"",INDEX('Vendor COIs'!$C$4:$C$503,(_calc!$E$671-500)))&amp;". ")&amp;IF(LEN(IF(LEN(INDEX('Vendor COIs'!$D$4:$D$503,(_calc!$E$671-500)))=0,"",INDEX('Vendor COIs'!$D$4:$D$503,(_calc!$E$671-500))))=0,"","Policy no.: "&amp;IF(LEN(INDEX('Vendor COIs'!$D$4:$D$503,(_calc!$E$671-500)))=0,"",INDEX('Vendor COIs'!$D$4:$D$503,(_calc!$E$671-500)))&amp;". ")&amp;IF(LEN(IF(LEN(INDEX('Vendor COIs'!$F$4:$F$503,(_calc!$E$671-500)))=0,"",INDEX('Vendor COIs'!$F$4:$F$503,(_calc!$E$671-500))))=0,"","Meets minimum: "&amp;IF(LEN(INDEX('Vendor COIs'!$F$4:$F$503,(_calc!$E$671-500)))=0,"",INDEX('Vendor COIs'!$F$4:$F$503,(_calc!$E$671-500)))&amp;". ")&amp;IF(LEN(IF(LEN(INDEX('Vendor COIs'!$G$4:$G$503,(_calc!$E$671-500)))=0,"",INDEX('Vendor COIs'!$G$4:$G$503,(_calc!$E$671-500))))=0,"","Additional insured: "&amp;IF(LEN(INDEX('Vendor COIs'!$G$4:$G$503,(_calc!$E$671-500)))=0,"",INDEX('Vendor COIs'!$G$4:$G$503,(_calc!$E$671-500)))&amp;". ")&amp;IF(LEN(IF(LEN(INDEX('Vendor COIs'!$M$4:$M$503,(_calc!$E$671-500)))=0,"",INDEX('Vendor COIs'!$M$4:$M$503,(_calc!$E$671-500))))=0,"","Vendor contact: "&amp;IF(LEN(INDEX('Vendor COIs'!$M$4:$M$503,(_calc!$E$671-500)))=0,"",INDEX('Vendor COIs'!$M$4:$M$503,(_calc!$E$671-500)))&amp;". ")&amp;IF(LEN(IF(LEN(INDEX('Vendor COIs'!$P$4:$P$503,(_calc!$E$671-500)))=0,"",INDEX('Vendor COIs'!$P$4:$P$503,(_calc!$E$671-500))))=0,"",IF(LEN(INDEX('Vendor COIs'!$P$4:$P$503,(_calc!$E$671-500)))=0,"",INDEX('Vendor COIs'!$P$4:$P$503,(_calc!$E$671-500)))))))</f>
        <v/>
      </c>
      <c r="G669" s="46">
        <f>IF(_calc!$E$671="","",IF(_calc!$E$671&lt;=500,IF(LEN(INDEX('Our policies'!$R$4:$R$503,_calc!$E$671))=0,"",INDEX('Our policies'!$R$4:$R$503,_calc!$E$671)),IF(LEN(INDEX('Vendor COIs'!$O$4:$O$503,(_calc!$E$671-500)))=0,"",INDEX('Vendor COIs'!$O$4:$O$503,(_calc!$E$671-500)))))</f>
        <v/>
      </c>
      <c r="H669" s="46">
        <f>IF(_calc!$E$671="","",IF(_calc!$E$671&lt;=500,IF(LEN(INDEX('Our policies'!$G$4:$G$503,_calc!$E$671))=0,"",INDEX('Our policies'!$G$4:$G$503,_calc!$E$671)),""))</f>
        <v/>
      </c>
      <c r="I669" s="46">
        <f>IF(_calc!$E$671="","",IF(_calc!$E$671&lt;=500,IF(LEN(INDEX('Our policies'!$H$4:$H$503,_calc!$E$671))=0,"",INDEX('Our policies'!$H$4:$H$503,_calc!$E$671)),""))</f>
        <v/>
      </c>
      <c r="K669" s="46">
        <f>IF(_calc!$E$671="","",IF(_calc!$E$671&lt;=500,IF(LEN(INDEX('Our policies'!$P$4:$P$503,_calc!$E$671))=0,"",INDEX('Our policies'!$P$4:$P$503,_calc!$E$671)),IF(LEN(INDEX('Vendor COIs'!$N$4:$N$503,(_calc!$E$671-500)))=0,"",INDEX('Vendor COIs'!$N$4:$N$503,(_calc!$E$671-500)))))</f>
        <v/>
      </c>
    </row>
    <row r="670">
      <c r="A670" s="46">
        <f>IF(_calc!$E$672="","",IF(_calc!$E$672&lt;=500,IF(LEN(INDEX('Our policies'!$A$4:$A$503,_calc!$E$672))=0,"",INDEX('Our policies'!$A$4:$A$503,_calc!$E$672)),"COI – "&amp;IF(LEN(INDEX('Vendor COIs'!$A$4:$A$503,(_calc!$E$672-500)))=0,"",INDEX('Vendor COIs'!$A$4:$A$503,(_calc!$E$672-500)))&amp;" – "&amp;IF(LEN(INDEX('Vendor COIs'!$B$4:$B$503,(_calc!$E$672-500)))=0,"",INDEX('Vendor COIs'!$B$4:$B$503,(_calc!$E$672-500)))))</f>
        <v/>
      </c>
      <c r="B670" s="46">
        <f>IF(_calc!$E$672="","",IF(_calc!$E$672&lt;=500,IF(ISNUMBER(INDEX('Our policies'!$J$4:$J$503,_calc!$E$672)),TEXT(INDEX('Our policies'!$J$4:$J$503,_calc!$E$672),"yyyy-mm-dd"),""),IF(ISNUMBER(INDEX('Vendor COIs'!$H$4:$H$503,(_calc!$E$672-500))),TEXT(INDEX('Vendor COIs'!$H$4:$H$503,(_calc!$E$672-500)),"yyyy-mm-dd"),"")))</f>
        <v/>
      </c>
      <c r="C670" s="46">
        <f>IF(_calc!$E$672="","",IF(_calc!$E$672&lt;=500,"Insurance","Certificate of insurance"))</f>
        <v/>
      </c>
      <c r="D670" s="46">
        <f>IF(_calc!$E$672="","",IF(_calc!$E$672&lt;=500,IF(ISNUMBER(INDEX('Our policies'!$I$4:$I$503,_calc!$E$672)),TEXT(INDEX('Our policies'!$I$4:$I$503,_calc!$E$672),"yyyy-mm-dd"),""),""))</f>
        <v/>
      </c>
      <c r="E670" s="46">
        <f>IF(_calc!$E$672="","",IF(_calc!$E$672&lt;=500,IF(LEN(INDEX('Our policies'!$Q$4:$Q$503,_calc!$E$672))=0,"",INDEX('Our policies'!$Q$4:$Q$503,_calc!$E$672)),"Medium"))</f>
        <v/>
      </c>
      <c r="F670" s="46">
        <f>IF(_calc!$E$672="","",IF(_calc!$E$672&lt;=500,TRIM(IF(LEN(IF(LEN(INDEX('Our policies'!$B$4:$B$503,_calc!$E$672))=0,"",INDEX('Our policies'!$B$4:$B$503,_calc!$E$672)))=0,"","Cover: "&amp;IF(LEN(INDEX('Our policies'!$B$4:$B$503,_calc!$E$672))=0,"",INDEX('Our policies'!$B$4:$B$503,_calc!$E$672))&amp;". ")&amp;IF(LEN(IF(LEN(INDEX('Our policies'!$C$4:$C$503,_calc!$E$672))=0,"",INDEX('Our policies'!$C$4:$C$503,_calc!$E$672)))=0,"","Insurer: "&amp;IF(LEN(INDEX('Our policies'!$C$4:$C$503,_calc!$E$672))=0,"",INDEX('Our policies'!$C$4:$C$503,_calc!$E$672))&amp;". ")&amp;IF(LEN(IF(LEN(INDEX('Our policies'!$D$4:$D$503,_calc!$E$672))=0,"",INDEX('Our policies'!$D$4:$D$503,_calc!$E$672)))=0,"","Broker: "&amp;IF(LEN(INDEX('Our policies'!$D$4:$D$503,_calc!$E$672))=0,"",INDEX('Our policies'!$D$4:$D$503,_calc!$E$672))&amp;". ")&amp;IF(LEN(IF(LEN(INDEX('Our policies'!$E$4:$E$503,_calc!$E$672))=0,"",INDEX('Our policies'!$E$4:$E$503,_calc!$E$672)))=0,"","Policy no.: "&amp;IF(LEN(INDEX('Our policies'!$E$4:$E$503,_calc!$E$672))=0,"",INDEX('Our policies'!$E$4:$E$503,_calc!$E$672))&amp;". ")&amp;IF(LEN(IF(LEN(INDEX('Our policies'!$S$4:$S$503,_calc!$E$672))=0,"",INDEX('Our policies'!$S$4:$S$503,_calc!$E$672)))=0,"",IF(LEN(INDEX('Our policies'!$S$4:$S$503,_calc!$E$672))=0,"",INDEX('Our policies'!$S$4:$S$503,_calc!$E$672)))),TRIM(IF(LEN(IF(LEN(INDEX('Vendor COIs'!$C$4:$C$503,(_calc!$E$672-500)))=0,"",INDEX('Vendor COIs'!$C$4:$C$503,(_calc!$E$672-500))))=0,"","Insurer: "&amp;IF(LEN(INDEX('Vendor COIs'!$C$4:$C$503,(_calc!$E$672-500)))=0,"",INDEX('Vendor COIs'!$C$4:$C$503,(_calc!$E$672-500)))&amp;". ")&amp;IF(LEN(IF(LEN(INDEX('Vendor COIs'!$D$4:$D$503,(_calc!$E$672-500)))=0,"",INDEX('Vendor COIs'!$D$4:$D$503,(_calc!$E$672-500))))=0,"","Policy no.: "&amp;IF(LEN(INDEX('Vendor COIs'!$D$4:$D$503,(_calc!$E$672-500)))=0,"",INDEX('Vendor COIs'!$D$4:$D$503,(_calc!$E$672-500)))&amp;". ")&amp;IF(LEN(IF(LEN(INDEX('Vendor COIs'!$F$4:$F$503,(_calc!$E$672-500)))=0,"",INDEX('Vendor COIs'!$F$4:$F$503,(_calc!$E$672-500))))=0,"","Meets minimum: "&amp;IF(LEN(INDEX('Vendor COIs'!$F$4:$F$503,(_calc!$E$672-500)))=0,"",INDEX('Vendor COIs'!$F$4:$F$503,(_calc!$E$672-500)))&amp;". ")&amp;IF(LEN(IF(LEN(INDEX('Vendor COIs'!$G$4:$G$503,(_calc!$E$672-500)))=0,"",INDEX('Vendor COIs'!$G$4:$G$503,(_calc!$E$672-500))))=0,"","Additional insured: "&amp;IF(LEN(INDEX('Vendor COIs'!$G$4:$G$503,(_calc!$E$672-500)))=0,"",INDEX('Vendor COIs'!$G$4:$G$503,(_calc!$E$672-500)))&amp;". ")&amp;IF(LEN(IF(LEN(INDEX('Vendor COIs'!$M$4:$M$503,(_calc!$E$672-500)))=0,"",INDEX('Vendor COIs'!$M$4:$M$503,(_calc!$E$672-500))))=0,"","Vendor contact: "&amp;IF(LEN(INDEX('Vendor COIs'!$M$4:$M$503,(_calc!$E$672-500)))=0,"",INDEX('Vendor COIs'!$M$4:$M$503,(_calc!$E$672-500)))&amp;". ")&amp;IF(LEN(IF(LEN(INDEX('Vendor COIs'!$P$4:$P$503,(_calc!$E$672-500)))=0,"",INDEX('Vendor COIs'!$P$4:$P$503,(_calc!$E$672-500))))=0,"",IF(LEN(INDEX('Vendor COIs'!$P$4:$P$503,(_calc!$E$672-500)))=0,"",INDEX('Vendor COIs'!$P$4:$P$503,(_calc!$E$672-500)))))))</f>
        <v/>
      </c>
      <c r="G670" s="46">
        <f>IF(_calc!$E$672="","",IF(_calc!$E$672&lt;=500,IF(LEN(INDEX('Our policies'!$R$4:$R$503,_calc!$E$672))=0,"",INDEX('Our policies'!$R$4:$R$503,_calc!$E$672)),IF(LEN(INDEX('Vendor COIs'!$O$4:$O$503,(_calc!$E$672-500)))=0,"",INDEX('Vendor COIs'!$O$4:$O$503,(_calc!$E$672-500)))))</f>
        <v/>
      </c>
      <c r="H670" s="46">
        <f>IF(_calc!$E$672="","",IF(_calc!$E$672&lt;=500,IF(LEN(INDEX('Our policies'!$G$4:$G$503,_calc!$E$672))=0,"",INDEX('Our policies'!$G$4:$G$503,_calc!$E$672)),""))</f>
        <v/>
      </c>
      <c r="I670" s="46">
        <f>IF(_calc!$E$672="","",IF(_calc!$E$672&lt;=500,IF(LEN(INDEX('Our policies'!$H$4:$H$503,_calc!$E$672))=0,"",INDEX('Our policies'!$H$4:$H$503,_calc!$E$672)),""))</f>
        <v/>
      </c>
      <c r="K670" s="46">
        <f>IF(_calc!$E$672="","",IF(_calc!$E$672&lt;=500,IF(LEN(INDEX('Our policies'!$P$4:$P$503,_calc!$E$672))=0,"",INDEX('Our policies'!$P$4:$P$503,_calc!$E$672)),IF(LEN(INDEX('Vendor COIs'!$N$4:$N$503,(_calc!$E$672-500)))=0,"",INDEX('Vendor COIs'!$N$4:$N$503,(_calc!$E$672-500)))))</f>
        <v/>
      </c>
    </row>
    <row r="671">
      <c r="A671" s="46">
        <f>IF(_calc!$E$673="","",IF(_calc!$E$673&lt;=500,IF(LEN(INDEX('Our policies'!$A$4:$A$503,_calc!$E$673))=0,"",INDEX('Our policies'!$A$4:$A$503,_calc!$E$673)),"COI – "&amp;IF(LEN(INDEX('Vendor COIs'!$A$4:$A$503,(_calc!$E$673-500)))=0,"",INDEX('Vendor COIs'!$A$4:$A$503,(_calc!$E$673-500)))&amp;" – "&amp;IF(LEN(INDEX('Vendor COIs'!$B$4:$B$503,(_calc!$E$673-500)))=0,"",INDEX('Vendor COIs'!$B$4:$B$503,(_calc!$E$673-500)))))</f>
        <v/>
      </c>
      <c r="B671" s="46">
        <f>IF(_calc!$E$673="","",IF(_calc!$E$673&lt;=500,IF(ISNUMBER(INDEX('Our policies'!$J$4:$J$503,_calc!$E$673)),TEXT(INDEX('Our policies'!$J$4:$J$503,_calc!$E$673),"yyyy-mm-dd"),""),IF(ISNUMBER(INDEX('Vendor COIs'!$H$4:$H$503,(_calc!$E$673-500))),TEXT(INDEX('Vendor COIs'!$H$4:$H$503,(_calc!$E$673-500)),"yyyy-mm-dd"),"")))</f>
        <v/>
      </c>
      <c r="C671" s="46">
        <f>IF(_calc!$E$673="","",IF(_calc!$E$673&lt;=500,"Insurance","Certificate of insurance"))</f>
        <v/>
      </c>
      <c r="D671" s="46">
        <f>IF(_calc!$E$673="","",IF(_calc!$E$673&lt;=500,IF(ISNUMBER(INDEX('Our policies'!$I$4:$I$503,_calc!$E$673)),TEXT(INDEX('Our policies'!$I$4:$I$503,_calc!$E$673),"yyyy-mm-dd"),""),""))</f>
        <v/>
      </c>
      <c r="E671" s="46">
        <f>IF(_calc!$E$673="","",IF(_calc!$E$673&lt;=500,IF(LEN(INDEX('Our policies'!$Q$4:$Q$503,_calc!$E$673))=0,"",INDEX('Our policies'!$Q$4:$Q$503,_calc!$E$673)),"Medium"))</f>
        <v/>
      </c>
      <c r="F671" s="46">
        <f>IF(_calc!$E$673="","",IF(_calc!$E$673&lt;=500,TRIM(IF(LEN(IF(LEN(INDEX('Our policies'!$B$4:$B$503,_calc!$E$673))=0,"",INDEX('Our policies'!$B$4:$B$503,_calc!$E$673)))=0,"","Cover: "&amp;IF(LEN(INDEX('Our policies'!$B$4:$B$503,_calc!$E$673))=0,"",INDEX('Our policies'!$B$4:$B$503,_calc!$E$673))&amp;". ")&amp;IF(LEN(IF(LEN(INDEX('Our policies'!$C$4:$C$503,_calc!$E$673))=0,"",INDEX('Our policies'!$C$4:$C$503,_calc!$E$673)))=0,"","Insurer: "&amp;IF(LEN(INDEX('Our policies'!$C$4:$C$503,_calc!$E$673))=0,"",INDEX('Our policies'!$C$4:$C$503,_calc!$E$673))&amp;". ")&amp;IF(LEN(IF(LEN(INDEX('Our policies'!$D$4:$D$503,_calc!$E$673))=0,"",INDEX('Our policies'!$D$4:$D$503,_calc!$E$673)))=0,"","Broker: "&amp;IF(LEN(INDEX('Our policies'!$D$4:$D$503,_calc!$E$673))=0,"",INDEX('Our policies'!$D$4:$D$503,_calc!$E$673))&amp;". ")&amp;IF(LEN(IF(LEN(INDEX('Our policies'!$E$4:$E$503,_calc!$E$673))=0,"",INDEX('Our policies'!$E$4:$E$503,_calc!$E$673)))=0,"","Policy no.: "&amp;IF(LEN(INDEX('Our policies'!$E$4:$E$503,_calc!$E$673))=0,"",INDEX('Our policies'!$E$4:$E$503,_calc!$E$673))&amp;". ")&amp;IF(LEN(IF(LEN(INDEX('Our policies'!$S$4:$S$503,_calc!$E$673))=0,"",INDEX('Our policies'!$S$4:$S$503,_calc!$E$673)))=0,"",IF(LEN(INDEX('Our policies'!$S$4:$S$503,_calc!$E$673))=0,"",INDEX('Our policies'!$S$4:$S$503,_calc!$E$673)))),TRIM(IF(LEN(IF(LEN(INDEX('Vendor COIs'!$C$4:$C$503,(_calc!$E$673-500)))=0,"",INDEX('Vendor COIs'!$C$4:$C$503,(_calc!$E$673-500))))=0,"","Insurer: "&amp;IF(LEN(INDEX('Vendor COIs'!$C$4:$C$503,(_calc!$E$673-500)))=0,"",INDEX('Vendor COIs'!$C$4:$C$503,(_calc!$E$673-500)))&amp;". ")&amp;IF(LEN(IF(LEN(INDEX('Vendor COIs'!$D$4:$D$503,(_calc!$E$673-500)))=0,"",INDEX('Vendor COIs'!$D$4:$D$503,(_calc!$E$673-500))))=0,"","Policy no.: "&amp;IF(LEN(INDEX('Vendor COIs'!$D$4:$D$503,(_calc!$E$673-500)))=0,"",INDEX('Vendor COIs'!$D$4:$D$503,(_calc!$E$673-500)))&amp;". ")&amp;IF(LEN(IF(LEN(INDEX('Vendor COIs'!$F$4:$F$503,(_calc!$E$673-500)))=0,"",INDEX('Vendor COIs'!$F$4:$F$503,(_calc!$E$673-500))))=0,"","Meets minimum: "&amp;IF(LEN(INDEX('Vendor COIs'!$F$4:$F$503,(_calc!$E$673-500)))=0,"",INDEX('Vendor COIs'!$F$4:$F$503,(_calc!$E$673-500)))&amp;". ")&amp;IF(LEN(IF(LEN(INDEX('Vendor COIs'!$G$4:$G$503,(_calc!$E$673-500)))=0,"",INDEX('Vendor COIs'!$G$4:$G$503,(_calc!$E$673-500))))=0,"","Additional insured: "&amp;IF(LEN(INDEX('Vendor COIs'!$G$4:$G$503,(_calc!$E$673-500)))=0,"",INDEX('Vendor COIs'!$G$4:$G$503,(_calc!$E$673-500)))&amp;". ")&amp;IF(LEN(IF(LEN(INDEX('Vendor COIs'!$M$4:$M$503,(_calc!$E$673-500)))=0,"",INDEX('Vendor COIs'!$M$4:$M$503,(_calc!$E$673-500))))=0,"","Vendor contact: "&amp;IF(LEN(INDEX('Vendor COIs'!$M$4:$M$503,(_calc!$E$673-500)))=0,"",INDEX('Vendor COIs'!$M$4:$M$503,(_calc!$E$673-500)))&amp;". ")&amp;IF(LEN(IF(LEN(INDEX('Vendor COIs'!$P$4:$P$503,(_calc!$E$673-500)))=0,"",INDEX('Vendor COIs'!$P$4:$P$503,(_calc!$E$673-500))))=0,"",IF(LEN(INDEX('Vendor COIs'!$P$4:$P$503,(_calc!$E$673-500)))=0,"",INDEX('Vendor COIs'!$P$4:$P$503,(_calc!$E$673-500)))))))</f>
        <v/>
      </c>
      <c r="G671" s="46">
        <f>IF(_calc!$E$673="","",IF(_calc!$E$673&lt;=500,IF(LEN(INDEX('Our policies'!$R$4:$R$503,_calc!$E$673))=0,"",INDEX('Our policies'!$R$4:$R$503,_calc!$E$673)),IF(LEN(INDEX('Vendor COIs'!$O$4:$O$503,(_calc!$E$673-500)))=0,"",INDEX('Vendor COIs'!$O$4:$O$503,(_calc!$E$673-500)))))</f>
        <v/>
      </c>
      <c r="H671" s="46">
        <f>IF(_calc!$E$673="","",IF(_calc!$E$673&lt;=500,IF(LEN(INDEX('Our policies'!$G$4:$G$503,_calc!$E$673))=0,"",INDEX('Our policies'!$G$4:$G$503,_calc!$E$673)),""))</f>
        <v/>
      </c>
      <c r="I671" s="46">
        <f>IF(_calc!$E$673="","",IF(_calc!$E$673&lt;=500,IF(LEN(INDEX('Our policies'!$H$4:$H$503,_calc!$E$673))=0,"",INDEX('Our policies'!$H$4:$H$503,_calc!$E$673)),""))</f>
        <v/>
      </c>
      <c r="K671" s="46">
        <f>IF(_calc!$E$673="","",IF(_calc!$E$673&lt;=500,IF(LEN(INDEX('Our policies'!$P$4:$P$503,_calc!$E$673))=0,"",INDEX('Our policies'!$P$4:$P$503,_calc!$E$673)),IF(LEN(INDEX('Vendor COIs'!$N$4:$N$503,(_calc!$E$673-500)))=0,"",INDEX('Vendor COIs'!$N$4:$N$503,(_calc!$E$673-500)))))</f>
        <v/>
      </c>
    </row>
    <row r="672">
      <c r="A672" s="46">
        <f>IF(_calc!$E$674="","",IF(_calc!$E$674&lt;=500,IF(LEN(INDEX('Our policies'!$A$4:$A$503,_calc!$E$674))=0,"",INDEX('Our policies'!$A$4:$A$503,_calc!$E$674)),"COI – "&amp;IF(LEN(INDEX('Vendor COIs'!$A$4:$A$503,(_calc!$E$674-500)))=0,"",INDEX('Vendor COIs'!$A$4:$A$503,(_calc!$E$674-500)))&amp;" – "&amp;IF(LEN(INDEX('Vendor COIs'!$B$4:$B$503,(_calc!$E$674-500)))=0,"",INDEX('Vendor COIs'!$B$4:$B$503,(_calc!$E$674-500)))))</f>
        <v/>
      </c>
      <c r="B672" s="46">
        <f>IF(_calc!$E$674="","",IF(_calc!$E$674&lt;=500,IF(ISNUMBER(INDEX('Our policies'!$J$4:$J$503,_calc!$E$674)),TEXT(INDEX('Our policies'!$J$4:$J$503,_calc!$E$674),"yyyy-mm-dd"),""),IF(ISNUMBER(INDEX('Vendor COIs'!$H$4:$H$503,(_calc!$E$674-500))),TEXT(INDEX('Vendor COIs'!$H$4:$H$503,(_calc!$E$674-500)),"yyyy-mm-dd"),"")))</f>
        <v/>
      </c>
      <c r="C672" s="46">
        <f>IF(_calc!$E$674="","",IF(_calc!$E$674&lt;=500,"Insurance","Certificate of insurance"))</f>
        <v/>
      </c>
      <c r="D672" s="46">
        <f>IF(_calc!$E$674="","",IF(_calc!$E$674&lt;=500,IF(ISNUMBER(INDEX('Our policies'!$I$4:$I$503,_calc!$E$674)),TEXT(INDEX('Our policies'!$I$4:$I$503,_calc!$E$674),"yyyy-mm-dd"),""),""))</f>
        <v/>
      </c>
      <c r="E672" s="46">
        <f>IF(_calc!$E$674="","",IF(_calc!$E$674&lt;=500,IF(LEN(INDEX('Our policies'!$Q$4:$Q$503,_calc!$E$674))=0,"",INDEX('Our policies'!$Q$4:$Q$503,_calc!$E$674)),"Medium"))</f>
        <v/>
      </c>
      <c r="F672" s="46">
        <f>IF(_calc!$E$674="","",IF(_calc!$E$674&lt;=500,TRIM(IF(LEN(IF(LEN(INDEX('Our policies'!$B$4:$B$503,_calc!$E$674))=0,"",INDEX('Our policies'!$B$4:$B$503,_calc!$E$674)))=0,"","Cover: "&amp;IF(LEN(INDEX('Our policies'!$B$4:$B$503,_calc!$E$674))=0,"",INDEX('Our policies'!$B$4:$B$503,_calc!$E$674))&amp;". ")&amp;IF(LEN(IF(LEN(INDEX('Our policies'!$C$4:$C$503,_calc!$E$674))=0,"",INDEX('Our policies'!$C$4:$C$503,_calc!$E$674)))=0,"","Insurer: "&amp;IF(LEN(INDEX('Our policies'!$C$4:$C$503,_calc!$E$674))=0,"",INDEX('Our policies'!$C$4:$C$503,_calc!$E$674))&amp;". ")&amp;IF(LEN(IF(LEN(INDEX('Our policies'!$D$4:$D$503,_calc!$E$674))=0,"",INDEX('Our policies'!$D$4:$D$503,_calc!$E$674)))=0,"","Broker: "&amp;IF(LEN(INDEX('Our policies'!$D$4:$D$503,_calc!$E$674))=0,"",INDEX('Our policies'!$D$4:$D$503,_calc!$E$674))&amp;". ")&amp;IF(LEN(IF(LEN(INDEX('Our policies'!$E$4:$E$503,_calc!$E$674))=0,"",INDEX('Our policies'!$E$4:$E$503,_calc!$E$674)))=0,"","Policy no.: "&amp;IF(LEN(INDEX('Our policies'!$E$4:$E$503,_calc!$E$674))=0,"",INDEX('Our policies'!$E$4:$E$503,_calc!$E$674))&amp;". ")&amp;IF(LEN(IF(LEN(INDEX('Our policies'!$S$4:$S$503,_calc!$E$674))=0,"",INDEX('Our policies'!$S$4:$S$503,_calc!$E$674)))=0,"",IF(LEN(INDEX('Our policies'!$S$4:$S$503,_calc!$E$674))=0,"",INDEX('Our policies'!$S$4:$S$503,_calc!$E$674)))),TRIM(IF(LEN(IF(LEN(INDEX('Vendor COIs'!$C$4:$C$503,(_calc!$E$674-500)))=0,"",INDEX('Vendor COIs'!$C$4:$C$503,(_calc!$E$674-500))))=0,"","Insurer: "&amp;IF(LEN(INDEX('Vendor COIs'!$C$4:$C$503,(_calc!$E$674-500)))=0,"",INDEX('Vendor COIs'!$C$4:$C$503,(_calc!$E$674-500)))&amp;". ")&amp;IF(LEN(IF(LEN(INDEX('Vendor COIs'!$D$4:$D$503,(_calc!$E$674-500)))=0,"",INDEX('Vendor COIs'!$D$4:$D$503,(_calc!$E$674-500))))=0,"","Policy no.: "&amp;IF(LEN(INDEX('Vendor COIs'!$D$4:$D$503,(_calc!$E$674-500)))=0,"",INDEX('Vendor COIs'!$D$4:$D$503,(_calc!$E$674-500)))&amp;". ")&amp;IF(LEN(IF(LEN(INDEX('Vendor COIs'!$F$4:$F$503,(_calc!$E$674-500)))=0,"",INDEX('Vendor COIs'!$F$4:$F$503,(_calc!$E$674-500))))=0,"","Meets minimum: "&amp;IF(LEN(INDEX('Vendor COIs'!$F$4:$F$503,(_calc!$E$674-500)))=0,"",INDEX('Vendor COIs'!$F$4:$F$503,(_calc!$E$674-500)))&amp;". ")&amp;IF(LEN(IF(LEN(INDEX('Vendor COIs'!$G$4:$G$503,(_calc!$E$674-500)))=0,"",INDEX('Vendor COIs'!$G$4:$G$503,(_calc!$E$674-500))))=0,"","Additional insured: "&amp;IF(LEN(INDEX('Vendor COIs'!$G$4:$G$503,(_calc!$E$674-500)))=0,"",INDEX('Vendor COIs'!$G$4:$G$503,(_calc!$E$674-500)))&amp;". ")&amp;IF(LEN(IF(LEN(INDEX('Vendor COIs'!$M$4:$M$503,(_calc!$E$674-500)))=0,"",INDEX('Vendor COIs'!$M$4:$M$503,(_calc!$E$674-500))))=0,"","Vendor contact: "&amp;IF(LEN(INDEX('Vendor COIs'!$M$4:$M$503,(_calc!$E$674-500)))=0,"",INDEX('Vendor COIs'!$M$4:$M$503,(_calc!$E$674-500)))&amp;". ")&amp;IF(LEN(IF(LEN(INDEX('Vendor COIs'!$P$4:$P$503,(_calc!$E$674-500)))=0,"",INDEX('Vendor COIs'!$P$4:$P$503,(_calc!$E$674-500))))=0,"",IF(LEN(INDEX('Vendor COIs'!$P$4:$P$503,(_calc!$E$674-500)))=0,"",INDEX('Vendor COIs'!$P$4:$P$503,(_calc!$E$674-500)))))))</f>
        <v/>
      </c>
      <c r="G672" s="46">
        <f>IF(_calc!$E$674="","",IF(_calc!$E$674&lt;=500,IF(LEN(INDEX('Our policies'!$R$4:$R$503,_calc!$E$674))=0,"",INDEX('Our policies'!$R$4:$R$503,_calc!$E$674)),IF(LEN(INDEX('Vendor COIs'!$O$4:$O$503,(_calc!$E$674-500)))=0,"",INDEX('Vendor COIs'!$O$4:$O$503,(_calc!$E$674-500)))))</f>
        <v/>
      </c>
      <c r="H672" s="46">
        <f>IF(_calc!$E$674="","",IF(_calc!$E$674&lt;=500,IF(LEN(INDEX('Our policies'!$G$4:$G$503,_calc!$E$674))=0,"",INDEX('Our policies'!$G$4:$G$503,_calc!$E$674)),""))</f>
        <v/>
      </c>
      <c r="I672" s="46">
        <f>IF(_calc!$E$674="","",IF(_calc!$E$674&lt;=500,IF(LEN(INDEX('Our policies'!$H$4:$H$503,_calc!$E$674))=0,"",INDEX('Our policies'!$H$4:$H$503,_calc!$E$674)),""))</f>
        <v/>
      </c>
      <c r="K672" s="46">
        <f>IF(_calc!$E$674="","",IF(_calc!$E$674&lt;=500,IF(LEN(INDEX('Our policies'!$P$4:$P$503,_calc!$E$674))=0,"",INDEX('Our policies'!$P$4:$P$503,_calc!$E$674)),IF(LEN(INDEX('Vendor COIs'!$N$4:$N$503,(_calc!$E$674-500)))=0,"",INDEX('Vendor COIs'!$N$4:$N$503,(_calc!$E$674-500)))))</f>
        <v/>
      </c>
    </row>
    <row r="673">
      <c r="A673" s="46">
        <f>IF(_calc!$E$675="","",IF(_calc!$E$675&lt;=500,IF(LEN(INDEX('Our policies'!$A$4:$A$503,_calc!$E$675))=0,"",INDEX('Our policies'!$A$4:$A$503,_calc!$E$675)),"COI – "&amp;IF(LEN(INDEX('Vendor COIs'!$A$4:$A$503,(_calc!$E$675-500)))=0,"",INDEX('Vendor COIs'!$A$4:$A$503,(_calc!$E$675-500)))&amp;" – "&amp;IF(LEN(INDEX('Vendor COIs'!$B$4:$B$503,(_calc!$E$675-500)))=0,"",INDEX('Vendor COIs'!$B$4:$B$503,(_calc!$E$675-500)))))</f>
        <v/>
      </c>
      <c r="B673" s="46">
        <f>IF(_calc!$E$675="","",IF(_calc!$E$675&lt;=500,IF(ISNUMBER(INDEX('Our policies'!$J$4:$J$503,_calc!$E$675)),TEXT(INDEX('Our policies'!$J$4:$J$503,_calc!$E$675),"yyyy-mm-dd"),""),IF(ISNUMBER(INDEX('Vendor COIs'!$H$4:$H$503,(_calc!$E$675-500))),TEXT(INDEX('Vendor COIs'!$H$4:$H$503,(_calc!$E$675-500)),"yyyy-mm-dd"),"")))</f>
        <v/>
      </c>
      <c r="C673" s="46">
        <f>IF(_calc!$E$675="","",IF(_calc!$E$675&lt;=500,"Insurance","Certificate of insurance"))</f>
        <v/>
      </c>
      <c r="D673" s="46">
        <f>IF(_calc!$E$675="","",IF(_calc!$E$675&lt;=500,IF(ISNUMBER(INDEX('Our policies'!$I$4:$I$503,_calc!$E$675)),TEXT(INDEX('Our policies'!$I$4:$I$503,_calc!$E$675),"yyyy-mm-dd"),""),""))</f>
        <v/>
      </c>
      <c r="E673" s="46">
        <f>IF(_calc!$E$675="","",IF(_calc!$E$675&lt;=500,IF(LEN(INDEX('Our policies'!$Q$4:$Q$503,_calc!$E$675))=0,"",INDEX('Our policies'!$Q$4:$Q$503,_calc!$E$675)),"Medium"))</f>
        <v/>
      </c>
      <c r="F673" s="46">
        <f>IF(_calc!$E$675="","",IF(_calc!$E$675&lt;=500,TRIM(IF(LEN(IF(LEN(INDEX('Our policies'!$B$4:$B$503,_calc!$E$675))=0,"",INDEX('Our policies'!$B$4:$B$503,_calc!$E$675)))=0,"","Cover: "&amp;IF(LEN(INDEX('Our policies'!$B$4:$B$503,_calc!$E$675))=0,"",INDEX('Our policies'!$B$4:$B$503,_calc!$E$675))&amp;". ")&amp;IF(LEN(IF(LEN(INDEX('Our policies'!$C$4:$C$503,_calc!$E$675))=0,"",INDEX('Our policies'!$C$4:$C$503,_calc!$E$675)))=0,"","Insurer: "&amp;IF(LEN(INDEX('Our policies'!$C$4:$C$503,_calc!$E$675))=0,"",INDEX('Our policies'!$C$4:$C$503,_calc!$E$675))&amp;". ")&amp;IF(LEN(IF(LEN(INDEX('Our policies'!$D$4:$D$503,_calc!$E$675))=0,"",INDEX('Our policies'!$D$4:$D$503,_calc!$E$675)))=0,"","Broker: "&amp;IF(LEN(INDEX('Our policies'!$D$4:$D$503,_calc!$E$675))=0,"",INDEX('Our policies'!$D$4:$D$503,_calc!$E$675))&amp;". ")&amp;IF(LEN(IF(LEN(INDEX('Our policies'!$E$4:$E$503,_calc!$E$675))=0,"",INDEX('Our policies'!$E$4:$E$503,_calc!$E$675)))=0,"","Policy no.: "&amp;IF(LEN(INDEX('Our policies'!$E$4:$E$503,_calc!$E$675))=0,"",INDEX('Our policies'!$E$4:$E$503,_calc!$E$675))&amp;". ")&amp;IF(LEN(IF(LEN(INDEX('Our policies'!$S$4:$S$503,_calc!$E$675))=0,"",INDEX('Our policies'!$S$4:$S$503,_calc!$E$675)))=0,"",IF(LEN(INDEX('Our policies'!$S$4:$S$503,_calc!$E$675))=0,"",INDEX('Our policies'!$S$4:$S$503,_calc!$E$675)))),TRIM(IF(LEN(IF(LEN(INDEX('Vendor COIs'!$C$4:$C$503,(_calc!$E$675-500)))=0,"",INDEX('Vendor COIs'!$C$4:$C$503,(_calc!$E$675-500))))=0,"","Insurer: "&amp;IF(LEN(INDEX('Vendor COIs'!$C$4:$C$503,(_calc!$E$675-500)))=0,"",INDEX('Vendor COIs'!$C$4:$C$503,(_calc!$E$675-500)))&amp;". ")&amp;IF(LEN(IF(LEN(INDEX('Vendor COIs'!$D$4:$D$503,(_calc!$E$675-500)))=0,"",INDEX('Vendor COIs'!$D$4:$D$503,(_calc!$E$675-500))))=0,"","Policy no.: "&amp;IF(LEN(INDEX('Vendor COIs'!$D$4:$D$503,(_calc!$E$675-500)))=0,"",INDEX('Vendor COIs'!$D$4:$D$503,(_calc!$E$675-500)))&amp;". ")&amp;IF(LEN(IF(LEN(INDEX('Vendor COIs'!$F$4:$F$503,(_calc!$E$675-500)))=0,"",INDEX('Vendor COIs'!$F$4:$F$503,(_calc!$E$675-500))))=0,"","Meets minimum: "&amp;IF(LEN(INDEX('Vendor COIs'!$F$4:$F$503,(_calc!$E$675-500)))=0,"",INDEX('Vendor COIs'!$F$4:$F$503,(_calc!$E$675-500)))&amp;". ")&amp;IF(LEN(IF(LEN(INDEX('Vendor COIs'!$G$4:$G$503,(_calc!$E$675-500)))=0,"",INDEX('Vendor COIs'!$G$4:$G$503,(_calc!$E$675-500))))=0,"","Additional insured: "&amp;IF(LEN(INDEX('Vendor COIs'!$G$4:$G$503,(_calc!$E$675-500)))=0,"",INDEX('Vendor COIs'!$G$4:$G$503,(_calc!$E$675-500)))&amp;". ")&amp;IF(LEN(IF(LEN(INDEX('Vendor COIs'!$M$4:$M$503,(_calc!$E$675-500)))=0,"",INDEX('Vendor COIs'!$M$4:$M$503,(_calc!$E$675-500))))=0,"","Vendor contact: "&amp;IF(LEN(INDEX('Vendor COIs'!$M$4:$M$503,(_calc!$E$675-500)))=0,"",INDEX('Vendor COIs'!$M$4:$M$503,(_calc!$E$675-500)))&amp;". ")&amp;IF(LEN(IF(LEN(INDEX('Vendor COIs'!$P$4:$P$503,(_calc!$E$675-500)))=0,"",INDEX('Vendor COIs'!$P$4:$P$503,(_calc!$E$675-500))))=0,"",IF(LEN(INDEX('Vendor COIs'!$P$4:$P$503,(_calc!$E$675-500)))=0,"",INDEX('Vendor COIs'!$P$4:$P$503,(_calc!$E$675-500)))))))</f>
        <v/>
      </c>
      <c r="G673" s="46">
        <f>IF(_calc!$E$675="","",IF(_calc!$E$675&lt;=500,IF(LEN(INDEX('Our policies'!$R$4:$R$503,_calc!$E$675))=0,"",INDEX('Our policies'!$R$4:$R$503,_calc!$E$675)),IF(LEN(INDEX('Vendor COIs'!$O$4:$O$503,(_calc!$E$675-500)))=0,"",INDEX('Vendor COIs'!$O$4:$O$503,(_calc!$E$675-500)))))</f>
        <v/>
      </c>
      <c r="H673" s="46">
        <f>IF(_calc!$E$675="","",IF(_calc!$E$675&lt;=500,IF(LEN(INDEX('Our policies'!$G$4:$G$503,_calc!$E$675))=0,"",INDEX('Our policies'!$G$4:$G$503,_calc!$E$675)),""))</f>
        <v/>
      </c>
      <c r="I673" s="46">
        <f>IF(_calc!$E$675="","",IF(_calc!$E$675&lt;=500,IF(LEN(INDEX('Our policies'!$H$4:$H$503,_calc!$E$675))=0,"",INDEX('Our policies'!$H$4:$H$503,_calc!$E$675)),""))</f>
        <v/>
      </c>
      <c r="K673" s="46">
        <f>IF(_calc!$E$675="","",IF(_calc!$E$675&lt;=500,IF(LEN(INDEX('Our policies'!$P$4:$P$503,_calc!$E$675))=0,"",INDEX('Our policies'!$P$4:$P$503,_calc!$E$675)),IF(LEN(INDEX('Vendor COIs'!$N$4:$N$503,(_calc!$E$675-500)))=0,"",INDEX('Vendor COIs'!$N$4:$N$503,(_calc!$E$675-500)))))</f>
        <v/>
      </c>
    </row>
    <row r="674">
      <c r="A674" s="46">
        <f>IF(_calc!$E$676="","",IF(_calc!$E$676&lt;=500,IF(LEN(INDEX('Our policies'!$A$4:$A$503,_calc!$E$676))=0,"",INDEX('Our policies'!$A$4:$A$503,_calc!$E$676)),"COI – "&amp;IF(LEN(INDEX('Vendor COIs'!$A$4:$A$503,(_calc!$E$676-500)))=0,"",INDEX('Vendor COIs'!$A$4:$A$503,(_calc!$E$676-500)))&amp;" – "&amp;IF(LEN(INDEX('Vendor COIs'!$B$4:$B$503,(_calc!$E$676-500)))=0,"",INDEX('Vendor COIs'!$B$4:$B$503,(_calc!$E$676-500)))))</f>
        <v/>
      </c>
      <c r="B674" s="46">
        <f>IF(_calc!$E$676="","",IF(_calc!$E$676&lt;=500,IF(ISNUMBER(INDEX('Our policies'!$J$4:$J$503,_calc!$E$676)),TEXT(INDEX('Our policies'!$J$4:$J$503,_calc!$E$676),"yyyy-mm-dd"),""),IF(ISNUMBER(INDEX('Vendor COIs'!$H$4:$H$503,(_calc!$E$676-500))),TEXT(INDEX('Vendor COIs'!$H$4:$H$503,(_calc!$E$676-500)),"yyyy-mm-dd"),"")))</f>
        <v/>
      </c>
      <c r="C674" s="46">
        <f>IF(_calc!$E$676="","",IF(_calc!$E$676&lt;=500,"Insurance","Certificate of insurance"))</f>
        <v/>
      </c>
      <c r="D674" s="46">
        <f>IF(_calc!$E$676="","",IF(_calc!$E$676&lt;=500,IF(ISNUMBER(INDEX('Our policies'!$I$4:$I$503,_calc!$E$676)),TEXT(INDEX('Our policies'!$I$4:$I$503,_calc!$E$676),"yyyy-mm-dd"),""),""))</f>
        <v/>
      </c>
      <c r="E674" s="46">
        <f>IF(_calc!$E$676="","",IF(_calc!$E$676&lt;=500,IF(LEN(INDEX('Our policies'!$Q$4:$Q$503,_calc!$E$676))=0,"",INDEX('Our policies'!$Q$4:$Q$503,_calc!$E$676)),"Medium"))</f>
        <v/>
      </c>
      <c r="F674" s="46">
        <f>IF(_calc!$E$676="","",IF(_calc!$E$676&lt;=500,TRIM(IF(LEN(IF(LEN(INDEX('Our policies'!$B$4:$B$503,_calc!$E$676))=0,"",INDEX('Our policies'!$B$4:$B$503,_calc!$E$676)))=0,"","Cover: "&amp;IF(LEN(INDEX('Our policies'!$B$4:$B$503,_calc!$E$676))=0,"",INDEX('Our policies'!$B$4:$B$503,_calc!$E$676))&amp;". ")&amp;IF(LEN(IF(LEN(INDEX('Our policies'!$C$4:$C$503,_calc!$E$676))=0,"",INDEX('Our policies'!$C$4:$C$503,_calc!$E$676)))=0,"","Insurer: "&amp;IF(LEN(INDEX('Our policies'!$C$4:$C$503,_calc!$E$676))=0,"",INDEX('Our policies'!$C$4:$C$503,_calc!$E$676))&amp;". ")&amp;IF(LEN(IF(LEN(INDEX('Our policies'!$D$4:$D$503,_calc!$E$676))=0,"",INDEX('Our policies'!$D$4:$D$503,_calc!$E$676)))=0,"","Broker: "&amp;IF(LEN(INDEX('Our policies'!$D$4:$D$503,_calc!$E$676))=0,"",INDEX('Our policies'!$D$4:$D$503,_calc!$E$676))&amp;". ")&amp;IF(LEN(IF(LEN(INDEX('Our policies'!$E$4:$E$503,_calc!$E$676))=0,"",INDEX('Our policies'!$E$4:$E$503,_calc!$E$676)))=0,"","Policy no.: "&amp;IF(LEN(INDEX('Our policies'!$E$4:$E$503,_calc!$E$676))=0,"",INDEX('Our policies'!$E$4:$E$503,_calc!$E$676))&amp;". ")&amp;IF(LEN(IF(LEN(INDEX('Our policies'!$S$4:$S$503,_calc!$E$676))=0,"",INDEX('Our policies'!$S$4:$S$503,_calc!$E$676)))=0,"",IF(LEN(INDEX('Our policies'!$S$4:$S$503,_calc!$E$676))=0,"",INDEX('Our policies'!$S$4:$S$503,_calc!$E$676)))),TRIM(IF(LEN(IF(LEN(INDEX('Vendor COIs'!$C$4:$C$503,(_calc!$E$676-500)))=0,"",INDEX('Vendor COIs'!$C$4:$C$503,(_calc!$E$676-500))))=0,"","Insurer: "&amp;IF(LEN(INDEX('Vendor COIs'!$C$4:$C$503,(_calc!$E$676-500)))=0,"",INDEX('Vendor COIs'!$C$4:$C$503,(_calc!$E$676-500)))&amp;". ")&amp;IF(LEN(IF(LEN(INDEX('Vendor COIs'!$D$4:$D$503,(_calc!$E$676-500)))=0,"",INDEX('Vendor COIs'!$D$4:$D$503,(_calc!$E$676-500))))=0,"","Policy no.: "&amp;IF(LEN(INDEX('Vendor COIs'!$D$4:$D$503,(_calc!$E$676-500)))=0,"",INDEX('Vendor COIs'!$D$4:$D$503,(_calc!$E$676-500)))&amp;". ")&amp;IF(LEN(IF(LEN(INDEX('Vendor COIs'!$F$4:$F$503,(_calc!$E$676-500)))=0,"",INDEX('Vendor COIs'!$F$4:$F$503,(_calc!$E$676-500))))=0,"","Meets minimum: "&amp;IF(LEN(INDEX('Vendor COIs'!$F$4:$F$503,(_calc!$E$676-500)))=0,"",INDEX('Vendor COIs'!$F$4:$F$503,(_calc!$E$676-500)))&amp;". ")&amp;IF(LEN(IF(LEN(INDEX('Vendor COIs'!$G$4:$G$503,(_calc!$E$676-500)))=0,"",INDEX('Vendor COIs'!$G$4:$G$503,(_calc!$E$676-500))))=0,"","Additional insured: "&amp;IF(LEN(INDEX('Vendor COIs'!$G$4:$G$503,(_calc!$E$676-500)))=0,"",INDEX('Vendor COIs'!$G$4:$G$503,(_calc!$E$676-500)))&amp;". ")&amp;IF(LEN(IF(LEN(INDEX('Vendor COIs'!$M$4:$M$503,(_calc!$E$676-500)))=0,"",INDEX('Vendor COIs'!$M$4:$M$503,(_calc!$E$676-500))))=0,"","Vendor contact: "&amp;IF(LEN(INDEX('Vendor COIs'!$M$4:$M$503,(_calc!$E$676-500)))=0,"",INDEX('Vendor COIs'!$M$4:$M$503,(_calc!$E$676-500)))&amp;". ")&amp;IF(LEN(IF(LEN(INDEX('Vendor COIs'!$P$4:$P$503,(_calc!$E$676-500)))=0,"",INDEX('Vendor COIs'!$P$4:$P$503,(_calc!$E$676-500))))=0,"",IF(LEN(INDEX('Vendor COIs'!$P$4:$P$503,(_calc!$E$676-500)))=0,"",INDEX('Vendor COIs'!$P$4:$P$503,(_calc!$E$676-500)))))))</f>
        <v/>
      </c>
      <c r="G674" s="46">
        <f>IF(_calc!$E$676="","",IF(_calc!$E$676&lt;=500,IF(LEN(INDEX('Our policies'!$R$4:$R$503,_calc!$E$676))=0,"",INDEX('Our policies'!$R$4:$R$503,_calc!$E$676)),IF(LEN(INDEX('Vendor COIs'!$O$4:$O$503,(_calc!$E$676-500)))=0,"",INDEX('Vendor COIs'!$O$4:$O$503,(_calc!$E$676-500)))))</f>
        <v/>
      </c>
      <c r="H674" s="46">
        <f>IF(_calc!$E$676="","",IF(_calc!$E$676&lt;=500,IF(LEN(INDEX('Our policies'!$G$4:$G$503,_calc!$E$676))=0,"",INDEX('Our policies'!$G$4:$G$503,_calc!$E$676)),""))</f>
        <v/>
      </c>
      <c r="I674" s="46">
        <f>IF(_calc!$E$676="","",IF(_calc!$E$676&lt;=500,IF(LEN(INDEX('Our policies'!$H$4:$H$503,_calc!$E$676))=0,"",INDEX('Our policies'!$H$4:$H$503,_calc!$E$676)),""))</f>
        <v/>
      </c>
      <c r="K674" s="46">
        <f>IF(_calc!$E$676="","",IF(_calc!$E$676&lt;=500,IF(LEN(INDEX('Our policies'!$P$4:$P$503,_calc!$E$676))=0,"",INDEX('Our policies'!$P$4:$P$503,_calc!$E$676)),IF(LEN(INDEX('Vendor COIs'!$N$4:$N$503,(_calc!$E$676-500)))=0,"",INDEX('Vendor COIs'!$N$4:$N$503,(_calc!$E$676-500)))))</f>
        <v/>
      </c>
    </row>
    <row r="675">
      <c r="A675" s="46">
        <f>IF(_calc!$E$677="","",IF(_calc!$E$677&lt;=500,IF(LEN(INDEX('Our policies'!$A$4:$A$503,_calc!$E$677))=0,"",INDEX('Our policies'!$A$4:$A$503,_calc!$E$677)),"COI – "&amp;IF(LEN(INDEX('Vendor COIs'!$A$4:$A$503,(_calc!$E$677-500)))=0,"",INDEX('Vendor COIs'!$A$4:$A$503,(_calc!$E$677-500)))&amp;" – "&amp;IF(LEN(INDEX('Vendor COIs'!$B$4:$B$503,(_calc!$E$677-500)))=0,"",INDEX('Vendor COIs'!$B$4:$B$503,(_calc!$E$677-500)))))</f>
        <v/>
      </c>
      <c r="B675" s="46">
        <f>IF(_calc!$E$677="","",IF(_calc!$E$677&lt;=500,IF(ISNUMBER(INDEX('Our policies'!$J$4:$J$503,_calc!$E$677)),TEXT(INDEX('Our policies'!$J$4:$J$503,_calc!$E$677),"yyyy-mm-dd"),""),IF(ISNUMBER(INDEX('Vendor COIs'!$H$4:$H$503,(_calc!$E$677-500))),TEXT(INDEX('Vendor COIs'!$H$4:$H$503,(_calc!$E$677-500)),"yyyy-mm-dd"),"")))</f>
        <v/>
      </c>
      <c r="C675" s="46">
        <f>IF(_calc!$E$677="","",IF(_calc!$E$677&lt;=500,"Insurance","Certificate of insurance"))</f>
        <v/>
      </c>
      <c r="D675" s="46">
        <f>IF(_calc!$E$677="","",IF(_calc!$E$677&lt;=500,IF(ISNUMBER(INDEX('Our policies'!$I$4:$I$503,_calc!$E$677)),TEXT(INDEX('Our policies'!$I$4:$I$503,_calc!$E$677),"yyyy-mm-dd"),""),""))</f>
        <v/>
      </c>
      <c r="E675" s="46">
        <f>IF(_calc!$E$677="","",IF(_calc!$E$677&lt;=500,IF(LEN(INDEX('Our policies'!$Q$4:$Q$503,_calc!$E$677))=0,"",INDEX('Our policies'!$Q$4:$Q$503,_calc!$E$677)),"Medium"))</f>
        <v/>
      </c>
      <c r="F675" s="46">
        <f>IF(_calc!$E$677="","",IF(_calc!$E$677&lt;=500,TRIM(IF(LEN(IF(LEN(INDEX('Our policies'!$B$4:$B$503,_calc!$E$677))=0,"",INDEX('Our policies'!$B$4:$B$503,_calc!$E$677)))=0,"","Cover: "&amp;IF(LEN(INDEX('Our policies'!$B$4:$B$503,_calc!$E$677))=0,"",INDEX('Our policies'!$B$4:$B$503,_calc!$E$677))&amp;". ")&amp;IF(LEN(IF(LEN(INDEX('Our policies'!$C$4:$C$503,_calc!$E$677))=0,"",INDEX('Our policies'!$C$4:$C$503,_calc!$E$677)))=0,"","Insurer: "&amp;IF(LEN(INDEX('Our policies'!$C$4:$C$503,_calc!$E$677))=0,"",INDEX('Our policies'!$C$4:$C$503,_calc!$E$677))&amp;". ")&amp;IF(LEN(IF(LEN(INDEX('Our policies'!$D$4:$D$503,_calc!$E$677))=0,"",INDEX('Our policies'!$D$4:$D$503,_calc!$E$677)))=0,"","Broker: "&amp;IF(LEN(INDEX('Our policies'!$D$4:$D$503,_calc!$E$677))=0,"",INDEX('Our policies'!$D$4:$D$503,_calc!$E$677))&amp;". ")&amp;IF(LEN(IF(LEN(INDEX('Our policies'!$E$4:$E$503,_calc!$E$677))=0,"",INDEX('Our policies'!$E$4:$E$503,_calc!$E$677)))=0,"","Policy no.: "&amp;IF(LEN(INDEX('Our policies'!$E$4:$E$503,_calc!$E$677))=0,"",INDEX('Our policies'!$E$4:$E$503,_calc!$E$677))&amp;". ")&amp;IF(LEN(IF(LEN(INDEX('Our policies'!$S$4:$S$503,_calc!$E$677))=0,"",INDEX('Our policies'!$S$4:$S$503,_calc!$E$677)))=0,"",IF(LEN(INDEX('Our policies'!$S$4:$S$503,_calc!$E$677))=0,"",INDEX('Our policies'!$S$4:$S$503,_calc!$E$677)))),TRIM(IF(LEN(IF(LEN(INDEX('Vendor COIs'!$C$4:$C$503,(_calc!$E$677-500)))=0,"",INDEX('Vendor COIs'!$C$4:$C$503,(_calc!$E$677-500))))=0,"","Insurer: "&amp;IF(LEN(INDEX('Vendor COIs'!$C$4:$C$503,(_calc!$E$677-500)))=0,"",INDEX('Vendor COIs'!$C$4:$C$503,(_calc!$E$677-500)))&amp;". ")&amp;IF(LEN(IF(LEN(INDEX('Vendor COIs'!$D$4:$D$503,(_calc!$E$677-500)))=0,"",INDEX('Vendor COIs'!$D$4:$D$503,(_calc!$E$677-500))))=0,"","Policy no.: "&amp;IF(LEN(INDEX('Vendor COIs'!$D$4:$D$503,(_calc!$E$677-500)))=0,"",INDEX('Vendor COIs'!$D$4:$D$503,(_calc!$E$677-500)))&amp;". ")&amp;IF(LEN(IF(LEN(INDEX('Vendor COIs'!$F$4:$F$503,(_calc!$E$677-500)))=0,"",INDEX('Vendor COIs'!$F$4:$F$503,(_calc!$E$677-500))))=0,"","Meets minimum: "&amp;IF(LEN(INDEX('Vendor COIs'!$F$4:$F$503,(_calc!$E$677-500)))=0,"",INDEX('Vendor COIs'!$F$4:$F$503,(_calc!$E$677-500)))&amp;". ")&amp;IF(LEN(IF(LEN(INDEX('Vendor COIs'!$G$4:$G$503,(_calc!$E$677-500)))=0,"",INDEX('Vendor COIs'!$G$4:$G$503,(_calc!$E$677-500))))=0,"","Additional insured: "&amp;IF(LEN(INDEX('Vendor COIs'!$G$4:$G$503,(_calc!$E$677-500)))=0,"",INDEX('Vendor COIs'!$G$4:$G$503,(_calc!$E$677-500)))&amp;". ")&amp;IF(LEN(IF(LEN(INDEX('Vendor COIs'!$M$4:$M$503,(_calc!$E$677-500)))=0,"",INDEX('Vendor COIs'!$M$4:$M$503,(_calc!$E$677-500))))=0,"","Vendor contact: "&amp;IF(LEN(INDEX('Vendor COIs'!$M$4:$M$503,(_calc!$E$677-500)))=0,"",INDEX('Vendor COIs'!$M$4:$M$503,(_calc!$E$677-500)))&amp;". ")&amp;IF(LEN(IF(LEN(INDEX('Vendor COIs'!$P$4:$P$503,(_calc!$E$677-500)))=0,"",INDEX('Vendor COIs'!$P$4:$P$503,(_calc!$E$677-500))))=0,"",IF(LEN(INDEX('Vendor COIs'!$P$4:$P$503,(_calc!$E$677-500)))=0,"",INDEX('Vendor COIs'!$P$4:$P$503,(_calc!$E$677-500)))))))</f>
        <v/>
      </c>
      <c r="G675" s="46">
        <f>IF(_calc!$E$677="","",IF(_calc!$E$677&lt;=500,IF(LEN(INDEX('Our policies'!$R$4:$R$503,_calc!$E$677))=0,"",INDEX('Our policies'!$R$4:$R$503,_calc!$E$677)),IF(LEN(INDEX('Vendor COIs'!$O$4:$O$503,(_calc!$E$677-500)))=0,"",INDEX('Vendor COIs'!$O$4:$O$503,(_calc!$E$677-500)))))</f>
        <v/>
      </c>
      <c r="H675" s="46">
        <f>IF(_calc!$E$677="","",IF(_calc!$E$677&lt;=500,IF(LEN(INDEX('Our policies'!$G$4:$G$503,_calc!$E$677))=0,"",INDEX('Our policies'!$G$4:$G$503,_calc!$E$677)),""))</f>
        <v/>
      </c>
      <c r="I675" s="46">
        <f>IF(_calc!$E$677="","",IF(_calc!$E$677&lt;=500,IF(LEN(INDEX('Our policies'!$H$4:$H$503,_calc!$E$677))=0,"",INDEX('Our policies'!$H$4:$H$503,_calc!$E$677)),""))</f>
        <v/>
      </c>
      <c r="K675" s="46">
        <f>IF(_calc!$E$677="","",IF(_calc!$E$677&lt;=500,IF(LEN(INDEX('Our policies'!$P$4:$P$503,_calc!$E$677))=0,"",INDEX('Our policies'!$P$4:$P$503,_calc!$E$677)),IF(LEN(INDEX('Vendor COIs'!$N$4:$N$503,(_calc!$E$677-500)))=0,"",INDEX('Vendor COIs'!$N$4:$N$503,(_calc!$E$677-500)))))</f>
        <v/>
      </c>
    </row>
    <row r="676">
      <c r="A676" s="46">
        <f>IF(_calc!$E$678="","",IF(_calc!$E$678&lt;=500,IF(LEN(INDEX('Our policies'!$A$4:$A$503,_calc!$E$678))=0,"",INDEX('Our policies'!$A$4:$A$503,_calc!$E$678)),"COI – "&amp;IF(LEN(INDEX('Vendor COIs'!$A$4:$A$503,(_calc!$E$678-500)))=0,"",INDEX('Vendor COIs'!$A$4:$A$503,(_calc!$E$678-500)))&amp;" – "&amp;IF(LEN(INDEX('Vendor COIs'!$B$4:$B$503,(_calc!$E$678-500)))=0,"",INDEX('Vendor COIs'!$B$4:$B$503,(_calc!$E$678-500)))))</f>
        <v/>
      </c>
      <c r="B676" s="46">
        <f>IF(_calc!$E$678="","",IF(_calc!$E$678&lt;=500,IF(ISNUMBER(INDEX('Our policies'!$J$4:$J$503,_calc!$E$678)),TEXT(INDEX('Our policies'!$J$4:$J$503,_calc!$E$678),"yyyy-mm-dd"),""),IF(ISNUMBER(INDEX('Vendor COIs'!$H$4:$H$503,(_calc!$E$678-500))),TEXT(INDEX('Vendor COIs'!$H$4:$H$503,(_calc!$E$678-500)),"yyyy-mm-dd"),"")))</f>
        <v/>
      </c>
      <c r="C676" s="46">
        <f>IF(_calc!$E$678="","",IF(_calc!$E$678&lt;=500,"Insurance","Certificate of insurance"))</f>
        <v/>
      </c>
      <c r="D676" s="46">
        <f>IF(_calc!$E$678="","",IF(_calc!$E$678&lt;=500,IF(ISNUMBER(INDEX('Our policies'!$I$4:$I$503,_calc!$E$678)),TEXT(INDEX('Our policies'!$I$4:$I$503,_calc!$E$678),"yyyy-mm-dd"),""),""))</f>
        <v/>
      </c>
      <c r="E676" s="46">
        <f>IF(_calc!$E$678="","",IF(_calc!$E$678&lt;=500,IF(LEN(INDEX('Our policies'!$Q$4:$Q$503,_calc!$E$678))=0,"",INDEX('Our policies'!$Q$4:$Q$503,_calc!$E$678)),"Medium"))</f>
        <v/>
      </c>
      <c r="F676" s="46">
        <f>IF(_calc!$E$678="","",IF(_calc!$E$678&lt;=500,TRIM(IF(LEN(IF(LEN(INDEX('Our policies'!$B$4:$B$503,_calc!$E$678))=0,"",INDEX('Our policies'!$B$4:$B$503,_calc!$E$678)))=0,"","Cover: "&amp;IF(LEN(INDEX('Our policies'!$B$4:$B$503,_calc!$E$678))=0,"",INDEX('Our policies'!$B$4:$B$503,_calc!$E$678))&amp;". ")&amp;IF(LEN(IF(LEN(INDEX('Our policies'!$C$4:$C$503,_calc!$E$678))=0,"",INDEX('Our policies'!$C$4:$C$503,_calc!$E$678)))=0,"","Insurer: "&amp;IF(LEN(INDEX('Our policies'!$C$4:$C$503,_calc!$E$678))=0,"",INDEX('Our policies'!$C$4:$C$503,_calc!$E$678))&amp;". ")&amp;IF(LEN(IF(LEN(INDEX('Our policies'!$D$4:$D$503,_calc!$E$678))=0,"",INDEX('Our policies'!$D$4:$D$503,_calc!$E$678)))=0,"","Broker: "&amp;IF(LEN(INDEX('Our policies'!$D$4:$D$503,_calc!$E$678))=0,"",INDEX('Our policies'!$D$4:$D$503,_calc!$E$678))&amp;". ")&amp;IF(LEN(IF(LEN(INDEX('Our policies'!$E$4:$E$503,_calc!$E$678))=0,"",INDEX('Our policies'!$E$4:$E$503,_calc!$E$678)))=0,"","Policy no.: "&amp;IF(LEN(INDEX('Our policies'!$E$4:$E$503,_calc!$E$678))=0,"",INDEX('Our policies'!$E$4:$E$503,_calc!$E$678))&amp;". ")&amp;IF(LEN(IF(LEN(INDEX('Our policies'!$S$4:$S$503,_calc!$E$678))=0,"",INDEX('Our policies'!$S$4:$S$503,_calc!$E$678)))=0,"",IF(LEN(INDEX('Our policies'!$S$4:$S$503,_calc!$E$678))=0,"",INDEX('Our policies'!$S$4:$S$503,_calc!$E$678)))),TRIM(IF(LEN(IF(LEN(INDEX('Vendor COIs'!$C$4:$C$503,(_calc!$E$678-500)))=0,"",INDEX('Vendor COIs'!$C$4:$C$503,(_calc!$E$678-500))))=0,"","Insurer: "&amp;IF(LEN(INDEX('Vendor COIs'!$C$4:$C$503,(_calc!$E$678-500)))=0,"",INDEX('Vendor COIs'!$C$4:$C$503,(_calc!$E$678-500)))&amp;". ")&amp;IF(LEN(IF(LEN(INDEX('Vendor COIs'!$D$4:$D$503,(_calc!$E$678-500)))=0,"",INDEX('Vendor COIs'!$D$4:$D$503,(_calc!$E$678-500))))=0,"","Policy no.: "&amp;IF(LEN(INDEX('Vendor COIs'!$D$4:$D$503,(_calc!$E$678-500)))=0,"",INDEX('Vendor COIs'!$D$4:$D$503,(_calc!$E$678-500)))&amp;". ")&amp;IF(LEN(IF(LEN(INDEX('Vendor COIs'!$F$4:$F$503,(_calc!$E$678-500)))=0,"",INDEX('Vendor COIs'!$F$4:$F$503,(_calc!$E$678-500))))=0,"","Meets minimum: "&amp;IF(LEN(INDEX('Vendor COIs'!$F$4:$F$503,(_calc!$E$678-500)))=0,"",INDEX('Vendor COIs'!$F$4:$F$503,(_calc!$E$678-500)))&amp;". ")&amp;IF(LEN(IF(LEN(INDEX('Vendor COIs'!$G$4:$G$503,(_calc!$E$678-500)))=0,"",INDEX('Vendor COIs'!$G$4:$G$503,(_calc!$E$678-500))))=0,"","Additional insured: "&amp;IF(LEN(INDEX('Vendor COIs'!$G$4:$G$503,(_calc!$E$678-500)))=0,"",INDEX('Vendor COIs'!$G$4:$G$503,(_calc!$E$678-500)))&amp;". ")&amp;IF(LEN(IF(LEN(INDEX('Vendor COIs'!$M$4:$M$503,(_calc!$E$678-500)))=0,"",INDEX('Vendor COIs'!$M$4:$M$503,(_calc!$E$678-500))))=0,"","Vendor contact: "&amp;IF(LEN(INDEX('Vendor COIs'!$M$4:$M$503,(_calc!$E$678-500)))=0,"",INDEX('Vendor COIs'!$M$4:$M$503,(_calc!$E$678-500)))&amp;". ")&amp;IF(LEN(IF(LEN(INDEX('Vendor COIs'!$P$4:$P$503,(_calc!$E$678-500)))=0,"",INDEX('Vendor COIs'!$P$4:$P$503,(_calc!$E$678-500))))=0,"",IF(LEN(INDEX('Vendor COIs'!$P$4:$P$503,(_calc!$E$678-500)))=0,"",INDEX('Vendor COIs'!$P$4:$P$503,(_calc!$E$678-500)))))))</f>
        <v/>
      </c>
      <c r="G676" s="46">
        <f>IF(_calc!$E$678="","",IF(_calc!$E$678&lt;=500,IF(LEN(INDEX('Our policies'!$R$4:$R$503,_calc!$E$678))=0,"",INDEX('Our policies'!$R$4:$R$503,_calc!$E$678)),IF(LEN(INDEX('Vendor COIs'!$O$4:$O$503,(_calc!$E$678-500)))=0,"",INDEX('Vendor COIs'!$O$4:$O$503,(_calc!$E$678-500)))))</f>
        <v/>
      </c>
      <c r="H676" s="46">
        <f>IF(_calc!$E$678="","",IF(_calc!$E$678&lt;=500,IF(LEN(INDEX('Our policies'!$G$4:$G$503,_calc!$E$678))=0,"",INDEX('Our policies'!$G$4:$G$503,_calc!$E$678)),""))</f>
        <v/>
      </c>
      <c r="I676" s="46">
        <f>IF(_calc!$E$678="","",IF(_calc!$E$678&lt;=500,IF(LEN(INDEX('Our policies'!$H$4:$H$503,_calc!$E$678))=0,"",INDEX('Our policies'!$H$4:$H$503,_calc!$E$678)),""))</f>
        <v/>
      </c>
      <c r="K676" s="46">
        <f>IF(_calc!$E$678="","",IF(_calc!$E$678&lt;=500,IF(LEN(INDEX('Our policies'!$P$4:$P$503,_calc!$E$678))=0,"",INDEX('Our policies'!$P$4:$P$503,_calc!$E$678)),IF(LEN(INDEX('Vendor COIs'!$N$4:$N$503,(_calc!$E$678-500)))=0,"",INDEX('Vendor COIs'!$N$4:$N$503,(_calc!$E$678-500)))))</f>
        <v/>
      </c>
    </row>
    <row r="677">
      <c r="A677" s="46">
        <f>IF(_calc!$E$679="","",IF(_calc!$E$679&lt;=500,IF(LEN(INDEX('Our policies'!$A$4:$A$503,_calc!$E$679))=0,"",INDEX('Our policies'!$A$4:$A$503,_calc!$E$679)),"COI – "&amp;IF(LEN(INDEX('Vendor COIs'!$A$4:$A$503,(_calc!$E$679-500)))=0,"",INDEX('Vendor COIs'!$A$4:$A$503,(_calc!$E$679-500)))&amp;" – "&amp;IF(LEN(INDEX('Vendor COIs'!$B$4:$B$503,(_calc!$E$679-500)))=0,"",INDEX('Vendor COIs'!$B$4:$B$503,(_calc!$E$679-500)))))</f>
        <v/>
      </c>
      <c r="B677" s="46">
        <f>IF(_calc!$E$679="","",IF(_calc!$E$679&lt;=500,IF(ISNUMBER(INDEX('Our policies'!$J$4:$J$503,_calc!$E$679)),TEXT(INDEX('Our policies'!$J$4:$J$503,_calc!$E$679),"yyyy-mm-dd"),""),IF(ISNUMBER(INDEX('Vendor COIs'!$H$4:$H$503,(_calc!$E$679-500))),TEXT(INDEX('Vendor COIs'!$H$4:$H$503,(_calc!$E$679-500)),"yyyy-mm-dd"),"")))</f>
        <v/>
      </c>
      <c r="C677" s="46">
        <f>IF(_calc!$E$679="","",IF(_calc!$E$679&lt;=500,"Insurance","Certificate of insurance"))</f>
        <v/>
      </c>
      <c r="D677" s="46">
        <f>IF(_calc!$E$679="","",IF(_calc!$E$679&lt;=500,IF(ISNUMBER(INDEX('Our policies'!$I$4:$I$503,_calc!$E$679)),TEXT(INDEX('Our policies'!$I$4:$I$503,_calc!$E$679),"yyyy-mm-dd"),""),""))</f>
        <v/>
      </c>
      <c r="E677" s="46">
        <f>IF(_calc!$E$679="","",IF(_calc!$E$679&lt;=500,IF(LEN(INDEX('Our policies'!$Q$4:$Q$503,_calc!$E$679))=0,"",INDEX('Our policies'!$Q$4:$Q$503,_calc!$E$679)),"Medium"))</f>
        <v/>
      </c>
      <c r="F677" s="46">
        <f>IF(_calc!$E$679="","",IF(_calc!$E$679&lt;=500,TRIM(IF(LEN(IF(LEN(INDEX('Our policies'!$B$4:$B$503,_calc!$E$679))=0,"",INDEX('Our policies'!$B$4:$B$503,_calc!$E$679)))=0,"","Cover: "&amp;IF(LEN(INDEX('Our policies'!$B$4:$B$503,_calc!$E$679))=0,"",INDEX('Our policies'!$B$4:$B$503,_calc!$E$679))&amp;". ")&amp;IF(LEN(IF(LEN(INDEX('Our policies'!$C$4:$C$503,_calc!$E$679))=0,"",INDEX('Our policies'!$C$4:$C$503,_calc!$E$679)))=0,"","Insurer: "&amp;IF(LEN(INDEX('Our policies'!$C$4:$C$503,_calc!$E$679))=0,"",INDEX('Our policies'!$C$4:$C$503,_calc!$E$679))&amp;". ")&amp;IF(LEN(IF(LEN(INDEX('Our policies'!$D$4:$D$503,_calc!$E$679))=0,"",INDEX('Our policies'!$D$4:$D$503,_calc!$E$679)))=0,"","Broker: "&amp;IF(LEN(INDEX('Our policies'!$D$4:$D$503,_calc!$E$679))=0,"",INDEX('Our policies'!$D$4:$D$503,_calc!$E$679))&amp;". ")&amp;IF(LEN(IF(LEN(INDEX('Our policies'!$E$4:$E$503,_calc!$E$679))=0,"",INDEX('Our policies'!$E$4:$E$503,_calc!$E$679)))=0,"","Policy no.: "&amp;IF(LEN(INDEX('Our policies'!$E$4:$E$503,_calc!$E$679))=0,"",INDEX('Our policies'!$E$4:$E$503,_calc!$E$679))&amp;". ")&amp;IF(LEN(IF(LEN(INDEX('Our policies'!$S$4:$S$503,_calc!$E$679))=0,"",INDEX('Our policies'!$S$4:$S$503,_calc!$E$679)))=0,"",IF(LEN(INDEX('Our policies'!$S$4:$S$503,_calc!$E$679))=0,"",INDEX('Our policies'!$S$4:$S$503,_calc!$E$679)))),TRIM(IF(LEN(IF(LEN(INDEX('Vendor COIs'!$C$4:$C$503,(_calc!$E$679-500)))=0,"",INDEX('Vendor COIs'!$C$4:$C$503,(_calc!$E$679-500))))=0,"","Insurer: "&amp;IF(LEN(INDEX('Vendor COIs'!$C$4:$C$503,(_calc!$E$679-500)))=0,"",INDEX('Vendor COIs'!$C$4:$C$503,(_calc!$E$679-500)))&amp;". ")&amp;IF(LEN(IF(LEN(INDEX('Vendor COIs'!$D$4:$D$503,(_calc!$E$679-500)))=0,"",INDEX('Vendor COIs'!$D$4:$D$503,(_calc!$E$679-500))))=0,"","Policy no.: "&amp;IF(LEN(INDEX('Vendor COIs'!$D$4:$D$503,(_calc!$E$679-500)))=0,"",INDEX('Vendor COIs'!$D$4:$D$503,(_calc!$E$679-500)))&amp;". ")&amp;IF(LEN(IF(LEN(INDEX('Vendor COIs'!$F$4:$F$503,(_calc!$E$679-500)))=0,"",INDEX('Vendor COIs'!$F$4:$F$503,(_calc!$E$679-500))))=0,"","Meets minimum: "&amp;IF(LEN(INDEX('Vendor COIs'!$F$4:$F$503,(_calc!$E$679-500)))=0,"",INDEX('Vendor COIs'!$F$4:$F$503,(_calc!$E$679-500)))&amp;". ")&amp;IF(LEN(IF(LEN(INDEX('Vendor COIs'!$G$4:$G$503,(_calc!$E$679-500)))=0,"",INDEX('Vendor COIs'!$G$4:$G$503,(_calc!$E$679-500))))=0,"","Additional insured: "&amp;IF(LEN(INDEX('Vendor COIs'!$G$4:$G$503,(_calc!$E$679-500)))=0,"",INDEX('Vendor COIs'!$G$4:$G$503,(_calc!$E$679-500)))&amp;". ")&amp;IF(LEN(IF(LEN(INDEX('Vendor COIs'!$M$4:$M$503,(_calc!$E$679-500)))=0,"",INDEX('Vendor COIs'!$M$4:$M$503,(_calc!$E$679-500))))=0,"","Vendor contact: "&amp;IF(LEN(INDEX('Vendor COIs'!$M$4:$M$503,(_calc!$E$679-500)))=0,"",INDEX('Vendor COIs'!$M$4:$M$503,(_calc!$E$679-500)))&amp;". ")&amp;IF(LEN(IF(LEN(INDEX('Vendor COIs'!$P$4:$P$503,(_calc!$E$679-500)))=0,"",INDEX('Vendor COIs'!$P$4:$P$503,(_calc!$E$679-500))))=0,"",IF(LEN(INDEX('Vendor COIs'!$P$4:$P$503,(_calc!$E$679-500)))=0,"",INDEX('Vendor COIs'!$P$4:$P$503,(_calc!$E$679-500)))))))</f>
        <v/>
      </c>
      <c r="G677" s="46">
        <f>IF(_calc!$E$679="","",IF(_calc!$E$679&lt;=500,IF(LEN(INDEX('Our policies'!$R$4:$R$503,_calc!$E$679))=0,"",INDEX('Our policies'!$R$4:$R$503,_calc!$E$679)),IF(LEN(INDEX('Vendor COIs'!$O$4:$O$503,(_calc!$E$679-500)))=0,"",INDEX('Vendor COIs'!$O$4:$O$503,(_calc!$E$679-500)))))</f>
        <v/>
      </c>
      <c r="H677" s="46">
        <f>IF(_calc!$E$679="","",IF(_calc!$E$679&lt;=500,IF(LEN(INDEX('Our policies'!$G$4:$G$503,_calc!$E$679))=0,"",INDEX('Our policies'!$G$4:$G$503,_calc!$E$679)),""))</f>
        <v/>
      </c>
      <c r="I677" s="46">
        <f>IF(_calc!$E$679="","",IF(_calc!$E$679&lt;=500,IF(LEN(INDEX('Our policies'!$H$4:$H$503,_calc!$E$679))=0,"",INDEX('Our policies'!$H$4:$H$503,_calc!$E$679)),""))</f>
        <v/>
      </c>
      <c r="K677" s="46">
        <f>IF(_calc!$E$679="","",IF(_calc!$E$679&lt;=500,IF(LEN(INDEX('Our policies'!$P$4:$P$503,_calc!$E$679))=0,"",INDEX('Our policies'!$P$4:$P$503,_calc!$E$679)),IF(LEN(INDEX('Vendor COIs'!$N$4:$N$503,(_calc!$E$679-500)))=0,"",INDEX('Vendor COIs'!$N$4:$N$503,(_calc!$E$679-500)))))</f>
        <v/>
      </c>
    </row>
    <row r="678">
      <c r="A678" s="46">
        <f>IF(_calc!$E$680="","",IF(_calc!$E$680&lt;=500,IF(LEN(INDEX('Our policies'!$A$4:$A$503,_calc!$E$680))=0,"",INDEX('Our policies'!$A$4:$A$503,_calc!$E$680)),"COI – "&amp;IF(LEN(INDEX('Vendor COIs'!$A$4:$A$503,(_calc!$E$680-500)))=0,"",INDEX('Vendor COIs'!$A$4:$A$503,(_calc!$E$680-500)))&amp;" – "&amp;IF(LEN(INDEX('Vendor COIs'!$B$4:$B$503,(_calc!$E$680-500)))=0,"",INDEX('Vendor COIs'!$B$4:$B$503,(_calc!$E$680-500)))))</f>
        <v/>
      </c>
      <c r="B678" s="46">
        <f>IF(_calc!$E$680="","",IF(_calc!$E$680&lt;=500,IF(ISNUMBER(INDEX('Our policies'!$J$4:$J$503,_calc!$E$680)),TEXT(INDEX('Our policies'!$J$4:$J$503,_calc!$E$680),"yyyy-mm-dd"),""),IF(ISNUMBER(INDEX('Vendor COIs'!$H$4:$H$503,(_calc!$E$680-500))),TEXT(INDEX('Vendor COIs'!$H$4:$H$503,(_calc!$E$680-500)),"yyyy-mm-dd"),"")))</f>
        <v/>
      </c>
      <c r="C678" s="46">
        <f>IF(_calc!$E$680="","",IF(_calc!$E$680&lt;=500,"Insurance","Certificate of insurance"))</f>
        <v/>
      </c>
      <c r="D678" s="46">
        <f>IF(_calc!$E$680="","",IF(_calc!$E$680&lt;=500,IF(ISNUMBER(INDEX('Our policies'!$I$4:$I$503,_calc!$E$680)),TEXT(INDEX('Our policies'!$I$4:$I$503,_calc!$E$680),"yyyy-mm-dd"),""),""))</f>
        <v/>
      </c>
      <c r="E678" s="46">
        <f>IF(_calc!$E$680="","",IF(_calc!$E$680&lt;=500,IF(LEN(INDEX('Our policies'!$Q$4:$Q$503,_calc!$E$680))=0,"",INDEX('Our policies'!$Q$4:$Q$503,_calc!$E$680)),"Medium"))</f>
        <v/>
      </c>
      <c r="F678" s="46">
        <f>IF(_calc!$E$680="","",IF(_calc!$E$680&lt;=500,TRIM(IF(LEN(IF(LEN(INDEX('Our policies'!$B$4:$B$503,_calc!$E$680))=0,"",INDEX('Our policies'!$B$4:$B$503,_calc!$E$680)))=0,"","Cover: "&amp;IF(LEN(INDEX('Our policies'!$B$4:$B$503,_calc!$E$680))=0,"",INDEX('Our policies'!$B$4:$B$503,_calc!$E$680))&amp;". ")&amp;IF(LEN(IF(LEN(INDEX('Our policies'!$C$4:$C$503,_calc!$E$680))=0,"",INDEX('Our policies'!$C$4:$C$503,_calc!$E$680)))=0,"","Insurer: "&amp;IF(LEN(INDEX('Our policies'!$C$4:$C$503,_calc!$E$680))=0,"",INDEX('Our policies'!$C$4:$C$503,_calc!$E$680))&amp;". ")&amp;IF(LEN(IF(LEN(INDEX('Our policies'!$D$4:$D$503,_calc!$E$680))=0,"",INDEX('Our policies'!$D$4:$D$503,_calc!$E$680)))=0,"","Broker: "&amp;IF(LEN(INDEX('Our policies'!$D$4:$D$503,_calc!$E$680))=0,"",INDEX('Our policies'!$D$4:$D$503,_calc!$E$680))&amp;". ")&amp;IF(LEN(IF(LEN(INDEX('Our policies'!$E$4:$E$503,_calc!$E$680))=0,"",INDEX('Our policies'!$E$4:$E$503,_calc!$E$680)))=0,"","Policy no.: "&amp;IF(LEN(INDEX('Our policies'!$E$4:$E$503,_calc!$E$680))=0,"",INDEX('Our policies'!$E$4:$E$503,_calc!$E$680))&amp;". ")&amp;IF(LEN(IF(LEN(INDEX('Our policies'!$S$4:$S$503,_calc!$E$680))=0,"",INDEX('Our policies'!$S$4:$S$503,_calc!$E$680)))=0,"",IF(LEN(INDEX('Our policies'!$S$4:$S$503,_calc!$E$680))=0,"",INDEX('Our policies'!$S$4:$S$503,_calc!$E$680)))),TRIM(IF(LEN(IF(LEN(INDEX('Vendor COIs'!$C$4:$C$503,(_calc!$E$680-500)))=0,"",INDEX('Vendor COIs'!$C$4:$C$503,(_calc!$E$680-500))))=0,"","Insurer: "&amp;IF(LEN(INDEX('Vendor COIs'!$C$4:$C$503,(_calc!$E$680-500)))=0,"",INDEX('Vendor COIs'!$C$4:$C$503,(_calc!$E$680-500)))&amp;". ")&amp;IF(LEN(IF(LEN(INDEX('Vendor COIs'!$D$4:$D$503,(_calc!$E$680-500)))=0,"",INDEX('Vendor COIs'!$D$4:$D$503,(_calc!$E$680-500))))=0,"","Policy no.: "&amp;IF(LEN(INDEX('Vendor COIs'!$D$4:$D$503,(_calc!$E$680-500)))=0,"",INDEX('Vendor COIs'!$D$4:$D$503,(_calc!$E$680-500)))&amp;". ")&amp;IF(LEN(IF(LEN(INDEX('Vendor COIs'!$F$4:$F$503,(_calc!$E$680-500)))=0,"",INDEX('Vendor COIs'!$F$4:$F$503,(_calc!$E$680-500))))=0,"","Meets minimum: "&amp;IF(LEN(INDEX('Vendor COIs'!$F$4:$F$503,(_calc!$E$680-500)))=0,"",INDEX('Vendor COIs'!$F$4:$F$503,(_calc!$E$680-500)))&amp;". ")&amp;IF(LEN(IF(LEN(INDEX('Vendor COIs'!$G$4:$G$503,(_calc!$E$680-500)))=0,"",INDEX('Vendor COIs'!$G$4:$G$503,(_calc!$E$680-500))))=0,"","Additional insured: "&amp;IF(LEN(INDEX('Vendor COIs'!$G$4:$G$503,(_calc!$E$680-500)))=0,"",INDEX('Vendor COIs'!$G$4:$G$503,(_calc!$E$680-500)))&amp;". ")&amp;IF(LEN(IF(LEN(INDEX('Vendor COIs'!$M$4:$M$503,(_calc!$E$680-500)))=0,"",INDEX('Vendor COIs'!$M$4:$M$503,(_calc!$E$680-500))))=0,"","Vendor contact: "&amp;IF(LEN(INDEX('Vendor COIs'!$M$4:$M$503,(_calc!$E$680-500)))=0,"",INDEX('Vendor COIs'!$M$4:$M$503,(_calc!$E$680-500)))&amp;". ")&amp;IF(LEN(IF(LEN(INDEX('Vendor COIs'!$P$4:$P$503,(_calc!$E$680-500)))=0,"",INDEX('Vendor COIs'!$P$4:$P$503,(_calc!$E$680-500))))=0,"",IF(LEN(INDEX('Vendor COIs'!$P$4:$P$503,(_calc!$E$680-500)))=0,"",INDEX('Vendor COIs'!$P$4:$P$503,(_calc!$E$680-500)))))))</f>
        <v/>
      </c>
      <c r="G678" s="46">
        <f>IF(_calc!$E$680="","",IF(_calc!$E$680&lt;=500,IF(LEN(INDEX('Our policies'!$R$4:$R$503,_calc!$E$680))=0,"",INDEX('Our policies'!$R$4:$R$503,_calc!$E$680)),IF(LEN(INDEX('Vendor COIs'!$O$4:$O$503,(_calc!$E$680-500)))=0,"",INDEX('Vendor COIs'!$O$4:$O$503,(_calc!$E$680-500)))))</f>
        <v/>
      </c>
      <c r="H678" s="46">
        <f>IF(_calc!$E$680="","",IF(_calc!$E$680&lt;=500,IF(LEN(INDEX('Our policies'!$G$4:$G$503,_calc!$E$680))=0,"",INDEX('Our policies'!$G$4:$G$503,_calc!$E$680)),""))</f>
        <v/>
      </c>
      <c r="I678" s="46">
        <f>IF(_calc!$E$680="","",IF(_calc!$E$680&lt;=500,IF(LEN(INDEX('Our policies'!$H$4:$H$503,_calc!$E$680))=0,"",INDEX('Our policies'!$H$4:$H$503,_calc!$E$680)),""))</f>
        <v/>
      </c>
      <c r="K678" s="46">
        <f>IF(_calc!$E$680="","",IF(_calc!$E$680&lt;=500,IF(LEN(INDEX('Our policies'!$P$4:$P$503,_calc!$E$680))=0,"",INDEX('Our policies'!$P$4:$P$503,_calc!$E$680)),IF(LEN(INDEX('Vendor COIs'!$N$4:$N$503,(_calc!$E$680-500)))=0,"",INDEX('Vendor COIs'!$N$4:$N$503,(_calc!$E$680-500)))))</f>
        <v/>
      </c>
    </row>
    <row r="679">
      <c r="A679" s="46">
        <f>IF(_calc!$E$681="","",IF(_calc!$E$681&lt;=500,IF(LEN(INDEX('Our policies'!$A$4:$A$503,_calc!$E$681))=0,"",INDEX('Our policies'!$A$4:$A$503,_calc!$E$681)),"COI – "&amp;IF(LEN(INDEX('Vendor COIs'!$A$4:$A$503,(_calc!$E$681-500)))=0,"",INDEX('Vendor COIs'!$A$4:$A$503,(_calc!$E$681-500)))&amp;" – "&amp;IF(LEN(INDEX('Vendor COIs'!$B$4:$B$503,(_calc!$E$681-500)))=0,"",INDEX('Vendor COIs'!$B$4:$B$503,(_calc!$E$681-500)))))</f>
        <v/>
      </c>
      <c r="B679" s="46">
        <f>IF(_calc!$E$681="","",IF(_calc!$E$681&lt;=500,IF(ISNUMBER(INDEX('Our policies'!$J$4:$J$503,_calc!$E$681)),TEXT(INDEX('Our policies'!$J$4:$J$503,_calc!$E$681),"yyyy-mm-dd"),""),IF(ISNUMBER(INDEX('Vendor COIs'!$H$4:$H$503,(_calc!$E$681-500))),TEXT(INDEX('Vendor COIs'!$H$4:$H$503,(_calc!$E$681-500)),"yyyy-mm-dd"),"")))</f>
        <v/>
      </c>
      <c r="C679" s="46">
        <f>IF(_calc!$E$681="","",IF(_calc!$E$681&lt;=500,"Insurance","Certificate of insurance"))</f>
        <v/>
      </c>
      <c r="D679" s="46">
        <f>IF(_calc!$E$681="","",IF(_calc!$E$681&lt;=500,IF(ISNUMBER(INDEX('Our policies'!$I$4:$I$503,_calc!$E$681)),TEXT(INDEX('Our policies'!$I$4:$I$503,_calc!$E$681),"yyyy-mm-dd"),""),""))</f>
        <v/>
      </c>
      <c r="E679" s="46">
        <f>IF(_calc!$E$681="","",IF(_calc!$E$681&lt;=500,IF(LEN(INDEX('Our policies'!$Q$4:$Q$503,_calc!$E$681))=0,"",INDEX('Our policies'!$Q$4:$Q$503,_calc!$E$681)),"Medium"))</f>
        <v/>
      </c>
      <c r="F679" s="46">
        <f>IF(_calc!$E$681="","",IF(_calc!$E$681&lt;=500,TRIM(IF(LEN(IF(LEN(INDEX('Our policies'!$B$4:$B$503,_calc!$E$681))=0,"",INDEX('Our policies'!$B$4:$B$503,_calc!$E$681)))=0,"","Cover: "&amp;IF(LEN(INDEX('Our policies'!$B$4:$B$503,_calc!$E$681))=0,"",INDEX('Our policies'!$B$4:$B$503,_calc!$E$681))&amp;". ")&amp;IF(LEN(IF(LEN(INDEX('Our policies'!$C$4:$C$503,_calc!$E$681))=0,"",INDEX('Our policies'!$C$4:$C$503,_calc!$E$681)))=0,"","Insurer: "&amp;IF(LEN(INDEX('Our policies'!$C$4:$C$503,_calc!$E$681))=0,"",INDEX('Our policies'!$C$4:$C$503,_calc!$E$681))&amp;". ")&amp;IF(LEN(IF(LEN(INDEX('Our policies'!$D$4:$D$503,_calc!$E$681))=0,"",INDEX('Our policies'!$D$4:$D$503,_calc!$E$681)))=0,"","Broker: "&amp;IF(LEN(INDEX('Our policies'!$D$4:$D$503,_calc!$E$681))=0,"",INDEX('Our policies'!$D$4:$D$503,_calc!$E$681))&amp;". ")&amp;IF(LEN(IF(LEN(INDEX('Our policies'!$E$4:$E$503,_calc!$E$681))=0,"",INDEX('Our policies'!$E$4:$E$503,_calc!$E$681)))=0,"","Policy no.: "&amp;IF(LEN(INDEX('Our policies'!$E$4:$E$503,_calc!$E$681))=0,"",INDEX('Our policies'!$E$4:$E$503,_calc!$E$681))&amp;". ")&amp;IF(LEN(IF(LEN(INDEX('Our policies'!$S$4:$S$503,_calc!$E$681))=0,"",INDEX('Our policies'!$S$4:$S$503,_calc!$E$681)))=0,"",IF(LEN(INDEX('Our policies'!$S$4:$S$503,_calc!$E$681))=0,"",INDEX('Our policies'!$S$4:$S$503,_calc!$E$681)))),TRIM(IF(LEN(IF(LEN(INDEX('Vendor COIs'!$C$4:$C$503,(_calc!$E$681-500)))=0,"",INDEX('Vendor COIs'!$C$4:$C$503,(_calc!$E$681-500))))=0,"","Insurer: "&amp;IF(LEN(INDEX('Vendor COIs'!$C$4:$C$503,(_calc!$E$681-500)))=0,"",INDEX('Vendor COIs'!$C$4:$C$503,(_calc!$E$681-500)))&amp;". ")&amp;IF(LEN(IF(LEN(INDEX('Vendor COIs'!$D$4:$D$503,(_calc!$E$681-500)))=0,"",INDEX('Vendor COIs'!$D$4:$D$503,(_calc!$E$681-500))))=0,"","Policy no.: "&amp;IF(LEN(INDEX('Vendor COIs'!$D$4:$D$503,(_calc!$E$681-500)))=0,"",INDEX('Vendor COIs'!$D$4:$D$503,(_calc!$E$681-500)))&amp;". ")&amp;IF(LEN(IF(LEN(INDEX('Vendor COIs'!$F$4:$F$503,(_calc!$E$681-500)))=0,"",INDEX('Vendor COIs'!$F$4:$F$503,(_calc!$E$681-500))))=0,"","Meets minimum: "&amp;IF(LEN(INDEX('Vendor COIs'!$F$4:$F$503,(_calc!$E$681-500)))=0,"",INDEX('Vendor COIs'!$F$4:$F$503,(_calc!$E$681-500)))&amp;". ")&amp;IF(LEN(IF(LEN(INDEX('Vendor COIs'!$G$4:$G$503,(_calc!$E$681-500)))=0,"",INDEX('Vendor COIs'!$G$4:$G$503,(_calc!$E$681-500))))=0,"","Additional insured: "&amp;IF(LEN(INDEX('Vendor COIs'!$G$4:$G$503,(_calc!$E$681-500)))=0,"",INDEX('Vendor COIs'!$G$4:$G$503,(_calc!$E$681-500)))&amp;". ")&amp;IF(LEN(IF(LEN(INDEX('Vendor COIs'!$M$4:$M$503,(_calc!$E$681-500)))=0,"",INDEX('Vendor COIs'!$M$4:$M$503,(_calc!$E$681-500))))=0,"","Vendor contact: "&amp;IF(LEN(INDEX('Vendor COIs'!$M$4:$M$503,(_calc!$E$681-500)))=0,"",INDEX('Vendor COIs'!$M$4:$M$503,(_calc!$E$681-500)))&amp;". ")&amp;IF(LEN(IF(LEN(INDEX('Vendor COIs'!$P$4:$P$503,(_calc!$E$681-500)))=0,"",INDEX('Vendor COIs'!$P$4:$P$503,(_calc!$E$681-500))))=0,"",IF(LEN(INDEX('Vendor COIs'!$P$4:$P$503,(_calc!$E$681-500)))=0,"",INDEX('Vendor COIs'!$P$4:$P$503,(_calc!$E$681-500)))))))</f>
        <v/>
      </c>
      <c r="G679" s="46">
        <f>IF(_calc!$E$681="","",IF(_calc!$E$681&lt;=500,IF(LEN(INDEX('Our policies'!$R$4:$R$503,_calc!$E$681))=0,"",INDEX('Our policies'!$R$4:$R$503,_calc!$E$681)),IF(LEN(INDEX('Vendor COIs'!$O$4:$O$503,(_calc!$E$681-500)))=0,"",INDEX('Vendor COIs'!$O$4:$O$503,(_calc!$E$681-500)))))</f>
        <v/>
      </c>
      <c r="H679" s="46">
        <f>IF(_calc!$E$681="","",IF(_calc!$E$681&lt;=500,IF(LEN(INDEX('Our policies'!$G$4:$G$503,_calc!$E$681))=0,"",INDEX('Our policies'!$G$4:$G$503,_calc!$E$681)),""))</f>
        <v/>
      </c>
      <c r="I679" s="46">
        <f>IF(_calc!$E$681="","",IF(_calc!$E$681&lt;=500,IF(LEN(INDEX('Our policies'!$H$4:$H$503,_calc!$E$681))=0,"",INDEX('Our policies'!$H$4:$H$503,_calc!$E$681)),""))</f>
        <v/>
      </c>
      <c r="K679" s="46">
        <f>IF(_calc!$E$681="","",IF(_calc!$E$681&lt;=500,IF(LEN(INDEX('Our policies'!$P$4:$P$503,_calc!$E$681))=0,"",INDEX('Our policies'!$P$4:$P$503,_calc!$E$681)),IF(LEN(INDEX('Vendor COIs'!$N$4:$N$503,(_calc!$E$681-500)))=0,"",INDEX('Vendor COIs'!$N$4:$N$503,(_calc!$E$681-500)))))</f>
        <v/>
      </c>
    </row>
    <row r="680">
      <c r="A680" s="46">
        <f>IF(_calc!$E$682="","",IF(_calc!$E$682&lt;=500,IF(LEN(INDEX('Our policies'!$A$4:$A$503,_calc!$E$682))=0,"",INDEX('Our policies'!$A$4:$A$503,_calc!$E$682)),"COI – "&amp;IF(LEN(INDEX('Vendor COIs'!$A$4:$A$503,(_calc!$E$682-500)))=0,"",INDEX('Vendor COIs'!$A$4:$A$503,(_calc!$E$682-500)))&amp;" – "&amp;IF(LEN(INDEX('Vendor COIs'!$B$4:$B$503,(_calc!$E$682-500)))=0,"",INDEX('Vendor COIs'!$B$4:$B$503,(_calc!$E$682-500)))))</f>
        <v/>
      </c>
      <c r="B680" s="46">
        <f>IF(_calc!$E$682="","",IF(_calc!$E$682&lt;=500,IF(ISNUMBER(INDEX('Our policies'!$J$4:$J$503,_calc!$E$682)),TEXT(INDEX('Our policies'!$J$4:$J$503,_calc!$E$682),"yyyy-mm-dd"),""),IF(ISNUMBER(INDEX('Vendor COIs'!$H$4:$H$503,(_calc!$E$682-500))),TEXT(INDEX('Vendor COIs'!$H$4:$H$503,(_calc!$E$682-500)),"yyyy-mm-dd"),"")))</f>
        <v/>
      </c>
      <c r="C680" s="46">
        <f>IF(_calc!$E$682="","",IF(_calc!$E$682&lt;=500,"Insurance","Certificate of insurance"))</f>
        <v/>
      </c>
      <c r="D680" s="46">
        <f>IF(_calc!$E$682="","",IF(_calc!$E$682&lt;=500,IF(ISNUMBER(INDEX('Our policies'!$I$4:$I$503,_calc!$E$682)),TEXT(INDEX('Our policies'!$I$4:$I$503,_calc!$E$682),"yyyy-mm-dd"),""),""))</f>
        <v/>
      </c>
      <c r="E680" s="46">
        <f>IF(_calc!$E$682="","",IF(_calc!$E$682&lt;=500,IF(LEN(INDEX('Our policies'!$Q$4:$Q$503,_calc!$E$682))=0,"",INDEX('Our policies'!$Q$4:$Q$503,_calc!$E$682)),"Medium"))</f>
        <v/>
      </c>
      <c r="F680" s="46">
        <f>IF(_calc!$E$682="","",IF(_calc!$E$682&lt;=500,TRIM(IF(LEN(IF(LEN(INDEX('Our policies'!$B$4:$B$503,_calc!$E$682))=0,"",INDEX('Our policies'!$B$4:$B$503,_calc!$E$682)))=0,"","Cover: "&amp;IF(LEN(INDEX('Our policies'!$B$4:$B$503,_calc!$E$682))=0,"",INDEX('Our policies'!$B$4:$B$503,_calc!$E$682))&amp;". ")&amp;IF(LEN(IF(LEN(INDEX('Our policies'!$C$4:$C$503,_calc!$E$682))=0,"",INDEX('Our policies'!$C$4:$C$503,_calc!$E$682)))=0,"","Insurer: "&amp;IF(LEN(INDEX('Our policies'!$C$4:$C$503,_calc!$E$682))=0,"",INDEX('Our policies'!$C$4:$C$503,_calc!$E$682))&amp;". ")&amp;IF(LEN(IF(LEN(INDEX('Our policies'!$D$4:$D$503,_calc!$E$682))=0,"",INDEX('Our policies'!$D$4:$D$503,_calc!$E$682)))=0,"","Broker: "&amp;IF(LEN(INDEX('Our policies'!$D$4:$D$503,_calc!$E$682))=0,"",INDEX('Our policies'!$D$4:$D$503,_calc!$E$682))&amp;". ")&amp;IF(LEN(IF(LEN(INDEX('Our policies'!$E$4:$E$503,_calc!$E$682))=0,"",INDEX('Our policies'!$E$4:$E$503,_calc!$E$682)))=0,"","Policy no.: "&amp;IF(LEN(INDEX('Our policies'!$E$4:$E$503,_calc!$E$682))=0,"",INDEX('Our policies'!$E$4:$E$503,_calc!$E$682))&amp;". ")&amp;IF(LEN(IF(LEN(INDEX('Our policies'!$S$4:$S$503,_calc!$E$682))=0,"",INDEX('Our policies'!$S$4:$S$503,_calc!$E$682)))=0,"",IF(LEN(INDEX('Our policies'!$S$4:$S$503,_calc!$E$682))=0,"",INDEX('Our policies'!$S$4:$S$503,_calc!$E$682)))),TRIM(IF(LEN(IF(LEN(INDEX('Vendor COIs'!$C$4:$C$503,(_calc!$E$682-500)))=0,"",INDEX('Vendor COIs'!$C$4:$C$503,(_calc!$E$682-500))))=0,"","Insurer: "&amp;IF(LEN(INDEX('Vendor COIs'!$C$4:$C$503,(_calc!$E$682-500)))=0,"",INDEX('Vendor COIs'!$C$4:$C$503,(_calc!$E$682-500)))&amp;". ")&amp;IF(LEN(IF(LEN(INDEX('Vendor COIs'!$D$4:$D$503,(_calc!$E$682-500)))=0,"",INDEX('Vendor COIs'!$D$4:$D$503,(_calc!$E$682-500))))=0,"","Policy no.: "&amp;IF(LEN(INDEX('Vendor COIs'!$D$4:$D$503,(_calc!$E$682-500)))=0,"",INDEX('Vendor COIs'!$D$4:$D$503,(_calc!$E$682-500)))&amp;". ")&amp;IF(LEN(IF(LEN(INDEX('Vendor COIs'!$F$4:$F$503,(_calc!$E$682-500)))=0,"",INDEX('Vendor COIs'!$F$4:$F$503,(_calc!$E$682-500))))=0,"","Meets minimum: "&amp;IF(LEN(INDEX('Vendor COIs'!$F$4:$F$503,(_calc!$E$682-500)))=0,"",INDEX('Vendor COIs'!$F$4:$F$503,(_calc!$E$682-500)))&amp;". ")&amp;IF(LEN(IF(LEN(INDEX('Vendor COIs'!$G$4:$G$503,(_calc!$E$682-500)))=0,"",INDEX('Vendor COIs'!$G$4:$G$503,(_calc!$E$682-500))))=0,"","Additional insured: "&amp;IF(LEN(INDEX('Vendor COIs'!$G$4:$G$503,(_calc!$E$682-500)))=0,"",INDEX('Vendor COIs'!$G$4:$G$503,(_calc!$E$682-500)))&amp;". ")&amp;IF(LEN(IF(LEN(INDEX('Vendor COIs'!$M$4:$M$503,(_calc!$E$682-500)))=0,"",INDEX('Vendor COIs'!$M$4:$M$503,(_calc!$E$682-500))))=0,"","Vendor contact: "&amp;IF(LEN(INDEX('Vendor COIs'!$M$4:$M$503,(_calc!$E$682-500)))=0,"",INDEX('Vendor COIs'!$M$4:$M$503,(_calc!$E$682-500)))&amp;". ")&amp;IF(LEN(IF(LEN(INDEX('Vendor COIs'!$P$4:$P$503,(_calc!$E$682-500)))=0,"",INDEX('Vendor COIs'!$P$4:$P$503,(_calc!$E$682-500))))=0,"",IF(LEN(INDEX('Vendor COIs'!$P$4:$P$503,(_calc!$E$682-500)))=0,"",INDEX('Vendor COIs'!$P$4:$P$503,(_calc!$E$682-500)))))))</f>
        <v/>
      </c>
      <c r="G680" s="46">
        <f>IF(_calc!$E$682="","",IF(_calc!$E$682&lt;=500,IF(LEN(INDEX('Our policies'!$R$4:$R$503,_calc!$E$682))=0,"",INDEX('Our policies'!$R$4:$R$503,_calc!$E$682)),IF(LEN(INDEX('Vendor COIs'!$O$4:$O$503,(_calc!$E$682-500)))=0,"",INDEX('Vendor COIs'!$O$4:$O$503,(_calc!$E$682-500)))))</f>
        <v/>
      </c>
      <c r="H680" s="46">
        <f>IF(_calc!$E$682="","",IF(_calc!$E$682&lt;=500,IF(LEN(INDEX('Our policies'!$G$4:$G$503,_calc!$E$682))=0,"",INDEX('Our policies'!$G$4:$G$503,_calc!$E$682)),""))</f>
        <v/>
      </c>
      <c r="I680" s="46">
        <f>IF(_calc!$E$682="","",IF(_calc!$E$682&lt;=500,IF(LEN(INDEX('Our policies'!$H$4:$H$503,_calc!$E$682))=0,"",INDEX('Our policies'!$H$4:$H$503,_calc!$E$682)),""))</f>
        <v/>
      </c>
      <c r="K680" s="46">
        <f>IF(_calc!$E$682="","",IF(_calc!$E$682&lt;=500,IF(LEN(INDEX('Our policies'!$P$4:$P$503,_calc!$E$682))=0,"",INDEX('Our policies'!$P$4:$P$503,_calc!$E$682)),IF(LEN(INDEX('Vendor COIs'!$N$4:$N$503,(_calc!$E$682-500)))=0,"",INDEX('Vendor COIs'!$N$4:$N$503,(_calc!$E$682-500)))))</f>
        <v/>
      </c>
    </row>
    <row r="681">
      <c r="A681" s="46">
        <f>IF(_calc!$E$683="","",IF(_calc!$E$683&lt;=500,IF(LEN(INDEX('Our policies'!$A$4:$A$503,_calc!$E$683))=0,"",INDEX('Our policies'!$A$4:$A$503,_calc!$E$683)),"COI – "&amp;IF(LEN(INDEX('Vendor COIs'!$A$4:$A$503,(_calc!$E$683-500)))=0,"",INDEX('Vendor COIs'!$A$4:$A$503,(_calc!$E$683-500)))&amp;" – "&amp;IF(LEN(INDEX('Vendor COIs'!$B$4:$B$503,(_calc!$E$683-500)))=0,"",INDEX('Vendor COIs'!$B$4:$B$503,(_calc!$E$683-500)))))</f>
        <v/>
      </c>
      <c r="B681" s="46">
        <f>IF(_calc!$E$683="","",IF(_calc!$E$683&lt;=500,IF(ISNUMBER(INDEX('Our policies'!$J$4:$J$503,_calc!$E$683)),TEXT(INDEX('Our policies'!$J$4:$J$503,_calc!$E$683),"yyyy-mm-dd"),""),IF(ISNUMBER(INDEX('Vendor COIs'!$H$4:$H$503,(_calc!$E$683-500))),TEXT(INDEX('Vendor COIs'!$H$4:$H$503,(_calc!$E$683-500)),"yyyy-mm-dd"),"")))</f>
        <v/>
      </c>
      <c r="C681" s="46">
        <f>IF(_calc!$E$683="","",IF(_calc!$E$683&lt;=500,"Insurance","Certificate of insurance"))</f>
        <v/>
      </c>
      <c r="D681" s="46">
        <f>IF(_calc!$E$683="","",IF(_calc!$E$683&lt;=500,IF(ISNUMBER(INDEX('Our policies'!$I$4:$I$503,_calc!$E$683)),TEXT(INDEX('Our policies'!$I$4:$I$503,_calc!$E$683),"yyyy-mm-dd"),""),""))</f>
        <v/>
      </c>
      <c r="E681" s="46">
        <f>IF(_calc!$E$683="","",IF(_calc!$E$683&lt;=500,IF(LEN(INDEX('Our policies'!$Q$4:$Q$503,_calc!$E$683))=0,"",INDEX('Our policies'!$Q$4:$Q$503,_calc!$E$683)),"Medium"))</f>
        <v/>
      </c>
      <c r="F681" s="46">
        <f>IF(_calc!$E$683="","",IF(_calc!$E$683&lt;=500,TRIM(IF(LEN(IF(LEN(INDEX('Our policies'!$B$4:$B$503,_calc!$E$683))=0,"",INDEX('Our policies'!$B$4:$B$503,_calc!$E$683)))=0,"","Cover: "&amp;IF(LEN(INDEX('Our policies'!$B$4:$B$503,_calc!$E$683))=0,"",INDEX('Our policies'!$B$4:$B$503,_calc!$E$683))&amp;". ")&amp;IF(LEN(IF(LEN(INDEX('Our policies'!$C$4:$C$503,_calc!$E$683))=0,"",INDEX('Our policies'!$C$4:$C$503,_calc!$E$683)))=0,"","Insurer: "&amp;IF(LEN(INDEX('Our policies'!$C$4:$C$503,_calc!$E$683))=0,"",INDEX('Our policies'!$C$4:$C$503,_calc!$E$683))&amp;". ")&amp;IF(LEN(IF(LEN(INDEX('Our policies'!$D$4:$D$503,_calc!$E$683))=0,"",INDEX('Our policies'!$D$4:$D$503,_calc!$E$683)))=0,"","Broker: "&amp;IF(LEN(INDEX('Our policies'!$D$4:$D$503,_calc!$E$683))=0,"",INDEX('Our policies'!$D$4:$D$503,_calc!$E$683))&amp;". ")&amp;IF(LEN(IF(LEN(INDEX('Our policies'!$E$4:$E$503,_calc!$E$683))=0,"",INDEX('Our policies'!$E$4:$E$503,_calc!$E$683)))=0,"","Policy no.: "&amp;IF(LEN(INDEX('Our policies'!$E$4:$E$503,_calc!$E$683))=0,"",INDEX('Our policies'!$E$4:$E$503,_calc!$E$683))&amp;". ")&amp;IF(LEN(IF(LEN(INDEX('Our policies'!$S$4:$S$503,_calc!$E$683))=0,"",INDEX('Our policies'!$S$4:$S$503,_calc!$E$683)))=0,"",IF(LEN(INDEX('Our policies'!$S$4:$S$503,_calc!$E$683))=0,"",INDEX('Our policies'!$S$4:$S$503,_calc!$E$683)))),TRIM(IF(LEN(IF(LEN(INDEX('Vendor COIs'!$C$4:$C$503,(_calc!$E$683-500)))=0,"",INDEX('Vendor COIs'!$C$4:$C$503,(_calc!$E$683-500))))=0,"","Insurer: "&amp;IF(LEN(INDEX('Vendor COIs'!$C$4:$C$503,(_calc!$E$683-500)))=0,"",INDEX('Vendor COIs'!$C$4:$C$503,(_calc!$E$683-500)))&amp;". ")&amp;IF(LEN(IF(LEN(INDEX('Vendor COIs'!$D$4:$D$503,(_calc!$E$683-500)))=0,"",INDEX('Vendor COIs'!$D$4:$D$503,(_calc!$E$683-500))))=0,"","Policy no.: "&amp;IF(LEN(INDEX('Vendor COIs'!$D$4:$D$503,(_calc!$E$683-500)))=0,"",INDEX('Vendor COIs'!$D$4:$D$503,(_calc!$E$683-500)))&amp;". ")&amp;IF(LEN(IF(LEN(INDEX('Vendor COIs'!$F$4:$F$503,(_calc!$E$683-500)))=0,"",INDEX('Vendor COIs'!$F$4:$F$503,(_calc!$E$683-500))))=0,"","Meets minimum: "&amp;IF(LEN(INDEX('Vendor COIs'!$F$4:$F$503,(_calc!$E$683-500)))=0,"",INDEX('Vendor COIs'!$F$4:$F$503,(_calc!$E$683-500)))&amp;". ")&amp;IF(LEN(IF(LEN(INDEX('Vendor COIs'!$G$4:$G$503,(_calc!$E$683-500)))=0,"",INDEX('Vendor COIs'!$G$4:$G$503,(_calc!$E$683-500))))=0,"","Additional insured: "&amp;IF(LEN(INDEX('Vendor COIs'!$G$4:$G$503,(_calc!$E$683-500)))=0,"",INDEX('Vendor COIs'!$G$4:$G$503,(_calc!$E$683-500)))&amp;". ")&amp;IF(LEN(IF(LEN(INDEX('Vendor COIs'!$M$4:$M$503,(_calc!$E$683-500)))=0,"",INDEX('Vendor COIs'!$M$4:$M$503,(_calc!$E$683-500))))=0,"","Vendor contact: "&amp;IF(LEN(INDEX('Vendor COIs'!$M$4:$M$503,(_calc!$E$683-500)))=0,"",INDEX('Vendor COIs'!$M$4:$M$503,(_calc!$E$683-500)))&amp;". ")&amp;IF(LEN(IF(LEN(INDEX('Vendor COIs'!$P$4:$P$503,(_calc!$E$683-500)))=0,"",INDEX('Vendor COIs'!$P$4:$P$503,(_calc!$E$683-500))))=0,"",IF(LEN(INDEX('Vendor COIs'!$P$4:$P$503,(_calc!$E$683-500)))=0,"",INDEX('Vendor COIs'!$P$4:$P$503,(_calc!$E$683-500)))))))</f>
        <v/>
      </c>
      <c r="G681" s="46">
        <f>IF(_calc!$E$683="","",IF(_calc!$E$683&lt;=500,IF(LEN(INDEX('Our policies'!$R$4:$R$503,_calc!$E$683))=0,"",INDEX('Our policies'!$R$4:$R$503,_calc!$E$683)),IF(LEN(INDEX('Vendor COIs'!$O$4:$O$503,(_calc!$E$683-500)))=0,"",INDEX('Vendor COIs'!$O$4:$O$503,(_calc!$E$683-500)))))</f>
        <v/>
      </c>
      <c r="H681" s="46">
        <f>IF(_calc!$E$683="","",IF(_calc!$E$683&lt;=500,IF(LEN(INDEX('Our policies'!$G$4:$G$503,_calc!$E$683))=0,"",INDEX('Our policies'!$G$4:$G$503,_calc!$E$683)),""))</f>
        <v/>
      </c>
      <c r="I681" s="46">
        <f>IF(_calc!$E$683="","",IF(_calc!$E$683&lt;=500,IF(LEN(INDEX('Our policies'!$H$4:$H$503,_calc!$E$683))=0,"",INDEX('Our policies'!$H$4:$H$503,_calc!$E$683)),""))</f>
        <v/>
      </c>
      <c r="K681" s="46">
        <f>IF(_calc!$E$683="","",IF(_calc!$E$683&lt;=500,IF(LEN(INDEX('Our policies'!$P$4:$P$503,_calc!$E$683))=0,"",INDEX('Our policies'!$P$4:$P$503,_calc!$E$683)),IF(LEN(INDEX('Vendor COIs'!$N$4:$N$503,(_calc!$E$683-500)))=0,"",INDEX('Vendor COIs'!$N$4:$N$503,(_calc!$E$683-500)))))</f>
        <v/>
      </c>
    </row>
    <row r="682">
      <c r="A682" s="46">
        <f>IF(_calc!$E$684="","",IF(_calc!$E$684&lt;=500,IF(LEN(INDEX('Our policies'!$A$4:$A$503,_calc!$E$684))=0,"",INDEX('Our policies'!$A$4:$A$503,_calc!$E$684)),"COI – "&amp;IF(LEN(INDEX('Vendor COIs'!$A$4:$A$503,(_calc!$E$684-500)))=0,"",INDEX('Vendor COIs'!$A$4:$A$503,(_calc!$E$684-500)))&amp;" – "&amp;IF(LEN(INDEX('Vendor COIs'!$B$4:$B$503,(_calc!$E$684-500)))=0,"",INDEX('Vendor COIs'!$B$4:$B$503,(_calc!$E$684-500)))))</f>
        <v/>
      </c>
      <c r="B682" s="46">
        <f>IF(_calc!$E$684="","",IF(_calc!$E$684&lt;=500,IF(ISNUMBER(INDEX('Our policies'!$J$4:$J$503,_calc!$E$684)),TEXT(INDEX('Our policies'!$J$4:$J$503,_calc!$E$684),"yyyy-mm-dd"),""),IF(ISNUMBER(INDEX('Vendor COIs'!$H$4:$H$503,(_calc!$E$684-500))),TEXT(INDEX('Vendor COIs'!$H$4:$H$503,(_calc!$E$684-500)),"yyyy-mm-dd"),"")))</f>
        <v/>
      </c>
      <c r="C682" s="46">
        <f>IF(_calc!$E$684="","",IF(_calc!$E$684&lt;=500,"Insurance","Certificate of insurance"))</f>
        <v/>
      </c>
      <c r="D682" s="46">
        <f>IF(_calc!$E$684="","",IF(_calc!$E$684&lt;=500,IF(ISNUMBER(INDEX('Our policies'!$I$4:$I$503,_calc!$E$684)),TEXT(INDEX('Our policies'!$I$4:$I$503,_calc!$E$684),"yyyy-mm-dd"),""),""))</f>
        <v/>
      </c>
      <c r="E682" s="46">
        <f>IF(_calc!$E$684="","",IF(_calc!$E$684&lt;=500,IF(LEN(INDEX('Our policies'!$Q$4:$Q$503,_calc!$E$684))=0,"",INDEX('Our policies'!$Q$4:$Q$503,_calc!$E$684)),"Medium"))</f>
        <v/>
      </c>
      <c r="F682" s="46">
        <f>IF(_calc!$E$684="","",IF(_calc!$E$684&lt;=500,TRIM(IF(LEN(IF(LEN(INDEX('Our policies'!$B$4:$B$503,_calc!$E$684))=0,"",INDEX('Our policies'!$B$4:$B$503,_calc!$E$684)))=0,"","Cover: "&amp;IF(LEN(INDEX('Our policies'!$B$4:$B$503,_calc!$E$684))=0,"",INDEX('Our policies'!$B$4:$B$503,_calc!$E$684))&amp;". ")&amp;IF(LEN(IF(LEN(INDEX('Our policies'!$C$4:$C$503,_calc!$E$684))=0,"",INDEX('Our policies'!$C$4:$C$503,_calc!$E$684)))=0,"","Insurer: "&amp;IF(LEN(INDEX('Our policies'!$C$4:$C$503,_calc!$E$684))=0,"",INDEX('Our policies'!$C$4:$C$503,_calc!$E$684))&amp;". ")&amp;IF(LEN(IF(LEN(INDEX('Our policies'!$D$4:$D$503,_calc!$E$684))=0,"",INDEX('Our policies'!$D$4:$D$503,_calc!$E$684)))=0,"","Broker: "&amp;IF(LEN(INDEX('Our policies'!$D$4:$D$503,_calc!$E$684))=0,"",INDEX('Our policies'!$D$4:$D$503,_calc!$E$684))&amp;". ")&amp;IF(LEN(IF(LEN(INDEX('Our policies'!$E$4:$E$503,_calc!$E$684))=0,"",INDEX('Our policies'!$E$4:$E$503,_calc!$E$684)))=0,"","Policy no.: "&amp;IF(LEN(INDEX('Our policies'!$E$4:$E$503,_calc!$E$684))=0,"",INDEX('Our policies'!$E$4:$E$503,_calc!$E$684))&amp;". ")&amp;IF(LEN(IF(LEN(INDEX('Our policies'!$S$4:$S$503,_calc!$E$684))=0,"",INDEX('Our policies'!$S$4:$S$503,_calc!$E$684)))=0,"",IF(LEN(INDEX('Our policies'!$S$4:$S$503,_calc!$E$684))=0,"",INDEX('Our policies'!$S$4:$S$503,_calc!$E$684)))),TRIM(IF(LEN(IF(LEN(INDEX('Vendor COIs'!$C$4:$C$503,(_calc!$E$684-500)))=0,"",INDEX('Vendor COIs'!$C$4:$C$503,(_calc!$E$684-500))))=0,"","Insurer: "&amp;IF(LEN(INDEX('Vendor COIs'!$C$4:$C$503,(_calc!$E$684-500)))=0,"",INDEX('Vendor COIs'!$C$4:$C$503,(_calc!$E$684-500)))&amp;". ")&amp;IF(LEN(IF(LEN(INDEX('Vendor COIs'!$D$4:$D$503,(_calc!$E$684-500)))=0,"",INDEX('Vendor COIs'!$D$4:$D$503,(_calc!$E$684-500))))=0,"","Policy no.: "&amp;IF(LEN(INDEX('Vendor COIs'!$D$4:$D$503,(_calc!$E$684-500)))=0,"",INDEX('Vendor COIs'!$D$4:$D$503,(_calc!$E$684-500)))&amp;". ")&amp;IF(LEN(IF(LEN(INDEX('Vendor COIs'!$F$4:$F$503,(_calc!$E$684-500)))=0,"",INDEX('Vendor COIs'!$F$4:$F$503,(_calc!$E$684-500))))=0,"","Meets minimum: "&amp;IF(LEN(INDEX('Vendor COIs'!$F$4:$F$503,(_calc!$E$684-500)))=0,"",INDEX('Vendor COIs'!$F$4:$F$503,(_calc!$E$684-500)))&amp;". ")&amp;IF(LEN(IF(LEN(INDEX('Vendor COIs'!$G$4:$G$503,(_calc!$E$684-500)))=0,"",INDEX('Vendor COIs'!$G$4:$G$503,(_calc!$E$684-500))))=0,"","Additional insured: "&amp;IF(LEN(INDEX('Vendor COIs'!$G$4:$G$503,(_calc!$E$684-500)))=0,"",INDEX('Vendor COIs'!$G$4:$G$503,(_calc!$E$684-500)))&amp;". ")&amp;IF(LEN(IF(LEN(INDEX('Vendor COIs'!$M$4:$M$503,(_calc!$E$684-500)))=0,"",INDEX('Vendor COIs'!$M$4:$M$503,(_calc!$E$684-500))))=0,"","Vendor contact: "&amp;IF(LEN(INDEX('Vendor COIs'!$M$4:$M$503,(_calc!$E$684-500)))=0,"",INDEX('Vendor COIs'!$M$4:$M$503,(_calc!$E$684-500)))&amp;". ")&amp;IF(LEN(IF(LEN(INDEX('Vendor COIs'!$P$4:$P$503,(_calc!$E$684-500)))=0,"",INDEX('Vendor COIs'!$P$4:$P$503,(_calc!$E$684-500))))=0,"",IF(LEN(INDEX('Vendor COIs'!$P$4:$P$503,(_calc!$E$684-500)))=0,"",INDEX('Vendor COIs'!$P$4:$P$503,(_calc!$E$684-500)))))))</f>
        <v/>
      </c>
      <c r="G682" s="46">
        <f>IF(_calc!$E$684="","",IF(_calc!$E$684&lt;=500,IF(LEN(INDEX('Our policies'!$R$4:$R$503,_calc!$E$684))=0,"",INDEX('Our policies'!$R$4:$R$503,_calc!$E$684)),IF(LEN(INDEX('Vendor COIs'!$O$4:$O$503,(_calc!$E$684-500)))=0,"",INDEX('Vendor COIs'!$O$4:$O$503,(_calc!$E$684-500)))))</f>
        <v/>
      </c>
      <c r="H682" s="46">
        <f>IF(_calc!$E$684="","",IF(_calc!$E$684&lt;=500,IF(LEN(INDEX('Our policies'!$G$4:$G$503,_calc!$E$684))=0,"",INDEX('Our policies'!$G$4:$G$503,_calc!$E$684)),""))</f>
        <v/>
      </c>
      <c r="I682" s="46">
        <f>IF(_calc!$E$684="","",IF(_calc!$E$684&lt;=500,IF(LEN(INDEX('Our policies'!$H$4:$H$503,_calc!$E$684))=0,"",INDEX('Our policies'!$H$4:$H$503,_calc!$E$684)),""))</f>
        <v/>
      </c>
      <c r="K682" s="46">
        <f>IF(_calc!$E$684="","",IF(_calc!$E$684&lt;=500,IF(LEN(INDEX('Our policies'!$P$4:$P$503,_calc!$E$684))=0,"",INDEX('Our policies'!$P$4:$P$503,_calc!$E$684)),IF(LEN(INDEX('Vendor COIs'!$N$4:$N$503,(_calc!$E$684-500)))=0,"",INDEX('Vendor COIs'!$N$4:$N$503,(_calc!$E$684-500)))))</f>
        <v/>
      </c>
    </row>
    <row r="683">
      <c r="A683" s="46">
        <f>IF(_calc!$E$685="","",IF(_calc!$E$685&lt;=500,IF(LEN(INDEX('Our policies'!$A$4:$A$503,_calc!$E$685))=0,"",INDEX('Our policies'!$A$4:$A$503,_calc!$E$685)),"COI – "&amp;IF(LEN(INDEX('Vendor COIs'!$A$4:$A$503,(_calc!$E$685-500)))=0,"",INDEX('Vendor COIs'!$A$4:$A$503,(_calc!$E$685-500)))&amp;" – "&amp;IF(LEN(INDEX('Vendor COIs'!$B$4:$B$503,(_calc!$E$685-500)))=0,"",INDEX('Vendor COIs'!$B$4:$B$503,(_calc!$E$685-500)))))</f>
        <v/>
      </c>
      <c r="B683" s="46">
        <f>IF(_calc!$E$685="","",IF(_calc!$E$685&lt;=500,IF(ISNUMBER(INDEX('Our policies'!$J$4:$J$503,_calc!$E$685)),TEXT(INDEX('Our policies'!$J$4:$J$503,_calc!$E$685),"yyyy-mm-dd"),""),IF(ISNUMBER(INDEX('Vendor COIs'!$H$4:$H$503,(_calc!$E$685-500))),TEXT(INDEX('Vendor COIs'!$H$4:$H$503,(_calc!$E$685-500)),"yyyy-mm-dd"),"")))</f>
        <v/>
      </c>
      <c r="C683" s="46">
        <f>IF(_calc!$E$685="","",IF(_calc!$E$685&lt;=500,"Insurance","Certificate of insurance"))</f>
        <v/>
      </c>
      <c r="D683" s="46">
        <f>IF(_calc!$E$685="","",IF(_calc!$E$685&lt;=500,IF(ISNUMBER(INDEX('Our policies'!$I$4:$I$503,_calc!$E$685)),TEXT(INDEX('Our policies'!$I$4:$I$503,_calc!$E$685),"yyyy-mm-dd"),""),""))</f>
        <v/>
      </c>
      <c r="E683" s="46">
        <f>IF(_calc!$E$685="","",IF(_calc!$E$685&lt;=500,IF(LEN(INDEX('Our policies'!$Q$4:$Q$503,_calc!$E$685))=0,"",INDEX('Our policies'!$Q$4:$Q$503,_calc!$E$685)),"Medium"))</f>
        <v/>
      </c>
      <c r="F683" s="46">
        <f>IF(_calc!$E$685="","",IF(_calc!$E$685&lt;=500,TRIM(IF(LEN(IF(LEN(INDEX('Our policies'!$B$4:$B$503,_calc!$E$685))=0,"",INDEX('Our policies'!$B$4:$B$503,_calc!$E$685)))=0,"","Cover: "&amp;IF(LEN(INDEX('Our policies'!$B$4:$B$503,_calc!$E$685))=0,"",INDEX('Our policies'!$B$4:$B$503,_calc!$E$685))&amp;". ")&amp;IF(LEN(IF(LEN(INDEX('Our policies'!$C$4:$C$503,_calc!$E$685))=0,"",INDEX('Our policies'!$C$4:$C$503,_calc!$E$685)))=0,"","Insurer: "&amp;IF(LEN(INDEX('Our policies'!$C$4:$C$503,_calc!$E$685))=0,"",INDEX('Our policies'!$C$4:$C$503,_calc!$E$685))&amp;". ")&amp;IF(LEN(IF(LEN(INDEX('Our policies'!$D$4:$D$503,_calc!$E$685))=0,"",INDEX('Our policies'!$D$4:$D$503,_calc!$E$685)))=0,"","Broker: "&amp;IF(LEN(INDEX('Our policies'!$D$4:$D$503,_calc!$E$685))=0,"",INDEX('Our policies'!$D$4:$D$503,_calc!$E$685))&amp;". ")&amp;IF(LEN(IF(LEN(INDEX('Our policies'!$E$4:$E$503,_calc!$E$685))=0,"",INDEX('Our policies'!$E$4:$E$503,_calc!$E$685)))=0,"","Policy no.: "&amp;IF(LEN(INDEX('Our policies'!$E$4:$E$503,_calc!$E$685))=0,"",INDEX('Our policies'!$E$4:$E$503,_calc!$E$685))&amp;". ")&amp;IF(LEN(IF(LEN(INDEX('Our policies'!$S$4:$S$503,_calc!$E$685))=0,"",INDEX('Our policies'!$S$4:$S$503,_calc!$E$685)))=0,"",IF(LEN(INDEX('Our policies'!$S$4:$S$503,_calc!$E$685))=0,"",INDEX('Our policies'!$S$4:$S$503,_calc!$E$685)))),TRIM(IF(LEN(IF(LEN(INDEX('Vendor COIs'!$C$4:$C$503,(_calc!$E$685-500)))=0,"",INDEX('Vendor COIs'!$C$4:$C$503,(_calc!$E$685-500))))=0,"","Insurer: "&amp;IF(LEN(INDEX('Vendor COIs'!$C$4:$C$503,(_calc!$E$685-500)))=0,"",INDEX('Vendor COIs'!$C$4:$C$503,(_calc!$E$685-500)))&amp;". ")&amp;IF(LEN(IF(LEN(INDEX('Vendor COIs'!$D$4:$D$503,(_calc!$E$685-500)))=0,"",INDEX('Vendor COIs'!$D$4:$D$503,(_calc!$E$685-500))))=0,"","Policy no.: "&amp;IF(LEN(INDEX('Vendor COIs'!$D$4:$D$503,(_calc!$E$685-500)))=0,"",INDEX('Vendor COIs'!$D$4:$D$503,(_calc!$E$685-500)))&amp;". ")&amp;IF(LEN(IF(LEN(INDEX('Vendor COIs'!$F$4:$F$503,(_calc!$E$685-500)))=0,"",INDEX('Vendor COIs'!$F$4:$F$503,(_calc!$E$685-500))))=0,"","Meets minimum: "&amp;IF(LEN(INDEX('Vendor COIs'!$F$4:$F$503,(_calc!$E$685-500)))=0,"",INDEX('Vendor COIs'!$F$4:$F$503,(_calc!$E$685-500)))&amp;". ")&amp;IF(LEN(IF(LEN(INDEX('Vendor COIs'!$G$4:$G$503,(_calc!$E$685-500)))=0,"",INDEX('Vendor COIs'!$G$4:$G$503,(_calc!$E$685-500))))=0,"","Additional insured: "&amp;IF(LEN(INDEX('Vendor COIs'!$G$4:$G$503,(_calc!$E$685-500)))=0,"",INDEX('Vendor COIs'!$G$4:$G$503,(_calc!$E$685-500)))&amp;". ")&amp;IF(LEN(IF(LEN(INDEX('Vendor COIs'!$M$4:$M$503,(_calc!$E$685-500)))=0,"",INDEX('Vendor COIs'!$M$4:$M$503,(_calc!$E$685-500))))=0,"","Vendor contact: "&amp;IF(LEN(INDEX('Vendor COIs'!$M$4:$M$503,(_calc!$E$685-500)))=0,"",INDEX('Vendor COIs'!$M$4:$M$503,(_calc!$E$685-500)))&amp;". ")&amp;IF(LEN(IF(LEN(INDEX('Vendor COIs'!$P$4:$P$503,(_calc!$E$685-500)))=0,"",INDEX('Vendor COIs'!$P$4:$P$503,(_calc!$E$685-500))))=0,"",IF(LEN(INDEX('Vendor COIs'!$P$4:$P$503,(_calc!$E$685-500)))=0,"",INDEX('Vendor COIs'!$P$4:$P$503,(_calc!$E$685-500)))))))</f>
        <v/>
      </c>
      <c r="G683" s="46">
        <f>IF(_calc!$E$685="","",IF(_calc!$E$685&lt;=500,IF(LEN(INDEX('Our policies'!$R$4:$R$503,_calc!$E$685))=0,"",INDEX('Our policies'!$R$4:$R$503,_calc!$E$685)),IF(LEN(INDEX('Vendor COIs'!$O$4:$O$503,(_calc!$E$685-500)))=0,"",INDEX('Vendor COIs'!$O$4:$O$503,(_calc!$E$685-500)))))</f>
        <v/>
      </c>
      <c r="H683" s="46">
        <f>IF(_calc!$E$685="","",IF(_calc!$E$685&lt;=500,IF(LEN(INDEX('Our policies'!$G$4:$G$503,_calc!$E$685))=0,"",INDEX('Our policies'!$G$4:$G$503,_calc!$E$685)),""))</f>
        <v/>
      </c>
      <c r="I683" s="46">
        <f>IF(_calc!$E$685="","",IF(_calc!$E$685&lt;=500,IF(LEN(INDEX('Our policies'!$H$4:$H$503,_calc!$E$685))=0,"",INDEX('Our policies'!$H$4:$H$503,_calc!$E$685)),""))</f>
        <v/>
      </c>
      <c r="K683" s="46">
        <f>IF(_calc!$E$685="","",IF(_calc!$E$685&lt;=500,IF(LEN(INDEX('Our policies'!$P$4:$P$503,_calc!$E$685))=0,"",INDEX('Our policies'!$P$4:$P$503,_calc!$E$685)),IF(LEN(INDEX('Vendor COIs'!$N$4:$N$503,(_calc!$E$685-500)))=0,"",INDEX('Vendor COIs'!$N$4:$N$503,(_calc!$E$685-500)))))</f>
        <v/>
      </c>
    </row>
    <row r="684">
      <c r="A684" s="46">
        <f>IF(_calc!$E$686="","",IF(_calc!$E$686&lt;=500,IF(LEN(INDEX('Our policies'!$A$4:$A$503,_calc!$E$686))=0,"",INDEX('Our policies'!$A$4:$A$503,_calc!$E$686)),"COI – "&amp;IF(LEN(INDEX('Vendor COIs'!$A$4:$A$503,(_calc!$E$686-500)))=0,"",INDEX('Vendor COIs'!$A$4:$A$503,(_calc!$E$686-500)))&amp;" – "&amp;IF(LEN(INDEX('Vendor COIs'!$B$4:$B$503,(_calc!$E$686-500)))=0,"",INDEX('Vendor COIs'!$B$4:$B$503,(_calc!$E$686-500)))))</f>
        <v/>
      </c>
      <c r="B684" s="46">
        <f>IF(_calc!$E$686="","",IF(_calc!$E$686&lt;=500,IF(ISNUMBER(INDEX('Our policies'!$J$4:$J$503,_calc!$E$686)),TEXT(INDEX('Our policies'!$J$4:$J$503,_calc!$E$686),"yyyy-mm-dd"),""),IF(ISNUMBER(INDEX('Vendor COIs'!$H$4:$H$503,(_calc!$E$686-500))),TEXT(INDEX('Vendor COIs'!$H$4:$H$503,(_calc!$E$686-500)),"yyyy-mm-dd"),"")))</f>
        <v/>
      </c>
      <c r="C684" s="46">
        <f>IF(_calc!$E$686="","",IF(_calc!$E$686&lt;=500,"Insurance","Certificate of insurance"))</f>
        <v/>
      </c>
      <c r="D684" s="46">
        <f>IF(_calc!$E$686="","",IF(_calc!$E$686&lt;=500,IF(ISNUMBER(INDEX('Our policies'!$I$4:$I$503,_calc!$E$686)),TEXT(INDEX('Our policies'!$I$4:$I$503,_calc!$E$686),"yyyy-mm-dd"),""),""))</f>
        <v/>
      </c>
      <c r="E684" s="46">
        <f>IF(_calc!$E$686="","",IF(_calc!$E$686&lt;=500,IF(LEN(INDEX('Our policies'!$Q$4:$Q$503,_calc!$E$686))=0,"",INDEX('Our policies'!$Q$4:$Q$503,_calc!$E$686)),"Medium"))</f>
        <v/>
      </c>
      <c r="F684" s="46">
        <f>IF(_calc!$E$686="","",IF(_calc!$E$686&lt;=500,TRIM(IF(LEN(IF(LEN(INDEX('Our policies'!$B$4:$B$503,_calc!$E$686))=0,"",INDEX('Our policies'!$B$4:$B$503,_calc!$E$686)))=0,"","Cover: "&amp;IF(LEN(INDEX('Our policies'!$B$4:$B$503,_calc!$E$686))=0,"",INDEX('Our policies'!$B$4:$B$503,_calc!$E$686))&amp;". ")&amp;IF(LEN(IF(LEN(INDEX('Our policies'!$C$4:$C$503,_calc!$E$686))=0,"",INDEX('Our policies'!$C$4:$C$503,_calc!$E$686)))=0,"","Insurer: "&amp;IF(LEN(INDEX('Our policies'!$C$4:$C$503,_calc!$E$686))=0,"",INDEX('Our policies'!$C$4:$C$503,_calc!$E$686))&amp;". ")&amp;IF(LEN(IF(LEN(INDEX('Our policies'!$D$4:$D$503,_calc!$E$686))=0,"",INDEX('Our policies'!$D$4:$D$503,_calc!$E$686)))=0,"","Broker: "&amp;IF(LEN(INDEX('Our policies'!$D$4:$D$503,_calc!$E$686))=0,"",INDEX('Our policies'!$D$4:$D$503,_calc!$E$686))&amp;". ")&amp;IF(LEN(IF(LEN(INDEX('Our policies'!$E$4:$E$503,_calc!$E$686))=0,"",INDEX('Our policies'!$E$4:$E$503,_calc!$E$686)))=0,"","Policy no.: "&amp;IF(LEN(INDEX('Our policies'!$E$4:$E$503,_calc!$E$686))=0,"",INDEX('Our policies'!$E$4:$E$503,_calc!$E$686))&amp;". ")&amp;IF(LEN(IF(LEN(INDEX('Our policies'!$S$4:$S$503,_calc!$E$686))=0,"",INDEX('Our policies'!$S$4:$S$503,_calc!$E$686)))=0,"",IF(LEN(INDEX('Our policies'!$S$4:$S$503,_calc!$E$686))=0,"",INDEX('Our policies'!$S$4:$S$503,_calc!$E$686)))),TRIM(IF(LEN(IF(LEN(INDEX('Vendor COIs'!$C$4:$C$503,(_calc!$E$686-500)))=0,"",INDEX('Vendor COIs'!$C$4:$C$503,(_calc!$E$686-500))))=0,"","Insurer: "&amp;IF(LEN(INDEX('Vendor COIs'!$C$4:$C$503,(_calc!$E$686-500)))=0,"",INDEX('Vendor COIs'!$C$4:$C$503,(_calc!$E$686-500)))&amp;". ")&amp;IF(LEN(IF(LEN(INDEX('Vendor COIs'!$D$4:$D$503,(_calc!$E$686-500)))=0,"",INDEX('Vendor COIs'!$D$4:$D$503,(_calc!$E$686-500))))=0,"","Policy no.: "&amp;IF(LEN(INDEX('Vendor COIs'!$D$4:$D$503,(_calc!$E$686-500)))=0,"",INDEX('Vendor COIs'!$D$4:$D$503,(_calc!$E$686-500)))&amp;". ")&amp;IF(LEN(IF(LEN(INDEX('Vendor COIs'!$F$4:$F$503,(_calc!$E$686-500)))=0,"",INDEX('Vendor COIs'!$F$4:$F$503,(_calc!$E$686-500))))=0,"","Meets minimum: "&amp;IF(LEN(INDEX('Vendor COIs'!$F$4:$F$503,(_calc!$E$686-500)))=0,"",INDEX('Vendor COIs'!$F$4:$F$503,(_calc!$E$686-500)))&amp;". ")&amp;IF(LEN(IF(LEN(INDEX('Vendor COIs'!$G$4:$G$503,(_calc!$E$686-500)))=0,"",INDEX('Vendor COIs'!$G$4:$G$503,(_calc!$E$686-500))))=0,"","Additional insured: "&amp;IF(LEN(INDEX('Vendor COIs'!$G$4:$G$503,(_calc!$E$686-500)))=0,"",INDEX('Vendor COIs'!$G$4:$G$503,(_calc!$E$686-500)))&amp;". ")&amp;IF(LEN(IF(LEN(INDEX('Vendor COIs'!$M$4:$M$503,(_calc!$E$686-500)))=0,"",INDEX('Vendor COIs'!$M$4:$M$503,(_calc!$E$686-500))))=0,"","Vendor contact: "&amp;IF(LEN(INDEX('Vendor COIs'!$M$4:$M$503,(_calc!$E$686-500)))=0,"",INDEX('Vendor COIs'!$M$4:$M$503,(_calc!$E$686-500)))&amp;". ")&amp;IF(LEN(IF(LEN(INDEX('Vendor COIs'!$P$4:$P$503,(_calc!$E$686-500)))=0,"",INDEX('Vendor COIs'!$P$4:$P$503,(_calc!$E$686-500))))=0,"",IF(LEN(INDEX('Vendor COIs'!$P$4:$P$503,(_calc!$E$686-500)))=0,"",INDEX('Vendor COIs'!$P$4:$P$503,(_calc!$E$686-500)))))))</f>
        <v/>
      </c>
      <c r="G684" s="46">
        <f>IF(_calc!$E$686="","",IF(_calc!$E$686&lt;=500,IF(LEN(INDEX('Our policies'!$R$4:$R$503,_calc!$E$686))=0,"",INDEX('Our policies'!$R$4:$R$503,_calc!$E$686)),IF(LEN(INDEX('Vendor COIs'!$O$4:$O$503,(_calc!$E$686-500)))=0,"",INDEX('Vendor COIs'!$O$4:$O$503,(_calc!$E$686-500)))))</f>
        <v/>
      </c>
      <c r="H684" s="46">
        <f>IF(_calc!$E$686="","",IF(_calc!$E$686&lt;=500,IF(LEN(INDEX('Our policies'!$G$4:$G$503,_calc!$E$686))=0,"",INDEX('Our policies'!$G$4:$G$503,_calc!$E$686)),""))</f>
        <v/>
      </c>
      <c r="I684" s="46">
        <f>IF(_calc!$E$686="","",IF(_calc!$E$686&lt;=500,IF(LEN(INDEX('Our policies'!$H$4:$H$503,_calc!$E$686))=0,"",INDEX('Our policies'!$H$4:$H$503,_calc!$E$686)),""))</f>
        <v/>
      </c>
      <c r="K684" s="46">
        <f>IF(_calc!$E$686="","",IF(_calc!$E$686&lt;=500,IF(LEN(INDEX('Our policies'!$P$4:$P$503,_calc!$E$686))=0,"",INDEX('Our policies'!$P$4:$P$503,_calc!$E$686)),IF(LEN(INDEX('Vendor COIs'!$N$4:$N$503,(_calc!$E$686-500)))=0,"",INDEX('Vendor COIs'!$N$4:$N$503,(_calc!$E$686-500)))))</f>
        <v/>
      </c>
    </row>
    <row r="685">
      <c r="A685" s="46">
        <f>IF(_calc!$E$687="","",IF(_calc!$E$687&lt;=500,IF(LEN(INDEX('Our policies'!$A$4:$A$503,_calc!$E$687))=0,"",INDEX('Our policies'!$A$4:$A$503,_calc!$E$687)),"COI – "&amp;IF(LEN(INDEX('Vendor COIs'!$A$4:$A$503,(_calc!$E$687-500)))=0,"",INDEX('Vendor COIs'!$A$4:$A$503,(_calc!$E$687-500)))&amp;" – "&amp;IF(LEN(INDEX('Vendor COIs'!$B$4:$B$503,(_calc!$E$687-500)))=0,"",INDEX('Vendor COIs'!$B$4:$B$503,(_calc!$E$687-500)))))</f>
        <v/>
      </c>
      <c r="B685" s="46">
        <f>IF(_calc!$E$687="","",IF(_calc!$E$687&lt;=500,IF(ISNUMBER(INDEX('Our policies'!$J$4:$J$503,_calc!$E$687)),TEXT(INDEX('Our policies'!$J$4:$J$503,_calc!$E$687),"yyyy-mm-dd"),""),IF(ISNUMBER(INDEX('Vendor COIs'!$H$4:$H$503,(_calc!$E$687-500))),TEXT(INDEX('Vendor COIs'!$H$4:$H$503,(_calc!$E$687-500)),"yyyy-mm-dd"),"")))</f>
        <v/>
      </c>
      <c r="C685" s="46">
        <f>IF(_calc!$E$687="","",IF(_calc!$E$687&lt;=500,"Insurance","Certificate of insurance"))</f>
        <v/>
      </c>
      <c r="D685" s="46">
        <f>IF(_calc!$E$687="","",IF(_calc!$E$687&lt;=500,IF(ISNUMBER(INDEX('Our policies'!$I$4:$I$503,_calc!$E$687)),TEXT(INDEX('Our policies'!$I$4:$I$503,_calc!$E$687),"yyyy-mm-dd"),""),""))</f>
        <v/>
      </c>
      <c r="E685" s="46">
        <f>IF(_calc!$E$687="","",IF(_calc!$E$687&lt;=500,IF(LEN(INDEX('Our policies'!$Q$4:$Q$503,_calc!$E$687))=0,"",INDEX('Our policies'!$Q$4:$Q$503,_calc!$E$687)),"Medium"))</f>
        <v/>
      </c>
      <c r="F685" s="46">
        <f>IF(_calc!$E$687="","",IF(_calc!$E$687&lt;=500,TRIM(IF(LEN(IF(LEN(INDEX('Our policies'!$B$4:$B$503,_calc!$E$687))=0,"",INDEX('Our policies'!$B$4:$B$503,_calc!$E$687)))=0,"","Cover: "&amp;IF(LEN(INDEX('Our policies'!$B$4:$B$503,_calc!$E$687))=0,"",INDEX('Our policies'!$B$4:$B$503,_calc!$E$687))&amp;". ")&amp;IF(LEN(IF(LEN(INDEX('Our policies'!$C$4:$C$503,_calc!$E$687))=0,"",INDEX('Our policies'!$C$4:$C$503,_calc!$E$687)))=0,"","Insurer: "&amp;IF(LEN(INDEX('Our policies'!$C$4:$C$503,_calc!$E$687))=0,"",INDEX('Our policies'!$C$4:$C$503,_calc!$E$687))&amp;". ")&amp;IF(LEN(IF(LEN(INDEX('Our policies'!$D$4:$D$503,_calc!$E$687))=0,"",INDEX('Our policies'!$D$4:$D$503,_calc!$E$687)))=0,"","Broker: "&amp;IF(LEN(INDEX('Our policies'!$D$4:$D$503,_calc!$E$687))=0,"",INDEX('Our policies'!$D$4:$D$503,_calc!$E$687))&amp;". ")&amp;IF(LEN(IF(LEN(INDEX('Our policies'!$E$4:$E$503,_calc!$E$687))=0,"",INDEX('Our policies'!$E$4:$E$503,_calc!$E$687)))=0,"","Policy no.: "&amp;IF(LEN(INDEX('Our policies'!$E$4:$E$503,_calc!$E$687))=0,"",INDEX('Our policies'!$E$4:$E$503,_calc!$E$687))&amp;". ")&amp;IF(LEN(IF(LEN(INDEX('Our policies'!$S$4:$S$503,_calc!$E$687))=0,"",INDEX('Our policies'!$S$4:$S$503,_calc!$E$687)))=0,"",IF(LEN(INDEX('Our policies'!$S$4:$S$503,_calc!$E$687))=0,"",INDEX('Our policies'!$S$4:$S$503,_calc!$E$687)))),TRIM(IF(LEN(IF(LEN(INDEX('Vendor COIs'!$C$4:$C$503,(_calc!$E$687-500)))=0,"",INDEX('Vendor COIs'!$C$4:$C$503,(_calc!$E$687-500))))=0,"","Insurer: "&amp;IF(LEN(INDEX('Vendor COIs'!$C$4:$C$503,(_calc!$E$687-500)))=0,"",INDEX('Vendor COIs'!$C$4:$C$503,(_calc!$E$687-500)))&amp;". ")&amp;IF(LEN(IF(LEN(INDEX('Vendor COIs'!$D$4:$D$503,(_calc!$E$687-500)))=0,"",INDEX('Vendor COIs'!$D$4:$D$503,(_calc!$E$687-500))))=0,"","Policy no.: "&amp;IF(LEN(INDEX('Vendor COIs'!$D$4:$D$503,(_calc!$E$687-500)))=0,"",INDEX('Vendor COIs'!$D$4:$D$503,(_calc!$E$687-500)))&amp;". ")&amp;IF(LEN(IF(LEN(INDEX('Vendor COIs'!$F$4:$F$503,(_calc!$E$687-500)))=0,"",INDEX('Vendor COIs'!$F$4:$F$503,(_calc!$E$687-500))))=0,"","Meets minimum: "&amp;IF(LEN(INDEX('Vendor COIs'!$F$4:$F$503,(_calc!$E$687-500)))=0,"",INDEX('Vendor COIs'!$F$4:$F$503,(_calc!$E$687-500)))&amp;". ")&amp;IF(LEN(IF(LEN(INDEX('Vendor COIs'!$G$4:$G$503,(_calc!$E$687-500)))=0,"",INDEX('Vendor COIs'!$G$4:$G$503,(_calc!$E$687-500))))=0,"","Additional insured: "&amp;IF(LEN(INDEX('Vendor COIs'!$G$4:$G$503,(_calc!$E$687-500)))=0,"",INDEX('Vendor COIs'!$G$4:$G$503,(_calc!$E$687-500)))&amp;". ")&amp;IF(LEN(IF(LEN(INDEX('Vendor COIs'!$M$4:$M$503,(_calc!$E$687-500)))=0,"",INDEX('Vendor COIs'!$M$4:$M$503,(_calc!$E$687-500))))=0,"","Vendor contact: "&amp;IF(LEN(INDEX('Vendor COIs'!$M$4:$M$503,(_calc!$E$687-500)))=0,"",INDEX('Vendor COIs'!$M$4:$M$503,(_calc!$E$687-500)))&amp;". ")&amp;IF(LEN(IF(LEN(INDEX('Vendor COIs'!$P$4:$P$503,(_calc!$E$687-500)))=0,"",INDEX('Vendor COIs'!$P$4:$P$503,(_calc!$E$687-500))))=0,"",IF(LEN(INDEX('Vendor COIs'!$P$4:$P$503,(_calc!$E$687-500)))=0,"",INDEX('Vendor COIs'!$P$4:$P$503,(_calc!$E$687-500)))))))</f>
        <v/>
      </c>
      <c r="G685" s="46">
        <f>IF(_calc!$E$687="","",IF(_calc!$E$687&lt;=500,IF(LEN(INDEX('Our policies'!$R$4:$R$503,_calc!$E$687))=0,"",INDEX('Our policies'!$R$4:$R$503,_calc!$E$687)),IF(LEN(INDEX('Vendor COIs'!$O$4:$O$503,(_calc!$E$687-500)))=0,"",INDEX('Vendor COIs'!$O$4:$O$503,(_calc!$E$687-500)))))</f>
        <v/>
      </c>
      <c r="H685" s="46">
        <f>IF(_calc!$E$687="","",IF(_calc!$E$687&lt;=500,IF(LEN(INDEX('Our policies'!$G$4:$G$503,_calc!$E$687))=0,"",INDEX('Our policies'!$G$4:$G$503,_calc!$E$687)),""))</f>
        <v/>
      </c>
      <c r="I685" s="46">
        <f>IF(_calc!$E$687="","",IF(_calc!$E$687&lt;=500,IF(LEN(INDEX('Our policies'!$H$4:$H$503,_calc!$E$687))=0,"",INDEX('Our policies'!$H$4:$H$503,_calc!$E$687)),""))</f>
        <v/>
      </c>
      <c r="K685" s="46">
        <f>IF(_calc!$E$687="","",IF(_calc!$E$687&lt;=500,IF(LEN(INDEX('Our policies'!$P$4:$P$503,_calc!$E$687))=0,"",INDEX('Our policies'!$P$4:$P$503,_calc!$E$687)),IF(LEN(INDEX('Vendor COIs'!$N$4:$N$503,(_calc!$E$687-500)))=0,"",INDEX('Vendor COIs'!$N$4:$N$503,(_calc!$E$687-500)))))</f>
        <v/>
      </c>
    </row>
    <row r="686">
      <c r="A686" s="46">
        <f>IF(_calc!$E$688="","",IF(_calc!$E$688&lt;=500,IF(LEN(INDEX('Our policies'!$A$4:$A$503,_calc!$E$688))=0,"",INDEX('Our policies'!$A$4:$A$503,_calc!$E$688)),"COI – "&amp;IF(LEN(INDEX('Vendor COIs'!$A$4:$A$503,(_calc!$E$688-500)))=0,"",INDEX('Vendor COIs'!$A$4:$A$503,(_calc!$E$688-500)))&amp;" – "&amp;IF(LEN(INDEX('Vendor COIs'!$B$4:$B$503,(_calc!$E$688-500)))=0,"",INDEX('Vendor COIs'!$B$4:$B$503,(_calc!$E$688-500)))))</f>
        <v/>
      </c>
      <c r="B686" s="46">
        <f>IF(_calc!$E$688="","",IF(_calc!$E$688&lt;=500,IF(ISNUMBER(INDEX('Our policies'!$J$4:$J$503,_calc!$E$688)),TEXT(INDEX('Our policies'!$J$4:$J$503,_calc!$E$688),"yyyy-mm-dd"),""),IF(ISNUMBER(INDEX('Vendor COIs'!$H$4:$H$503,(_calc!$E$688-500))),TEXT(INDEX('Vendor COIs'!$H$4:$H$503,(_calc!$E$688-500)),"yyyy-mm-dd"),"")))</f>
        <v/>
      </c>
      <c r="C686" s="46">
        <f>IF(_calc!$E$688="","",IF(_calc!$E$688&lt;=500,"Insurance","Certificate of insurance"))</f>
        <v/>
      </c>
      <c r="D686" s="46">
        <f>IF(_calc!$E$688="","",IF(_calc!$E$688&lt;=500,IF(ISNUMBER(INDEX('Our policies'!$I$4:$I$503,_calc!$E$688)),TEXT(INDEX('Our policies'!$I$4:$I$503,_calc!$E$688),"yyyy-mm-dd"),""),""))</f>
        <v/>
      </c>
      <c r="E686" s="46">
        <f>IF(_calc!$E$688="","",IF(_calc!$E$688&lt;=500,IF(LEN(INDEX('Our policies'!$Q$4:$Q$503,_calc!$E$688))=0,"",INDEX('Our policies'!$Q$4:$Q$503,_calc!$E$688)),"Medium"))</f>
        <v/>
      </c>
      <c r="F686" s="46">
        <f>IF(_calc!$E$688="","",IF(_calc!$E$688&lt;=500,TRIM(IF(LEN(IF(LEN(INDEX('Our policies'!$B$4:$B$503,_calc!$E$688))=0,"",INDEX('Our policies'!$B$4:$B$503,_calc!$E$688)))=0,"","Cover: "&amp;IF(LEN(INDEX('Our policies'!$B$4:$B$503,_calc!$E$688))=0,"",INDEX('Our policies'!$B$4:$B$503,_calc!$E$688))&amp;". ")&amp;IF(LEN(IF(LEN(INDEX('Our policies'!$C$4:$C$503,_calc!$E$688))=0,"",INDEX('Our policies'!$C$4:$C$503,_calc!$E$688)))=0,"","Insurer: "&amp;IF(LEN(INDEX('Our policies'!$C$4:$C$503,_calc!$E$688))=0,"",INDEX('Our policies'!$C$4:$C$503,_calc!$E$688))&amp;". ")&amp;IF(LEN(IF(LEN(INDEX('Our policies'!$D$4:$D$503,_calc!$E$688))=0,"",INDEX('Our policies'!$D$4:$D$503,_calc!$E$688)))=0,"","Broker: "&amp;IF(LEN(INDEX('Our policies'!$D$4:$D$503,_calc!$E$688))=0,"",INDEX('Our policies'!$D$4:$D$503,_calc!$E$688))&amp;". ")&amp;IF(LEN(IF(LEN(INDEX('Our policies'!$E$4:$E$503,_calc!$E$688))=0,"",INDEX('Our policies'!$E$4:$E$503,_calc!$E$688)))=0,"","Policy no.: "&amp;IF(LEN(INDEX('Our policies'!$E$4:$E$503,_calc!$E$688))=0,"",INDEX('Our policies'!$E$4:$E$503,_calc!$E$688))&amp;". ")&amp;IF(LEN(IF(LEN(INDEX('Our policies'!$S$4:$S$503,_calc!$E$688))=0,"",INDEX('Our policies'!$S$4:$S$503,_calc!$E$688)))=0,"",IF(LEN(INDEX('Our policies'!$S$4:$S$503,_calc!$E$688))=0,"",INDEX('Our policies'!$S$4:$S$503,_calc!$E$688)))),TRIM(IF(LEN(IF(LEN(INDEX('Vendor COIs'!$C$4:$C$503,(_calc!$E$688-500)))=0,"",INDEX('Vendor COIs'!$C$4:$C$503,(_calc!$E$688-500))))=0,"","Insurer: "&amp;IF(LEN(INDEX('Vendor COIs'!$C$4:$C$503,(_calc!$E$688-500)))=0,"",INDEX('Vendor COIs'!$C$4:$C$503,(_calc!$E$688-500)))&amp;". ")&amp;IF(LEN(IF(LEN(INDEX('Vendor COIs'!$D$4:$D$503,(_calc!$E$688-500)))=0,"",INDEX('Vendor COIs'!$D$4:$D$503,(_calc!$E$688-500))))=0,"","Policy no.: "&amp;IF(LEN(INDEX('Vendor COIs'!$D$4:$D$503,(_calc!$E$688-500)))=0,"",INDEX('Vendor COIs'!$D$4:$D$503,(_calc!$E$688-500)))&amp;". ")&amp;IF(LEN(IF(LEN(INDEX('Vendor COIs'!$F$4:$F$503,(_calc!$E$688-500)))=0,"",INDEX('Vendor COIs'!$F$4:$F$503,(_calc!$E$688-500))))=0,"","Meets minimum: "&amp;IF(LEN(INDEX('Vendor COIs'!$F$4:$F$503,(_calc!$E$688-500)))=0,"",INDEX('Vendor COIs'!$F$4:$F$503,(_calc!$E$688-500)))&amp;". ")&amp;IF(LEN(IF(LEN(INDEX('Vendor COIs'!$G$4:$G$503,(_calc!$E$688-500)))=0,"",INDEX('Vendor COIs'!$G$4:$G$503,(_calc!$E$688-500))))=0,"","Additional insured: "&amp;IF(LEN(INDEX('Vendor COIs'!$G$4:$G$503,(_calc!$E$688-500)))=0,"",INDEX('Vendor COIs'!$G$4:$G$503,(_calc!$E$688-500)))&amp;". ")&amp;IF(LEN(IF(LEN(INDEX('Vendor COIs'!$M$4:$M$503,(_calc!$E$688-500)))=0,"",INDEX('Vendor COIs'!$M$4:$M$503,(_calc!$E$688-500))))=0,"","Vendor contact: "&amp;IF(LEN(INDEX('Vendor COIs'!$M$4:$M$503,(_calc!$E$688-500)))=0,"",INDEX('Vendor COIs'!$M$4:$M$503,(_calc!$E$688-500)))&amp;". ")&amp;IF(LEN(IF(LEN(INDEX('Vendor COIs'!$P$4:$P$503,(_calc!$E$688-500)))=0,"",INDEX('Vendor COIs'!$P$4:$P$503,(_calc!$E$688-500))))=0,"",IF(LEN(INDEX('Vendor COIs'!$P$4:$P$503,(_calc!$E$688-500)))=0,"",INDEX('Vendor COIs'!$P$4:$P$503,(_calc!$E$688-500)))))))</f>
        <v/>
      </c>
      <c r="G686" s="46">
        <f>IF(_calc!$E$688="","",IF(_calc!$E$688&lt;=500,IF(LEN(INDEX('Our policies'!$R$4:$R$503,_calc!$E$688))=0,"",INDEX('Our policies'!$R$4:$R$503,_calc!$E$688)),IF(LEN(INDEX('Vendor COIs'!$O$4:$O$503,(_calc!$E$688-500)))=0,"",INDEX('Vendor COIs'!$O$4:$O$503,(_calc!$E$688-500)))))</f>
        <v/>
      </c>
      <c r="H686" s="46">
        <f>IF(_calc!$E$688="","",IF(_calc!$E$688&lt;=500,IF(LEN(INDEX('Our policies'!$G$4:$G$503,_calc!$E$688))=0,"",INDEX('Our policies'!$G$4:$G$503,_calc!$E$688)),""))</f>
        <v/>
      </c>
      <c r="I686" s="46">
        <f>IF(_calc!$E$688="","",IF(_calc!$E$688&lt;=500,IF(LEN(INDEX('Our policies'!$H$4:$H$503,_calc!$E$688))=0,"",INDEX('Our policies'!$H$4:$H$503,_calc!$E$688)),""))</f>
        <v/>
      </c>
      <c r="K686" s="46">
        <f>IF(_calc!$E$688="","",IF(_calc!$E$688&lt;=500,IF(LEN(INDEX('Our policies'!$P$4:$P$503,_calc!$E$688))=0,"",INDEX('Our policies'!$P$4:$P$503,_calc!$E$688)),IF(LEN(INDEX('Vendor COIs'!$N$4:$N$503,(_calc!$E$688-500)))=0,"",INDEX('Vendor COIs'!$N$4:$N$503,(_calc!$E$688-500)))))</f>
        <v/>
      </c>
    </row>
    <row r="687">
      <c r="A687" s="46">
        <f>IF(_calc!$E$689="","",IF(_calc!$E$689&lt;=500,IF(LEN(INDEX('Our policies'!$A$4:$A$503,_calc!$E$689))=0,"",INDEX('Our policies'!$A$4:$A$503,_calc!$E$689)),"COI – "&amp;IF(LEN(INDEX('Vendor COIs'!$A$4:$A$503,(_calc!$E$689-500)))=0,"",INDEX('Vendor COIs'!$A$4:$A$503,(_calc!$E$689-500)))&amp;" – "&amp;IF(LEN(INDEX('Vendor COIs'!$B$4:$B$503,(_calc!$E$689-500)))=0,"",INDEX('Vendor COIs'!$B$4:$B$503,(_calc!$E$689-500)))))</f>
        <v/>
      </c>
      <c r="B687" s="46">
        <f>IF(_calc!$E$689="","",IF(_calc!$E$689&lt;=500,IF(ISNUMBER(INDEX('Our policies'!$J$4:$J$503,_calc!$E$689)),TEXT(INDEX('Our policies'!$J$4:$J$503,_calc!$E$689),"yyyy-mm-dd"),""),IF(ISNUMBER(INDEX('Vendor COIs'!$H$4:$H$503,(_calc!$E$689-500))),TEXT(INDEX('Vendor COIs'!$H$4:$H$503,(_calc!$E$689-500)),"yyyy-mm-dd"),"")))</f>
        <v/>
      </c>
      <c r="C687" s="46">
        <f>IF(_calc!$E$689="","",IF(_calc!$E$689&lt;=500,"Insurance","Certificate of insurance"))</f>
        <v/>
      </c>
      <c r="D687" s="46">
        <f>IF(_calc!$E$689="","",IF(_calc!$E$689&lt;=500,IF(ISNUMBER(INDEX('Our policies'!$I$4:$I$503,_calc!$E$689)),TEXT(INDEX('Our policies'!$I$4:$I$503,_calc!$E$689),"yyyy-mm-dd"),""),""))</f>
        <v/>
      </c>
      <c r="E687" s="46">
        <f>IF(_calc!$E$689="","",IF(_calc!$E$689&lt;=500,IF(LEN(INDEX('Our policies'!$Q$4:$Q$503,_calc!$E$689))=0,"",INDEX('Our policies'!$Q$4:$Q$503,_calc!$E$689)),"Medium"))</f>
        <v/>
      </c>
      <c r="F687" s="46">
        <f>IF(_calc!$E$689="","",IF(_calc!$E$689&lt;=500,TRIM(IF(LEN(IF(LEN(INDEX('Our policies'!$B$4:$B$503,_calc!$E$689))=0,"",INDEX('Our policies'!$B$4:$B$503,_calc!$E$689)))=0,"","Cover: "&amp;IF(LEN(INDEX('Our policies'!$B$4:$B$503,_calc!$E$689))=0,"",INDEX('Our policies'!$B$4:$B$503,_calc!$E$689))&amp;". ")&amp;IF(LEN(IF(LEN(INDEX('Our policies'!$C$4:$C$503,_calc!$E$689))=0,"",INDEX('Our policies'!$C$4:$C$503,_calc!$E$689)))=0,"","Insurer: "&amp;IF(LEN(INDEX('Our policies'!$C$4:$C$503,_calc!$E$689))=0,"",INDEX('Our policies'!$C$4:$C$503,_calc!$E$689))&amp;". ")&amp;IF(LEN(IF(LEN(INDEX('Our policies'!$D$4:$D$503,_calc!$E$689))=0,"",INDEX('Our policies'!$D$4:$D$503,_calc!$E$689)))=0,"","Broker: "&amp;IF(LEN(INDEX('Our policies'!$D$4:$D$503,_calc!$E$689))=0,"",INDEX('Our policies'!$D$4:$D$503,_calc!$E$689))&amp;". ")&amp;IF(LEN(IF(LEN(INDEX('Our policies'!$E$4:$E$503,_calc!$E$689))=0,"",INDEX('Our policies'!$E$4:$E$503,_calc!$E$689)))=0,"","Policy no.: "&amp;IF(LEN(INDEX('Our policies'!$E$4:$E$503,_calc!$E$689))=0,"",INDEX('Our policies'!$E$4:$E$503,_calc!$E$689))&amp;". ")&amp;IF(LEN(IF(LEN(INDEX('Our policies'!$S$4:$S$503,_calc!$E$689))=0,"",INDEX('Our policies'!$S$4:$S$503,_calc!$E$689)))=0,"",IF(LEN(INDEX('Our policies'!$S$4:$S$503,_calc!$E$689))=0,"",INDEX('Our policies'!$S$4:$S$503,_calc!$E$689)))),TRIM(IF(LEN(IF(LEN(INDEX('Vendor COIs'!$C$4:$C$503,(_calc!$E$689-500)))=0,"",INDEX('Vendor COIs'!$C$4:$C$503,(_calc!$E$689-500))))=0,"","Insurer: "&amp;IF(LEN(INDEX('Vendor COIs'!$C$4:$C$503,(_calc!$E$689-500)))=0,"",INDEX('Vendor COIs'!$C$4:$C$503,(_calc!$E$689-500)))&amp;". ")&amp;IF(LEN(IF(LEN(INDEX('Vendor COIs'!$D$4:$D$503,(_calc!$E$689-500)))=0,"",INDEX('Vendor COIs'!$D$4:$D$503,(_calc!$E$689-500))))=0,"","Policy no.: "&amp;IF(LEN(INDEX('Vendor COIs'!$D$4:$D$503,(_calc!$E$689-500)))=0,"",INDEX('Vendor COIs'!$D$4:$D$503,(_calc!$E$689-500)))&amp;". ")&amp;IF(LEN(IF(LEN(INDEX('Vendor COIs'!$F$4:$F$503,(_calc!$E$689-500)))=0,"",INDEX('Vendor COIs'!$F$4:$F$503,(_calc!$E$689-500))))=0,"","Meets minimum: "&amp;IF(LEN(INDEX('Vendor COIs'!$F$4:$F$503,(_calc!$E$689-500)))=0,"",INDEX('Vendor COIs'!$F$4:$F$503,(_calc!$E$689-500)))&amp;". ")&amp;IF(LEN(IF(LEN(INDEX('Vendor COIs'!$G$4:$G$503,(_calc!$E$689-500)))=0,"",INDEX('Vendor COIs'!$G$4:$G$503,(_calc!$E$689-500))))=0,"","Additional insured: "&amp;IF(LEN(INDEX('Vendor COIs'!$G$4:$G$503,(_calc!$E$689-500)))=0,"",INDEX('Vendor COIs'!$G$4:$G$503,(_calc!$E$689-500)))&amp;". ")&amp;IF(LEN(IF(LEN(INDEX('Vendor COIs'!$M$4:$M$503,(_calc!$E$689-500)))=0,"",INDEX('Vendor COIs'!$M$4:$M$503,(_calc!$E$689-500))))=0,"","Vendor contact: "&amp;IF(LEN(INDEX('Vendor COIs'!$M$4:$M$503,(_calc!$E$689-500)))=0,"",INDEX('Vendor COIs'!$M$4:$M$503,(_calc!$E$689-500)))&amp;". ")&amp;IF(LEN(IF(LEN(INDEX('Vendor COIs'!$P$4:$P$503,(_calc!$E$689-500)))=0,"",INDEX('Vendor COIs'!$P$4:$P$503,(_calc!$E$689-500))))=0,"",IF(LEN(INDEX('Vendor COIs'!$P$4:$P$503,(_calc!$E$689-500)))=0,"",INDEX('Vendor COIs'!$P$4:$P$503,(_calc!$E$689-500)))))))</f>
        <v/>
      </c>
      <c r="G687" s="46">
        <f>IF(_calc!$E$689="","",IF(_calc!$E$689&lt;=500,IF(LEN(INDEX('Our policies'!$R$4:$R$503,_calc!$E$689))=0,"",INDEX('Our policies'!$R$4:$R$503,_calc!$E$689)),IF(LEN(INDEX('Vendor COIs'!$O$4:$O$503,(_calc!$E$689-500)))=0,"",INDEX('Vendor COIs'!$O$4:$O$503,(_calc!$E$689-500)))))</f>
        <v/>
      </c>
      <c r="H687" s="46">
        <f>IF(_calc!$E$689="","",IF(_calc!$E$689&lt;=500,IF(LEN(INDEX('Our policies'!$G$4:$G$503,_calc!$E$689))=0,"",INDEX('Our policies'!$G$4:$G$503,_calc!$E$689)),""))</f>
        <v/>
      </c>
      <c r="I687" s="46">
        <f>IF(_calc!$E$689="","",IF(_calc!$E$689&lt;=500,IF(LEN(INDEX('Our policies'!$H$4:$H$503,_calc!$E$689))=0,"",INDEX('Our policies'!$H$4:$H$503,_calc!$E$689)),""))</f>
        <v/>
      </c>
      <c r="K687" s="46">
        <f>IF(_calc!$E$689="","",IF(_calc!$E$689&lt;=500,IF(LEN(INDEX('Our policies'!$P$4:$P$503,_calc!$E$689))=0,"",INDEX('Our policies'!$P$4:$P$503,_calc!$E$689)),IF(LEN(INDEX('Vendor COIs'!$N$4:$N$503,(_calc!$E$689-500)))=0,"",INDEX('Vendor COIs'!$N$4:$N$503,(_calc!$E$689-500)))))</f>
        <v/>
      </c>
    </row>
    <row r="688">
      <c r="A688" s="46">
        <f>IF(_calc!$E$690="","",IF(_calc!$E$690&lt;=500,IF(LEN(INDEX('Our policies'!$A$4:$A$503,_calc!$E$690))=0,"",INDEX('Our policies'!$A$4:$A$503,_calc!$E$690)),"COI – "&amp;IF(LEN(INDEX('Vendor COIs'!$A$4:$A$503,(_calc!$E$690-500)))=0,"",INDEX('Vendor COIs'!$A$4:$A$503,(_calc!$E$690-500)))&amp;" – "&amp;IF(LEN(INDEX('Vendor COIs'!$B$4:$B$503,(_calc!$E$690-500)))=0,"",INDEX('Vendor COIs'!$B$4:$B$503,(_calc!$E$690-500)))))</f>
        <v/>
      </c>
      <c r="B688" s="46">
        <f>IF(_calc!$E$690="","",IF(_calc!$E$690&lt;=500,IF(ISNUMBER(INDEX('Our policies'!$J$4:$J$503,_calc!$E$690)),TEXT(INDEX('Our policies'!$J$4:$J$503,_calc!$E$690),"yyyy-mm-dd"),""),IF(ISNUMBER(INDEX('Vendor COIs'!$H$4:$H$503,(_calc!$E$690-500))),TEXT(INDEX('Vendor COIs'!$H$4:$H$503,(_calc!$E$690-500)),"yyyy-mm-dd"),"")))</f>
        <v/>
      </c>
      <c r="C688" s="46">
        <f>IF(_calc!$E$690="","",IF(_calc!$E$690&lt;=500,"Insurance","Certificate of insurance"))</f>
        <v/>
      </c>
      <c r="D688" s="46">
        <f>IF(_calc!$E$690="","",IF(_calc!$E$690&lt;=500,IF(ISNUMBER(INDEX('Our policies'!$I$4:$I$503,_calc!$E$690)),TEXT(INDEX('Our policies'!$I$4:$I$503,_calc!$E$690),"yyyy-mm-dd"),""),""))</f>
        <v/>
      </c>
      <c r="E688" s="46">
        <f>IF(_calc!$E$690="","",IF(_calc!$E$690&lt;=500,IF(LEN(INDEX('Our policies'!$Q$4:$Q$503,_calc!$E$690))=0,"",INDEX('Our policies'!$Q$4:$Q$503,_calc!$E$690)),"Medium"))</f>
        <v/>
      </c>
      <c r="F688" s="46">
        <f>IF(_calc!$E$690="","",IF(_calc!$E$690&lt;=500,TRIM(IF(LEN(IF(LEN(INDEX('Our policies'!$B$4:$B$503,_calc!$E$690))=0,"",INDEX('Our policies'!$B$4:$B$503,_calc!$E$690)))=0,"","Cover: "&amp;IF(LEN(INDEX('Our policies'!$B$4:$B$503,_calc!$E$690))=0,"",INDEX('Our policies'!$B$4:$B$503,_calc!$E$690))&amp;". ")&amp;IF(LEN(IF(LEN(INDEX('Our policies'!$C$4:$C$503,_calc!$E$690))=0,"",INDEX('Our policies'!$C$4:$C$503,_calc!$E$690)))=0,"","Insurer: "&amp;IF(LEN(INDEX('Our policies'!$C$4:$C$503,_calc!$E$690))=0,"",INDEX('Our policies'!$C$4:$C$503,_calc!$E$690))&amp;". ")&amp;IF(LEN(IF(LEN(INDEX('Our policies'!$D$4:$D$503,_calc!$E$690))=0,"",INDEX('Our policies'!$D$4:$D$503,_calc!$E$690)))=0,"","Broker: "&amp;IF(LEN(INDEX('Our policies'!$D$4:$D$503,_calc!$E$690))=0,"",INDEX('Our policies'!$D$4:$D$503,_calc!$E$690))&amp;". ")&amp;IF(LEN(IF(LEN(INDEX('Our policies'!$E$4:$E$503,_calc!$E$690))=0,"",INDEX('Our policies'!$E$4:$E$503,_calc!$E$690)))=0,"","Policy no.: "&amp;IF(LEN(INDEX('Our policies'!$E$4:$E$503,_calc!$E$690))=0,"",INDEX('Our policies'!$E$4:$E$503,_calc!$E$690))&amp;". ")&amp;IF(LEN(IF(LEN(INDEX('Our policies'!$S$4:$S$503,_calc!$E$690))=0,"",INDEX('Our policies'!$S$4:$S$503,_calc!$E$690)))=0,"",IF(LEN(INDEX('Our policies'!$S$4:$S$503,_calc!$E$690))=0,"",INDEX('Our policies'!$S$4:$S$503,_calc!$E$690)))),TRIM(IF(LEN(IF(LEN(INDEX('Vendor COIs'!$C$4:$C$503,(_calc!$E$690-500)))=0,"",INDEX('Vendor COIs'!$C$4:$C$503,(_calc!$E$690-500))))=0,"","Insurer: "&amp;IF(LEN(INDEX('Vendor COIs'!$C$4:$C$503,(_calc!$E$690-500)))=0,"",INDEX('Vendor COIs'!$C$4:$C$503,(_calc!$E$690-500)))&amp;". ")&amp;IF(LEN(IF(LEN(INDEX('Vendor COIs'!$D$4:$D$503,(_calc!$E$690-500)))=0,"",INDEX('Vendor COIs'!$D$4:$D$503,(_calc!$E$690-500))))=0,"","Policy no.: "&amp;IF(LEN(INDEX('Vendor COIs'!$D$4:$D$503,(_calc!$E$690-500)))=0,"",INDEX('Vendor COIs'!$D$4:$D$503,(_calc!$E$690-500)))&amp;". ")&amp;IF(LEN(IF(LEN(INDEX('Vendor COIs'!$F$4:$F$503,(_calc!$E$690-500)))=0,"",INDEX('Vendor COIs'!$F$4:$F$503,(_calc!$E$690-500))))=0,"","Meets minimum: "&amp;IF(LEN(INDEX('Vendor COIs'!$F$4:$F$503,(_calc!$E$690-500)))=0,"",INDEX('Vendor COIs'!$F$4:$F$503,(_calc!$E$690-500)))&amp;". ")&amp;IF(LEN(IF(LEN(INDEX('Vendor COIs'!$G$4:$G$503,(_calc!$E$690-500)))=0,"",INDEX('Vendor COIs'!$G$4:$G$503,(_calc!$E$690-500))))=0,"","Additional insured: "&amp;IF(LEN(INDEX('Vendor COIs'!$G$4:$G$503,(_calc!$E$690-500)))=0,"",INDEX('Vendor COIs'!$G$4:$G$503,(_calc!$E$690-500)))&amp;". ")&amp;IF(LEN(IF(LEN(INDEX('Vendor COIs'!$M$4:$M$503,(_calc!$E$690-500)))=0,"",INDEX('Vendor COIs'!$M$4:$M$503,(_calc!$E$690-500))))=0,"","Vendor contact: "&amp;IF(LEN(INDEX('Vendor COIs'!$M$4:$M$503,(_calc!$E$690-500)))=0,"",INDEX('Vendor COIs'!$M$4:$M$503,(_calc!$E$690-500)))&amp;". ")&amp;IF(LEN(IF(LEN(INDEX('Vendor COIs'!$P$4:$P$503,(_calc!$E$690-500)))=0,"",INDEX('Vendor COIs'!$P$4:$P$503,(_calc!$E$690-500))))=0,"",IF(LEN(INDEX('Vendor COIs'!$P$4:$P$503,(_calc!$E$690-500)))=0,"",INDEX('Vendor COIs'!$P$4:$P$503,(_calc!$E$690-500)))))))</f>
        <v/>
      </c>
      <c r="G688" s="46">
        <f>IF(_calc!$E$690="","",IF(_calc!$E$690&lt;=500,IF(LEN(INDEX('Our policies'!$R$4:$R$503,_calc!$E$690))=0,"",INDEX('Our policies'!$R$4:$R$503,_calc!$E$690)),IF(LEN(INDEX('Vendor COIs'!$O$4:$O$503,(_calc!$E$690-500)))=0,"",INDEX('Vendor COIs'!$O$4:$O$503,(_calc!$E$690-500)))))</f>
        <v/>
      </c>
      <c r="H688" s="46">
        <f>IF(_calc!$E$690="","",IF(_calc!$E$690&lt;=500,IF(LEN(INDEX('Our policies'!$G$4:$G$503,_calc!$E$690))=0,"",INDEX('Our policies'!$G$4:$G$503,_calc!$E$690)),""))</f>
        <v/>
      </c>
      <c r="I688" s="46">
        <f>IF(_calc!$E$690="","",IF(_calc!$E$690&lt;=500,IF(LEN(INDEX('Our policies'!$H$4:$H$503,_calc!$E$690))=0,"",INDEX('Our policies'!$H$4:$H$503,_calc!$E$690)),""))</f>
        <v/>
      </c>
      <c r="K688" s="46">
        <f>IF(_calc!$E$690="","",IF(_calc!$E$690&lt;=500,IF(LEN(INDEX('Our policies'!$P$4:$P$503,_calc!$E$690))=0,"",INDEX('Our policies'!$P$4:$P$503,_calc!$E$690)),IF(LEN(INDEX('Vendor COIs'!$N$4:$N$503,(_calc!$E$690-500)))=0,"",INDEX('Vendor COIs'!$N$4:$N$503,(_calc!$E$690-500)))))</f>
        <v/>
      </c>
    </row>
    <row r="689">
      <c r="A689" s="46">
        <f>IF(_calc!$E$691="","",IF(_calc!$E$691&lt;=500,IF(LEN(INDEX('Our policies'!$A$4:$A$503,_calc!$E$691))=0,"",INDEX('Our policies'!$A$4:$A$503,_calc!$E$691)),"COI – "&amp;IF(LEN(INDEX('Vendor COIs'!$A$4:$A$503,(_calc!$E$691-500)))=0,"",INDEX('Vendor COIs'!$A$4:$A$503,(_calc!$E$691-500)))&amp;" – "&amp;IF(LEN(INDEX('Vendor COIs'!$B$4:$B$503,(_calc!$E$691-500)))=0,"",INDEX('Vendor COIs'!$B$4:$B$503,(_calc!$E$691-500)))))</f>
        <v/>
      </c>
      <c r="B689" s="46">
        <f>IF(_calc!$E$691="","",IF(_calc!$E$691&lt;=500,IF(ISNUMBER(INDEX('Our policies'!$J$4:$J$503,_calc!$E$691)),TEXT(INDEX('Our policies'!$J$4:$J$503,_calc!$E$691),"yyyy-mm-dd"),""),IF(ISNUMBER(INDEX('Vendor COIs'!$H$4:$H$503,(_calc!$E$691-500))),TEXT(INDEX('Vendor COIs'!$H$4:$H$503,(_calc!$E$691-500)),"yyyy-mm-dd"),"")))</f>
        <v/>
      </c>
      <c r="C689" s="46">
        <f>IF(_calc!$E$691="","",IF(_calc!$E$691&lt;=500,"Insurance","Certificate of insurance"))</f>
        <v/>
      </c>
      <c r="D689" s="46">
        <f>IF(_calc!$E$691="","",IF(_calc!$E$691&lt;=500,IF(ISNUMBER(INDEX('Our policies'!$I$4:$I$503,_calc!$E$691)),TEXT(INDEX('Our policies'!$I$4:$I$503,_calc!$E$691),"yyyy-mm-dd"),""),""))</f>
        <v/>
      </c>
      <c r="E689" s="46">
        <f>IF(_calc!$E$691="","",IF(_calc!$E$691&lt;=500,IF(LEN(INDEX('Our policies'!$Q$4:$Q$503,_calc!$E$691))=0,"",INDEX('Our policies'!$Q$4:$Q$503,_calc!$E$691)),"Medium"))</f>
        <v/>
      </c>
      <c r="F689" s="46">
        <f>IF(_calc!$E$691="","",IF(_calc!$E$691&lt;=500,TRIM(IF(LEN(IF(LEN(INDEX('Our policies'!$B$4:$B$503,_calc!$E$691))=0,"",INDEX('Our policies'!$B$4:$B$503,_calc!$E$691)))=0,"","Cover: "&amp;IF(LEN(INDEX('Our policies'!$B$4:$B$503,_calc!$E$691))=0,"",INDEX('Our policies'!$B$4:$B$503,_calc!$E$691))&amp;". ")&amp;IF(LEN(IF(LEN(INDEX('Our policies'!$C$4:$C$503,_calc!$E$691))=0,"",INDEX('Our policies'!$C$4:$C$503,_calc!$E$691)))=0,"","Insurer: "&amp;IF(LEN(INDEX('Our policies'!$C$4:$C$503,_calc!$E$691))=0,"",INDEX('Our policies'!$C$4:$C$503,_calc!$E$691))&amp;". ")&amp;IF(LEN(IF(LEN(INDEX('Our policies'!$D$4:$D$503,_calc!$E$691))=0,"",INDEX('Our policies'!$D$4:$D$503,_calc!$E$691)))=0,"","Broker: "&amp;IF(LEN(INDEX('Our policies'!$D$4:$D$503,_calc!$E$691))=0,"",INDEX('Our policies'!$D$4:$D$503,_calc!$E$691))&amp;". ")&amp;IF(LEN(IF(LEN(INDEX('Our policies'!$E$4:$E$503,_calc!$E$691))=0,"",INDEX('Our policies'!$E$4:$E$503,_calc!$E$691)))=0,"","Policy no.: "&amp;IF(LEN(INDEX('Our policies'!$E$4:$E$503,_calc!$E$691))=0,"",INDEX('Our policies'!$E$4:$E$503,_calc!$E$691))&amp;". ")&amp;IF(LEN(IF(LEN(INDEX('Our policies'!$S$4:$S$503,_calc!$E$691))=0,"",INDEX('Our policies'!$S$4:$S$503,_calc!$E$691)))=0,"",IF(LEN(INDEX('Our policies'!$S$4:$S$503,_calc!$E$691))=0,"",INDEX('Our policies'!$S$4:$S$503,_calc!$E$691)))),TRIM(IF(LEN(IF(LEN(INDEX('Vendor COIs'!$C$4:$C$503,(_calc!$E$691-500)))=0,"",INDEX('Vendor COIs'!$C$4:$C$503,(_calc!$E$691-500))))=0,"","Insurer: "&amp;IF(LEN(INDEX('Vendor COIs'!$C$4:$C$503,(_calc!$E$691-500)))=0,"",INDEX('Vendor COIs'!$C$4:$C$503,(_calc!$E$691-500)))&amp;". ")&amp;IF(LEN(IF(LEN(INDEX('Vendor COIs'!$D$4:$D$503,(_calc!$E$691-500)))=0,"",INDEX('Vendor COIs'!$D$4:$D$503,(_calc!$E$691-500))))=0,"","Policy no.: "&amp;IF(LEN(INDEX('Vendor COIs'!$D$4:$D$503,(_calc!$E$691-500)))=0,"",INDEX('Vendor COIs'!$D$4:$D$503,(_calc!$E$691-500)))&amp;". ")&amp;IF(LEN(IF(LEN(INDEX('Vendor COIs'!$F$4:$F$503,(_calc!$E$691-500)))=0,"",INDEX('Vendor COIs'!$F$4:$F$503,(_calc!$E$691-500))))=0,"","Meets minimum: "&amp;IF(LEN(INDEX('Vendor COIs'!$F$4:$F$503,(_calc!$E$691-500)))=0,"",INDEX('Vendor COIs'!$F$4:$F$503,(_calc!$E$691-500)))&amp;". ")&amp;IF(LEN(IF(LEN(INDEX('Vendor COIs'!$G$4:$G$503,(_calc!$E$691-500)))=0,"",INDEX('Vendor COIs'!$G$4:$G$503,(_calc!$E$691-500))))=0,"","Additional insured: "&amp;IF(LEN(INDEX('Vendor COIs'!$G$4:$G$503,(_calc!$E$691-500)))=0,"",INDEX('Vendor COIs'!$G$4:$G$503,(_calc!$E$691-500)))&amp;". ")&amp;IF(LEN(IF(LEN(INDEX('Vendor COIs'!$M$4:$M$503,(_calc!$E$691-500)))=0,"",INDEX('Vendor COIs'!$M$4:$M$503,(_calc!$E$691-500))))=0,"","Vendor contact: "&amp;IF(LEN(INDEX('Vendor COIs'!$M$4:$M$503,(_calc!$E$691-500)))=0,"",INDEX('Vendor COIs'!$M$4:$M$503,(_calc!$E$691-500)))&amp;". ")&amp;IF(LEN(IF(LEN(INDEX('Vendor COIs'!$P$4:$P$503,(_calc!$E$691-500)))=0,"",INDEX('Vendor COIs'!$P$4:$P$503,(_calc!$E$691-500))))=0,"",IF(LEN(INDEX('Vendor COIs'!$P$4:$P$503,(_calc!$E$691-500)))=0,"",INDEX('Vendor COIs'!$P$4:$P$503,(_calc!$E$691-500)))))))</f>
        <v/>
      </c>
      <c r="G689" s="46">
        <f>IF(_calc!$E$691="","",IF(_calc!$E$691&lt;=500,IF(LEN(INDEX('Our policies'!$R$4:$R$503,_calc!$E$691))=0,"",INDEX('Our policies'!$R$4:$R$503,_calc!$E$691)),IF(LEN(INDEX('Vendor COIs'!$O$4:$O$503,(_calc!$E$691-500)))=0,"",INDEX('Vendor COIs'!$O$4:$O$503,(_calc!$E$691-500)))))</f>
        <v/>
      </c>
      <c r="H689" s="46">
        <f>IF(_calc!$E$691="","",IF(_calc!$E$691&lt;=500,IF(LEN(INDEX('Our policies'!$G$4:$G$503,_calc!$E$691))=0,"",INDEX('Our policies'!$G$4:$G$503,_calc!$E$691)),""))</f>
        <v/>
      </c>
      <c r="I689" s="46">
        <f>IF(_calc!$E$691="","",IF(_calc!$E$691&lt;=500,IF(LEN(INDEX('Our policies'!$H$4:$H$503,_calc!$E$691))=0,"",INDEX('Our policies'!$H$4:$H$503,_calc!$E$691)),""))</f>
        <v/>
      </c>
      <c r="K689" s="46">
        <f>IF(_calc!$E$691="","",IF(_calc!$E$691&lt;=500,IF(LEN(INDEX('Our policies'!$P$4:$P$503,_calc!$E$691))=0,"",INDEX('Our policies'!$P$4:$P$503,_calc!$E$691)),IF(LEN(INDEX('Vendor COIs'!$N$4:$N$503,(_calc!$E$691-500)))=0,"",INDEX('Vendor COIs'!$N$4:$N$503,(_calc!$E$691-500)))))</f>
        <v/>
      </c>
    </row>
    <row r="690">
      <c r="A690" s="46">
        <f>IF(_calc!$E$692="","",IF(_calc!$E$692&lt;=500,IF(LEN(INDEX('Our policies'!$A$4:$A$503,_calc!$E$692))=0,"",INDEX('Our policies'!$A$4:$A$503,_calc!$E$692)),"COI – "&amp;IF(LEN(INDEX('Vendor COIs'!$A$4:$A$503,(_calc!$E$692-500)))=0,"",INDEX('Vendor COIs'!$A$4:$A$503,(_calc!$E$692-500)))&amp;" – "&amp;IF(LEN(INDEX('Vendor COIs'!$B$4:$B$503,(_calc!$E$692-500)))=0,"",INDEX('Vendor COIs'!$B$4:$B$503,(_calc!$E$692-500)))))</f>
        <v/>
      </c>
      <c r="B690" s="46">
        <f>IF(_calc!$E$692="","",IF(_calc!$E$692&lt;=500,IF(ISNUMBER(INDEX('Our policies'!$J$4:$J$503,_calc!$E$692)),TEXT(INDEX('Our policies'!$J$4:$J$503,_calc!$E$692),"yyyy-mm-dd"),""),IF(ISNUMBER(INDEX('Vendor COIs'!$H$4:$H$503,(_calc!$E$692-500))),TEXT(INDEX('Vendor COIs'!$H$4:$H$503,(_calc!$E$692-500)),"yyyy-mm-dd"),"")))</f>
        <v/>
      </c>
      <c r="C690" s="46">
        <f>IF(_calc!$E$692="","",IF(_calc!$E$692&lt;=500,"Insurance","Certificate of insurance"))</f>
        <v/>
      </c>
      <c r="D690" s="46">
        <f>IF(_calc!$E$692="","",IF(_calc!$E$692&lt;=500,IF(ISNUMBER(INDEX('Our policies'!$I$4:$I$503,_calc!$E$692)),TEXT(INDEX('Our policies'!$I$4:$I$503,_calc!$E$692),"yyyy-mm-dd"),""),""))</f>
        <v/>
      </c>
      <c r="E690" s="46">
        <f>IF(_calc!$E$692="","",IF(_calc!$E$692&lt;=500,IF(LEN(INDEX('Our policies'!$Q$4:$Q$503,_calc!$E$692))=0,"",INDEX('Our policies'!$Q$4:$Q$503,_calc!$E$692)),"Medium"))</f>
        <v/>
      </c>
      <c r="F690" s="46">
        <f>IF(_calc!$E$692="","",IF(_calc!$E$692&lt;=500,TRIM(IF(LEN(IF(LEN(INDEX('Our policies'!$B$4:$B$503,_calc!$E$692))=0,"",INDEX('Our policies'!$B$4:$B$503,_calc!$E$692)))=0,"","Cover: "&amp;IF(LEN(INDEX('Our policies'!$B$4:$B$503,_calc!$E$692))=0,"",INDEX('Our policies'!$B$4:$B$503,_calc!$E$692))&amp;". ")&amp;IF(LEN(IF(LEN(INDEX('Our policies'!$C$4:$C$503,_calc!$E$692))=0,"",INDEX('Our policies'!$C$4:$C$503,_calc!$E$692)))=0,"","Insurer: "&amp;IF(LEN(INDEX('Our policies'!$C$4:$C$503,_calc!$E$692))=0,"",INDEX('Our policies'!$C$4:$C$503,_calc!$E$692))&amp;". ")&amp;IF(LEN(IF(LEN(INDEX('Our policies'!$D$4:$D$503,_calc!$E$692))=0,"",INDEX('Our policies'!$D$4:$D$503,_calc!$E$692)))=0,"","Broker: "&amp;IF(LEN(INDEX('Our policies'!$D$4:$D$503,_calc!$E$692))=0,"",INDEX('Our policies'!$D$4:$D$503,_calc!$E$692))&amp;". ")&amp;IF(LEN(IF(LEN(INDEX('Our policies'!$E$4:$E$503,_calc!$E$692))=0,"",INDEX('Our policies'!$E$4:$E$503,_calc!$E$692)))=0,"","Policy no.: "&amp;IF(LEN(INDEX('Our policies'!$E$4:$E$503,_calc!$E$692))=0,"",INDEX('Our policies'!$E$4:$E$503,_calc!$E$692))&amp;". ")&amp;IF(LEN(IF(LEN(INDEX('Our policies'!$S$4:$S$503,_calc!$E$692))=0,"",INDEX('Our policies'!$S$4:$S$503,_calc!$E$692)))=0,"",IF(LEN(INDEX('Our policies'!$S$4:$S$503,_calc!$E$692))=0,"",INDEX('Our policies'!$S$4:$S$503,_calc!$E$692)))),TRIM(IF(LEN(IF(LEN(INDEX('Vendor COIs'!$C$4:$C$503,(_calc!$E$692-500)))=0,"",INDEX('Vendor COIs'!$C$4:$C$503,(_calc!$E$692-500))))=0,"","Insurer: "&amp;IF(LEN(INDEX('Vendor COIs'!$C$4:$C$503,(_calc!$E$692-500)))=0,"",INDEX('Vendor COIs'!$C$4:$C$503,(_calc!$E$692-500)))&amp;". ")&amp;IF(LEN(IF(LEN(INDEX('Vendor COIs'!$D$4:$D$503,(_calc!$E$692-500)))=0,"",INDEX('Vendor COIs'!$D$4:$D$503,(_calc!$E$692-500))))=0,"","Policy no.: "&amp;IF(LEN(INDEX('Vendor COIs'!$D$4:$D$503,(_calc!$E$692-500)))=0,"",INDEX('Vendor COIs'!$D$4:$D$503,(_calc!$E$692-500)))&amp;". ")&amp;IF(LEN(IF(LEN(INDEX('Vendor COIs'!$F$4:$F$503,(_calc!$E$692-500)))=0,"",INDEX('Vendor COIs'!$F$4:$F$503,(_calc!$E$692-500))))=0,"","Meets minimum: "&amp;IF(LEN(INDEX('Vendor COIs'!$F$4:$F$503,(_calc!$E$692-500)))=0,"",INDEX('Vendor COIs'!$F$4:$F$503,(_calc!$E$692-500)))&amp;". ")&amp;IF(LEN(IF(LEN(INDEX('Vendor COIs'!$G$4:$G$503,(_calc!$E$692-500)))=0,"",INDEX('Vendor COIs'!$G$4:$G$503,(_calc!$E$692-500))))=0,"","Additional insured: "&amp;IF(LEN(INDEX('Vendor COIs'!$G$4:$G$503,(_calc!$E$692-500)))=0,"",INDEX('Vendor COIs'!$G$4:$G$503,(_calc!$E$692-500)))&amp;". ")&amp;IF(LEN(IF(LEN(INDEX('Vendor COIs'!$M$4:$M$503,(_calc!$E$692-500)))=0,"",INDEX('Vendor COIs'!$M$4:$M$503,(_calc!$E$692-500))))=0,"","Vendor contact: "&amp;IF(LEN(INDEX('Vendor COIs'!$M$4:$M$503,(_calc!$E$692-500)))=0,"",INDEX('Vendor COIs'!$M$4:$M$503,(_calc!$E$692-500)))&amp;". ")&amp;IF(LEN(IF(LEN(INDEX('Vendor COIs'!$P$4:$P$503,(_calc!$E$692-500)))=0,"",INDEX('Vendor COIs'!$P$4:$P$503,(_calc!$E$692-500))))=0,"",IF(LEN(INDEX('Vendor COIs'!$P$4:$P$503,(_calc!$E$692-500)))=0,"",INDEX('Vendor COIs'!$P$4:$P$503,(_calc!$E$692-500)))))))</f>
        <v/>
      </c>
      <c r="G690" s="46">
        <f>IF(_calc!$E$692="","",IF(_calc!$E$692&lt;=500,IF(LEN(INDEX('Our policies'!$R$4:$R$503,_calc!$E$692))=0,"",INDEX('Our policies'!$R$4:$R$503,_calc!$E$692)),IF(LEN(INDEX('Vendor COIs'!$O$4:$O$503,(_calc!$E$692-500)))=0,"",INDEX('Vendor COIs'!$O$4:$O$503,(_calc!$E$692-500)))))</f>
        <v/>
      </c>
      <c r="H690" s="46">
        <f>IF(_calc!$E$692="","",IF(_calc!$E$692&lt;=500,IF(LEN(INDEX('Our policies'!$G$4:$G$503,_calc!$E$692))=0,"",INDEX('Our policies'!$G$4:$G$503,_calc!$E$692)),""))</f>
        <v/>
      </c>
      <c r="I690" s="46">
        <f>IF(_calc!$E$692="","",IF(_calc!$E$692&lt;=500,IF(LEN(INDEX('Our policies'!$H$4:$H$503,_calc!$E$692))=0,"",INDEX('Our policies'!$H$4:$H$503,_calc!$E$692)),""))</f>
        <v/>
      </c>
      <c r="K690" s="46">
        <f>IF(_calc!$E$692="","",IF(_calc!$E$692&lt;=500,IF(LEN(INDEX('Our policies'!$P$4:$P$503,_calc!$E$692))=0,"",INDEX('Our policies'!$P$4:$P$503,_calc!$E$692)),IF(LEN(INDEX('Vendor COIs'!$N$4:$N$503,(_calc!$E$692-500)))=0,"",INDEX('Vendor COIs'!$N$4:$N$503,(_calc!$E$692-500)))))</f>
        <v/>
      </c>
    </row>
    <row r="691">
      <c r="A691" s="46">
        <f>IF(_calc!$E$693="","",IF(_calc!$E$693&lt;=500,IF(LEN(INDEX('Our policies'!$A$4:$A$503,_calc!$E$693))=0,"",INDEX('Our policies'!$A$4:$A$503,_calc!$E$693)),"COI – "&amp;IF(LEN(INDEX('Vendor COIs'!$A$4:$A$503,(_calc!$E$693-500)))=0,"",INDEX('Vendor COIs'!$A$4:$A$503,(_calc!$E$693-500)))&amp;" – "&amp;IF(LEN(INDEX('Vendor COIs'!$B$4:$B$503,(_calc!$E$693-500)))=0,"",INDEX('Vendor COIs'!$B$4:$B$503,(_calc!$E$693-500)))))</f>
        <v/>
      </c>
      <c r="B691" s="46">
        <f>IF(_calc!$E$693="","",IF(_calc!$E$693&lt;=500,IF(ISNUMBER(INDEX('Our policies'!$J$4:$J$503,_calc!$E$693)),TEXT(INDEX('Our policies'!$J$4:$J$503,_calc!$E$693),"yyyy-mm-dd"),""),IF(ISNUMBER(INDEX('Vendor COIs'!$H$4:$H$503,(_calc!$E$693-500))),TEXT(INDEX('Vendor COIs'!$H$4:$H$503,(_calc!$E$693-500)),"yyyy-mm-dd"),"")))</f>
        <v/>
      </c>
      <c r="C691" s="46">
        <f>IF(_calc!$E$693="","",IF(_calc!$E$693&lt;=500,"Insurance","Certificate of insurance"))</f>
        <v/>
      </c>
      <c r="D691" s="46">
        <f>IF(_calc!$E$693="","",IF(_calc!$E$693&lt;=500,IF(ISNUMBER(INDEX('Our policies'!$I$4:$I$503,_calc!$E$693)),TEXT(INDEX('Our policies'!$I$4:$I$503,_calc!$E$693),"yyyy-mm-dd"),""),""))</f>
        <v/>
      </c>
      <c r="E691" s="46">
        <f>IF(_calc!$E$693="","",IF(_calc!$E$693&lt;=500,IF(LEN(INDEX('Our policies'!$Q$4:$Q$503,_calc!$E$693))=0,"",INDEX('Our policies'!$Q$4:$Q$503,_calc!$E$693)),"Medium"))</f>
        <v/>
      </c>
      <c r="F691" s="46">
        <f>IF(_calc!$E$693="","",IF(_calc!$E$693&lt;=500,TRIM(IF(LEN(IF(LEN(INDEX('Our policies'!$B$4:$B$503,_calc!$E$693))=0,"",INDEX('Our policies'!$B$4:$B$503,_calc!$E$693)))=0,"","Cover: "&amp;IF(LEN(INDEX('Our policies'!$B$4:$B$503,_calc!$E$693))=0,"",INDEX('Our policies'!$B$4:$B$503,_calc!$E$693))&amp;". ")&amp;IF(LEN(IF(LEN(INDEX('Our policies'!$C$4:$C$503,_calc!$E$693))=0,"",INDEX('Our policies'!$C$4:$C$503,_calc!$E$693)))=0,"","Insurer: "&amp;IF(LEN(INDEX('Our policies'!$C$4:$C$503,_calc!$E$693))=0,"",INDEX('Our policies'!$C$4:$C$503,_calc!$E$693))&amp;". ")&amp;IF(LEN(IF(LEN(INDEX('Our policies'!$D$4:$D$503,_calc!$E$693))=0,"",INDEX('Our policies'!$D$4:$D$503,_calc!$E$693)))=0,"","Broker: "&amp;IF(LEN(INDEX('Our policies'!$D$4:$D$503,_calc!$E$693))=0,"",INDEX('Our policies'!$D$4:$D$503,_calc!$E$693))&amp;". ")&amp;IF(LEN(IF(LEN(INDEX('Our policies'!$E$4:$E$503,_calc!$E$693))=0,"",INDEX('Our policies'!$E$4:$E$503,_calc!$E$693)))=0,"","Policy no.: "&amp;IF(LEN(INDEX('Our policies'!$E$4:$E$503,_calc!$E$693))=0,"",INDEX('Our policies'!$E$4:$E$503,_calc!$E$693))&amp;". ")&amp;IF(LEN(IF(LEN(INDEX('Our policies'!$S$4:$S$503,_calc!$E$693))=0,"",INDEX('Our policies'!$S$4:$S$503,_calc!$E$693)))=0,"",IF(LEN(INDEX('Our policies'!$S$4:$S$503,_calc!$E$693))=0,"",INDEX('Our policies'!$S$4:$S$503,_calc!$E$693)))),TRIM(IF(LEN(IF(LEN(INDEX('Vendor COIs'!$C$4:$C$503,(_calc!$E$693-500)))=0,"",INDEX('Vendor COIs'!$C$4:$C$503,(_calc!$E$693-500))))=0,"","Insurer: "&amp;IF(LEN(INDEX('Vendor COIs'!$C$4:$C$503,(_calc!$E$693-500)))=0,"",INDEX('Vendor COIs'!$C$4:$C$503,(_calc!$E$693-500)))&amp;". ")&amp;IF(LEN(IF(LEN(INDEX('Vendor COIs'!$D$4:$D$503,(_calc!$E$693-500)))=0,"",INDEX('Vendor COIs'!$D$4:$D$503,(_calc!$E$693-500))))=0,"","Policy no.: "&amp;IF(LEN(INDEX('Vendor COIs'!$D$4:$D$503,(_calc!$E$693-500)))=0,"",INDEX('Vendor COIs'!$D$4:$D$503,(_calc!$E$693-500)))&amp;". ")&amp;IF(LEN(IF(LEN(INDEX('Vendor COIs'!$F$4:$F$503,(_calc!$E$693-500)))=0,"",INDEX('Vendor COIs'!$F$4:$F$503,(_calc!$E$693-500))))=0,"","Meets minimum: "&amp;IF(LEN(INDEX('Vendor COIs'!$F$4:$F$503,(_calc!$E$693-500)))=0,"",INDEX('Vendor COIs'!$F$4:$F$503,(_calc!$E$693-500)))&amp;". ")&amp;IF(LEN(IF(LEN(INDEX('Vendor COIs'!$G$4:$G$503,(_calc!$E$693-500)))=0,"",INDEX('Vendor COIs'!$G$4:$G$503,(_calc!$E$693-500))))=0,"","Additional insured: "&amp;IF(LEN(INDEX('Vendor COIs'!$G$4:$G$503,(_calc!$E$693-500)))=0,"",INDEX('Vendor COIs'!$G$4:$G$503,(_calc!$E$693-500)))&amp;". ")&amp;IF(LEN(IF(LEN(INDEX('Vendor COIs'!$M$4:$M$503,(_calc!$E$693-500)))=0,"",INDEX('Vendor COIs'!$M$4:$M$503,(_calc!$E$693-500))))=0,"","Vendor contact: "&amp;IF(LEN(INDEX('Vendor COIs'!$M$4:$M$503,(_calc!$E$693-500)))=0,"",INDEX('Vendor COIs'!$M$4:$M$503,(_calc!$E$693-500)))&amp;". ")&amp;IF(LEN(IF(LEN(INDEX('Vendor COIs'!$P$4:$P$503,(_calc!$E$693-500)))=0,"",INDEX('Vendor COIs'!$P$4:$P$503,(_calc!$E$693-500))))=0,"",IF(LEN(INDEX('Vendor COIs'!$P$4:$P$503,(_calc!$E$693-500)))=0,"",INDEX('Vendor COIs'!$P$4:$P$503,(_calc!$E$693-500)))))))</f>
        <v/>
      </c>
      <c r="G691" s="46">
        <f>IF(_calc!$E$693="","",IF(_calc!$E$693&lt;=500,IF(LEN(INDEX('Our policies'!$R$4:$R$503,_calc!$E$693))=0,"",INDEX('Our policies'!$R$4:$R$503,_calc!$E$693)),IF(LEN(INDEX('Vendor COIs'!$O$4:$O$503,(_calc!$E$693-500)))=0,"",INDEX('Vendor COIs'!$O$4:$O$503,(_calc!$E$693-500)))))</f>
        <v/>
      </c>
      <c r="H691" s="46">
        <f>IF(_calc!$E$693="","",IF(_calc!$E$693&lt;=500,IF(LEN(INDEX('Our policies'!$G$4:$G$503,_calc!$E$693))=0,"",INDEX('Our policies'!$G$4:$G$503,_calc!$E$693)),""))</f>
        <v/>
      </c>
      <c r="I691" s="46">
        <f>IF(_calc!$E$693="","",IF(_calc!$E$693&lt;=500,IF(LEN(INDEX('Our policies'!$H$4:$H$503,_calc!$E$693))=0,"",INDEX('Our policies'!$H$4:$H$503,_calc!$E$693)),""))</f>
        <v/>
      </c>
      <c r="K691" s="46">
        <f>IF(_calc!$E$693="","",IF(_calc!$E$693&lt;=500,IF(LEN(INDEX('Our policies'!$P$4:$P$503,_calc!$E$693))=0,"",INDEX('Our policies'!$P$4:$P$503,_calc!$E$693)),IF(LEN(INDEX('Vendor COIs'!$N$4:$N$503,(_calc!$E$693-500)))=0,"",INDEX('Vendor COIs'!$N$4:$N$503,(_calc!$E$693-500)))))</f>
        <v/>
      </c>
    </row>
    <row r="692">
      <c r="A692" s="46">
        <f>IF(_calc!$E$694="","",IF(_calc!$E$694&lt;=500,IF(LEN(INDEX('Our policies'!$A$4:$A$503,_calc!$E$694))=0,"",INDEX('Our policies'!$A$4:$A$503,_calc!$E$694)),"COI – "&amp;IF(LEN(INDEX('Vendor COIs'!$A$4:$A$503,(_calc!$E$694-500)))=0,"",INDEX('Vendor COIs'!$A$4:$A$503,(_calc!$E$694-500)))&amp;" – "&amp;IF(LEN(INDEX('Vendor COIs'!$B$4:$B$503,(_calc!$E$694-500)))=0,"",INDEX('Vendor COIs'!$B$4:$B$503,(_calc!$E$694-500)))))</f>
        <v/>
      </c>
      <c r="B692" s="46">
        <f>IF(_calc!$E$694="","",IF(_calc!$E$694&lt;=500,IF(ISNUMBER(INDEX('Our policies'!$J$4:$J$503,_calc!$E$694)),TEXT(INDEX('Our policies'!$J$4:$J$503,_calc!$E$694),"yyyy-mm-dd"),""),IF(ISNUMBER(INDEX('Vendor COIs'!$H$4:$H$503,(_calc!$E$694-500))),TEXT(INDEX('Vendor COIs'!$H$4:$H$503,(_calc!$E$694-500)),"yyyy-mm-dd"),"")))</f>
        <v/>
      </c>
      <c r="C692" s="46">
        <f>IF(_calc!$E$694="","",IF(_calc!$E$694&lt;=500,"Insurance","Certificate of insurance"))</f>
        <v/>
      </c>
      <c r="D692" s="46">
        <f>IF(_calc!$E$694="","",IF(_calc!$E$694&lt;=500,IF(ISNUMBER(INDEX('Our policies'!$I$4:$I$503,_calc!$E$694)),TEXT(INDEX('Our policies'!$I$4:$I$503,_calc!$E$694),"yyyy-mm-dd"),""),""))</f>
        <v/>
      </c>
      <c r="E692" s="46">
        <f>IF(_calc!$E$694="","",IF(_calc!$E$694&lt;=500,IF(LEN(INDEX('Our policies'!$Q$4:$Q$503,_calc!$E$694))=0,"",INDEX('Our policies'!$Q$4:$Q$503,_calc!$E$694)),"Medium"))</f>
        <v/>
      </c>
      <c r="F692" s="46">
        <f>IF(_calc!$E$694="","",IF(_calc!$E$694&lt;=500,TRIM(IF(LEN(IF(LEN(INDEX('Our policies'!$B$4:$B$503,_calc!$E$694))=0,"",INDEX('Our policies'!$B$4:$B$503,_calc!$E$694)))=0,"","Cover: "&amp;IF(LEN(INDEX('Our policies'!$B$4:$B$503,_calc!$E$694))=0,"",INDEX('Our policies'!$B$4:$B$503,_calc!$E$694))&amp;". ")&amp;IF(LEN(IF(LEN(INDEX('Our policies'!$C$4:$C$503,_calc!$E$694))=0,"",INDEX('Our policies'!$C$4:$C$503,_calc!$E$694)))=0,"","Insurer: "&amp;IF(LEN(INDEX('Our policies'!$C$4:$C$503,_calc!$E$694))=0,"",INDEX('Our policies'!$C$4:$C$503,_calc!$E$694))&amp;". ")&amp;IF(LEN(IF(LEN(INDEX('Our policies'!$D$4:$D$503,_calc!$E$694))=0,"",INDEX('Our policies'!$D$4:$D$503,_calc!$E$694)))=0,"","Broker: "&amp;IF(LEN(INDEX('Our policies'!$D$4:$D$503,_calc!$E$694))=0,"",INDEX('Our policies'!$D$4:$D$503,_calc!$E$694))&amp;". ")&amp;IF(LEN(IF(LEN(INDEX('Our policies'!$E$4:$E$503,_calc!$E$694))=0,"",INDEX('Our policies'!$E$4:$E$503,_calc!$E$694)))=0,"","Policy no.: "&amp;IF(LEN(INDEX('Our policies'!$E$4:$E$503,_calc!$E$694))=0,"",INDEX('Our policies'!$E$4:$E$503,_calc!$E$694))&amp;". ")&amp;IF(LEN(IF(LEN(INDEX('Our policies'!$S$4:$S$503,_calc!$E$694))=0,"",INDEX('Our policies'!$S$4:$S$503,_calc!$E$694)))=0,"",IF(LEN(INDEX('Our policies'!$S$4:$S$503,_calc!$E$694))=0,"",INDEX('Our policies'!$S$4:$S$503,_calc!$E$694)))),TRIM(IF(LEN(IF(LEN(INDEX('Vendor COIs'!$C$4:$C$503,(_calc!$E$694-500)))=0,"",INDEX('Vendor COIs'!$C$4:$C$503,(_calc!$E$694-500))))=0,"","Insurer: "&amp;IF(LEN(INDEX('Vendor COIs'!$C$4:$C$503,(_calc!$E$694-500)))=0,"",INDEX('Vendor COIs'!$C$4:$C$503,(_calc!$E$694-500)))&amp;". ")&amp;IF(LEN(IF(LEN(INDEX('Vendor COIs'!$D$4:$D$503,(_calc!$E$694-500)))=0,"",INDEX('Vendor COIs'!$D$4:$D$503,(_calc!$E$694-500))))=0,"","Policy no.: "&amp;IF(LEN(INDEX('Vendor COIs'!$D$4:$D$503,(_calc!$E$694-500)))=0,"",INDEX('Vendor COIs'!$D$4:$D$503,(_calc!$E$694-500)))&amp;". ")&amp;IF(LEN(IF(LEN(INDEX('Vendor COIs'!$F$4:$F$503,(_calc!$E$694-500)))=0,"",INDEX('Vendor COIs'!$F$4:$F$503,(_calc!$E$694-500))))=0,"","Meets minimum: "&amp;IF(LEN(INDEX('Vendor COIs'!$F$4:$F$503,(_calc!$E$694-500)))=0,"",INDEX('Vendor COIs'!$F$4:$F$503,(_calc!$E$694-500)))&amp;". ")&amp;IF(LEN(IF(LEN(INDEX('Vendor COIs'!$G$4:$G$503,(_calc!$E$694-500)))=0,"",INDEX('Vendor COIs'!$G$4:$G$503,(_calc!$E$694-500))))=0,"","Additional insured: "&amp;IF(LEN(INDEX('Vendor COIs'!$G$4:$G$503,(_calc!$E$694-500)))=0,"",INDEX('Vendor COIs'!$G$4:$G$503,(_calc!$E$694-500)))&amp;". ")&amp;IF(LEN(IF(LEN(INDEX('Vendor COIs'!$M$4:$M$503,(_calc!$E$694-500)))=0,"",INDEX('Vendor COIs'!$M$4:$M$503,(_calc!$E$694-500))))=0,"","Vendor contact: "&amp;IF(LEN(INDEX('Vendor COIs'!$M$4:$M$503,(_calc!$E$694-500)))=0,"",INDEX('Vendor COIs'!$M$4:$M$503,(_calc!$E$694-500)))&amp;". ")&amp;IF(LEN(IF(LEN(INDEX('Vendor COIs'!$P$4:$P$503,(_calc!$E$694-500)))=0,"",INDEX('Vendor COIs'!$P$4:$P$503,(_calc!$E$694-500))))=0,"",IF(LEN(INDEX('Vendor COIs'!$P$4:$P$503,(_calc!$E$694-500)))=0,"",INDEX('Vendor COIs'!$P$4:$P$503,(_calc!$E$694-500)))))))</f>
        <v/>
      </c>
      <c r="G692" s="46">
        <f>IF(_calc!$E$694="","",IF(_calc!$E$694&lt;=500,IF(LEN(INDEX('Our policies'!$R$4:$R$503,_calc!$E$694))=0,"",INDEX('Our policies'!$R$4:$R$503,_calc!$E$694)),IF(LEN(INDEX('Vendor COIs'!$O$4:$O$503,(_calc!$E$694-500)))=0,"",INDEX('Vendor COIs'!$O$4:$O$503,(_calc!$E$694-500)))))</f>
        <v/>
      </c>
      <c r="H692" s="46">
        <f>IF(_calc!$E$694="","",IF(_calc!$E$694&lt;=500,IF(LEN(INDEX('Our policies'!$G$4:$G$503,_calc!$E$694))=0,"",INDEX('Our policies'!$G$4:$G$503,_calc!$E$694)),""))</f>
        <v/>
      </c>
      <c r="I692" s="46">
        <f>IF(_calc!$E$694="","",IF(_calc!$E$694&lt;=500,IF(LEN(INDEX('Our policies'!$H$4:$H$503,_calc!$E$694))=0,"",INDEX('Our policies'!$H$4:$H$503,_calc!$E$694)),""))</f>
        <v/>
      </c>
      <c r="K692" s="46">
        <f>IF(_calc!$E$694="","",IF(_calc!$E$694&lt;=500,IF(LEN(INDEX('Our policies'!$P$4:$P$503,_calc!$E$694))=0,"",INDEX('Our policies'!$P$4:$P$503,_calc!$E$694)),IF(LEN(INDEX('Vendor COIs'!$N$4:$N$503,(_calc!$E$694-500)))=0,"",INDEX('Vendor COIs'!$N$4:$N$503,(_calc!$E$694-500)))))</f>
        <v/>
      </c>
    </row>
    <row r="693">
      <c r="A693" s="46">
        <f>IF(_calc!$E$695="","",IF(_calc!$E$695&lt;=500,IF(LEN(INDEX('Our policies'!$A$4:$A$503,_calc!$E$695))=0,"",INDEX('Our policies'!$A$4:$A$503,_calc!$E$695)),"COI – "&amp;IF(LEN(INDEX('Vendor COIs'!$A$4:$A$503,(_calc!$E$695-500)))=0,"",INDEX('Vendor COIs'!$A$4:$A$503,(_calc!$E$695-500)))&amp;" – "&amp;IF(LEN(INDEX('Vendor COIs'!$B$4:$B$503,(_calc!$E$695-500)))=0,"",INDEX('Vendor COIs'!$B$4:$B$503,(_calc!$E$695-500)))))</f>
        <v/>
      </c>
      <c r="B693" s="46">
        <f>IF(_calc!$E$695="","",IF(_calc!$E$695&lt;=500,IF(ISNUMBER(INDEX('Our policies'!$J$4:$J$503,_calc!$E$695)),TEXT(INDEX('Our policies'!$J$4:$J$503,_calc!$E$695),"yyyy-mm-dd"),""),IF(ISNUMBER(INDEX('Vendor COIs'!$H$4:$H$503,(_calc!$E$695-500))),TEXT(INDEX('Vendor COIs'!$H$4:$H$503,(_calc!$E$695-500)),"yyyy-mm-dd"),"")))</f>
        <v/>
      </c>
      <c r="C693" s="46">
        <f>IF(_calc!$E$695="","",IF(_calc!$E$695&lt;=500,"Insurance","Certificate of insurance"))</f>
        <v/>
      </c>
      <c r="D693" s="46">
        <f>IF(_calc!$E$695="","",IF(_calc!$E$695&lt;=500,IF(ISNUMBER(INDEX('Our policies'!$I$4:$I$503,_calc!$E$695)),TEXT(INDEX('Our policies'!$I$4:$I$503,_calc!$E$695),"yyyy-mm-dd"),""),""))</f>
        <v/>
      </c>
      <c r="E693" s="46">
        <f>IF(_calc!$E$695="","",IF(_calc!$E$695&lt;=500,IF(LEN(INDEX('Our policies'!$Q$4:$Q$503,_calc!$E$695))=0,"",INDEX('Our policies'!$Q$4:$Q$503,_calc!$E$695)),"Medium"))</f>
        <v/>
      </c>
      <c r="F693" s="46">
        <f>IF(_calc!$E$695="","",IF(_calc!$E$695&lt;=500,TRIM(IF(LEN(IF(LEN(INDEX('Our policies'!$B$4:$B$503,_calc!$E$695))=0,"",INDEX('Our policies'!$B$4:$B$503,_calc!$E$695)))=0,"","Cover: "&amp;IF(LEN(INDEX('Our policies'!$B$4:$B$503,_calc!$E$695))=0,"",INDEX('Our policies'!$B$4:$B$503,_calc!$E$695))&amp;". ")&amp;IF(LEN(IF(LEN(INDEX('Our policies'!$C$4:$C$503,_calc!$E$695))=0,"",INDEX('Our policies'!$C$4:$C$503,_calc!$E$695)))=0,"","Insurer: "&amp;IF(LEN(INDEX('Our policies'!$C$4:$C$503,_calc!$E$695))=0,"",INDEX('Our policies'!$C$4:$C$503,_calc!$E$695))&amp;". ")&amp;IF(LEN(IF(LEN(INDEX('Our policies'!$D$4:$D$503,_calc!$E$695))=0,"",INDEX('Our policies'!$D$4:$D$503,_calc!$E$695)))=0,"","Broker: "&amp;IF(LEN(INDEX('Our policies'!$D$4:$D$503,_calc!$E$695))=0,"",INDEX('Our policies'!$D$4:$D$503,_calc!$E$695))&amp;". ")&amp;IF(LEN(IF(LEN(INDEX('Our policies'!$E$4:$E$503,_calc!$E$695))=0,"",INDEX('Our policies'!$E$4:$E$503,_calc!$E$695)))=0,"","Policy no.: "&amp;IF(LEN(INDEX('Our policies'!$E$4:$E$503,_calc!$E$695))=0,"",INDEX('Our policies'!$E$4:$E$503,_calc!$E$695))&amp;". ")&amp;IF(LEN(IF(LEN(INDEX('Our policies'!$S$4:$S$503,_calc!$E$695))=0,"",INDEX('Our policies'!$S$4:$S$503,_calc!$E$695)))=0,"",IF(LEN(INDEX('Our policies'!$S$4:$S$503,_calc!$E$695))=0,"",INDEX('Our policies'!$S$4:$S$503,_calc!$E$695)))),TRIM(IF(LEN(IF(LEN(INDEX('Vendor COIs'!$C$4:$C$503,(_calc!$E$695-500)))=0,"",INDEX('Vendor COIs'!$C$4:$C$503,(_calc!$E$695-500))))=0,"","Insurer: "&amp;IF(LEN(INDEX('Vendor COIs'!$C$4:$C$503,(_calc!$E$695-500)))=0,"",INDEX('Vendor COIs'!$C$4:$C$503,(_calc!$E$695-500)))&amp;". ")&amp;IF(LEN(IF(LEN(INDEX('Vendor COIs'!$D$4:$D$503,(_calc!$E$695-500)))=0,"",INDEX('Vendor COIs'!$D$4:$D$503,(_calc!$E$695-500))))=0,"","Policy no.: "&amp;IF(LEN(INDEX('Vendor COIs'!$D$4:$D$503,(_calc!$E$695-500)))=0,"",INDEX('Vendor COIs'!$D$4:$D$503,(_calc!$E$695-500)))&amp;". ")&amp;IF(LEN(IF(LEN(INDEX('Vendor COIs'!$F$4:$F$503,(_calc!$E$695-500)))=0,"",INDEX('Vendor COIs'!$F$4:$F$503,(_calc!$E$695-500))))=0,"","Meets minimum: "&amp;IF(LEN(INDEX('Vendor COIs'!$F$4:$F$503,(_calc!$E$695-500)))=0,"",INDEX('Vendor COIs'!$F$4:$F$503,(_calc!$E$695-500)))&amp;". ")&amp;IF(LEN(IF(LEN(INDEX('Vendor COIs'!$G$4:$G$503,(_calc!$E$695-500)))=0,"",INDEX('Vendor COIs'!$G$4:$G$503,(_calc!$E$695-500))))=0,"","Additional insured: "&amp;IF(LEN(INDEX('Vendor COIs'!$G$4:$G$503,(_calc!$E$695-500)))=0,"",INDEX('Vendor COIs'!$G$4:$G$503,(_calc!$E$695-500)))&amp;". ")&amp;IF(LEN(IF(LEN(INDEX('Vendor COIs'!$M$4:$M$503,(_calc!$E$695-500)))=0,"",INDEX('Vendor COIs'!$M$4:$M$503,(_calc!$E$695-500))))=0,"","Vendor contact: "&amp;IF(LEN(INDEX('Vendor COIs'!$M$4:$M$503,(_calc!$E$695-500)))=0,"",INDEX('Vendor COIs'!$M$4:$M$503,(_calc!$E$695-500)))&amp;". ")&amp;IF(LEN(IF(LEN(INDEX('Vendor COIs'!$P$4:$P$503,(_calc!$E$695-500)))=0,"",INDEX('Vendor COIs'!$P$4:$P$503,(_calc!$E$695-500))))=0,"",IF(LEN(INDEX('Vendor COIs'!$P$4:$P$503,(_calc!$E$695-500)))=0,"",INDEX('Vendor COIs'!$P$4:$P$503,(_calc!$E$695-500)))))))</f>
        <v/>
      </c>
      <c r="G693" s="46">
        <f>IF(_calc!$E$695="","",IF(_calc!$E$695&lt;=500,IF(LEN(INDEX('Our policies'!$R$4:$R$503,_calc!$E$695))=0,"",INDEX('Our policies'!$R$4:$R$503,_calc!$E$695)),IF(LEN(INDEX('Vendor COIs'!$O$4:$O$503,(_calc!$E$695-500)))=0,"",INDEX('Vendor COIs'!$O$4:$O$503,(_calc!$E$695-500)))))</f>
        <v/>
      </c>
      <c r="H693" s="46">
        <f>IF(_calc!$E$695="","",IF(_calc!$E$695&lt;=500,IF(LEN(INDEX('Our policies'!$G$4:$G$503,_calc!$E$695))=0,"",INDEX('Our policies'!$G$4:$G$503,_calc!$E$695)),""))</f>
        <v/>
      </c>
      <c r="I693" s="46">
        <f>IF(_calc!$E$695="","",IF(_calc!$E$695&lt;=500,IF(LEN(INDEX('Our policies'!$H$4:$H$503,_calc!$E$695))=0,"",INDEX('Our policies'!$H$4:$H$503,_calc!$E$695)),""))</f>
        <v/>
      </c>
      <c r="K693" s="46">
        <f>IF(_calc!$E$695="","",IF(_calc!$E$695&lt;=500,IF(LEN(INDEX('Our policies'!$P$4:$P$503,_calc!$E$695))=0,"",INDEX('Our policies'!$P$4:$P$503,_calc!$E$695)),IF(LEN(INDEX('Vendor COIs'!$N$4:$N$503,(_calc!$E$695-500)))=0,"",INDEX('Vendor COIs'!$N$4:$N$503,(_calc!$E$695-500)))))</f>
        <v/>
      </c>
    </row>
    <row r="694">
      <c r="A694" s="46">
        <f>IF(_calc!$E$696="","",IF(_calc!$E$696&lt;=500,IF(LEN(INDEX('Our policies'!$A$4:$A$503,_calc!$E$696))=0,"",INDEX('Our policies'!$A$4:$A$503,_calc!$E$696)),"COI – "&amp;IF(LEN(INDEX('Vendor COIs'!$A$4:$A$503,(_calc!$E$696-500)))=0,"",INDEX('Vendor COIs'!$A$4:$A$503,(_calc!$E$696-500)))&amp;" – "&amp;IF(LEN(INDEX('Vendor COIs'!$B$4:$B$503,(_calc!$E$696-500)))=0,"",INDEX('Vendor COIs'!$B$4:$B$503,(_calc!$E$696-500)))))</f>
        <v/>
      </c>
      <c r="B694" s="46">
        <f>IF(_calc!$E$696="","",IF(_calc!$E$696&lt;=500,IF(ISNUMBER(INDEX('Our policies'!$J$4:$J$503,_calc!$E$696)),TEXT(INDEX('Our policies'!$J$4:$J$503,_calc!$E$696),"yyyy-mm-dd"),""),IF(ISNUMBER(INDEX('Vendor COIs'!$H$4:$H$503,(_calc!$E$696-500))),TEXT(INDEX('Vendor COIs'!$H$4:$H$503,(_calc!$E$696-500)),"yyyy-mm-dd"),"")))</f>
        <v/>
      </c>
      <c r="C694" s="46">
        <f>IF(_calc!$E$696="","",IF(_calc!$E$696&lt;=500,"Insurance","Certificate of insurance"))</f>
        <v/>
      </c>
      <c r="D694" s="46">
        <f>IF(_calc!$E$696="","",IF(_calc!$E$696&lt;=500,IF(ISNUMBER(INDEX('Our policies'!$I$4:$I$503,_calc!$E$696)),TEXT(INDEX('Our policies'!$I$4:$I$503,_calc!$E$696),"yyyy-mm-dd"),""),""))</f>
        <v/>
      </c>
      <c r="E694" s="46">
        <f>IF(_calc!$E$696="","",IF(_calc!$E$696&lt;=500,IF(LEN(INDEX('Our policies'!$Q$4:$Q$503,_calc!$E$696))=0,"",INDEX('Our policies'!$Q$4:$Q$503,_calc!$E$696)),"Medium"))</f>
        <v/>
      </c>
      <c r="F694" s="46">
        <f>IF(_calc!$E$696="","",IF(_calc!$E$696&lt;=500,TRIM(IF(LEN(IF(LEN(INDEX('Our policies'!$B$4:$B$503,_calc!$E$696))=0,"",INDEX('Our policies'!$B$4:$B$503,_calc!$E$696)))=0,"","Cover: "&amp;IF(LEN(INDEX('Our policies'!$B$4:$B$503,_calc!$E$696))=0,"",INDEX('Our policies'!$B$4:$B$503,_calc!$E$696))&amp;". ")&amp;IF(LEN(IF(LEN(INDEX('Our policies'!$C$4:$C$503,_calc!$E$696))=0,"",INDEX('Our policies'!$C$4:$C$503,_calc!$E$696)))=0,"","Insurer: "&amp;IF(LEN(INDEX('Our policies'!$C$4:$C$503,_calc!$E$696))=0,"",INDEX('Our policies'!$C$4:$C$503,_calc!$E$696))&amp;". ")&amp;IF(LEN(IF(LEN(INDEX('Our policies'!$D$4:$D$503,_calc!$E$696))=0,"",INDEX('Our policies'!$D$4:$D$503,_calc!$E$696)))=0,"","Broker: "&amp;IF(LEN(INDEX('Our policies'!$D$4:$D$503,_calc!$E$696))=0,"",INDEX('Our policies'!$D$4:$D$503,_calc!$E$696))&amp;". ")&amp;IF(LEN(IF(LEN(INDEX('Our policies'!$E$4:$E$503,_calc!$E$696))=0,"",INDEX('Our policies'!$E$4:$E$503,_calc!$E$696)))=0,"","Policy no.: "&amp;IF(LEN(INDEX('Our policies'!$E$4:$E$503,_calc!$E$696))=0,"",INDEX('Our policies'!$E$4:$E$503,_calc!$E$696))&amp;". ")&amp;IF(LEN(IF(LEN(INDEX('Our policies'!$S$4:$S$503,_calc!$E$696))=0,"",INDEX('Our policies'!$S$4:$S$503,_calc!$E$696)))=0,"",IF(LEN(INDEX('Our policies'!$S$4:$S$503,_calc!$E$696))=0,"",INDEX('Our policies'!$S$4:$S$503,_calc!$E$696)))),TRIM(IF(LEN(IF(LEN(INDEX('Vendor COIs'!$C$4:$C$503,(_calc!$E$696-500)))=0,"",INDEX('Vendor COIs'!$C$4:$C$503,(_calc!$E$696-500))))=0,"","Insurer: "&amp;IF(LEN(INDEX('Vendor COIs'!$C$4:$C$503,(_calc!$E$696-500)))=0,"",INDEX('Vendor COIs'!$C$4:$C$503,(_calc!$E$696-500)))&amp;". ")&amp;IF(LEN(IF(LEN(INDEX('Vendor COIs'!$D$4:$D$503,(_calc!$E$696-500)))=0,"",INDEX('Vendor COIs'!$D$4:$D$503,(_calc!$E$696-500))))=0,"","Policy no.: "&amp;IF(LEN(INDEX('Vendor COIs'!$D$4:$D$503,(_calc!$E$696-500)))=0,"",INDEX('Vendor COIs'!$D$4:$D$503,(_calc!$E$696-500)))&amp;". ")&amp;IF(LEN(IF(LEN(INDEX('Vendor COIs'!$F$4:$F$503,(_calc!$E$696-500)))=0,"",INDEX('Vendor COIs'!$F$4:$F$503,(_calc!$E$696-500))))=0,"","Meets minimum: "&amp;IF(LEN(INDEX('Vendor COIs'!$F$4:$F$503,(_calc!$E$696-500)))=0,"",INDEX('Vendor COIs'!$F$4:$F$503,(_calc!$E$696-500)))&amp;". ")&amp;IF(LEN(IF(LEN(INDEX('Vendor COIs'!$G$4:$G$503,(_calc!$E$696-500)))=0,"",INDEX('Vendor COIs'!$G$4:$G$503,(_calc!$E$696-500))))=0,"","Additional insured: "&amp;IF(LEN(INDEX('Vendor COIs'!$G$4:$G$503,(_calc!$E$696-500)))=0,"",INDEX('Vendor COIs'!$G$4:$G$503,(_calc!$E$696-500)))&amp;". ")&amp;IF(LEN(IF(LEN(INDEX('Vendor COIs'!$M$4:$M$503,(_calc!$E$696-500)))=0,"",INDEX('Vendor COIs'!$M$4:$M$503,(_calc!$E$696-500))))=0,"","Vendor contact: "&amp;IF(LEN(INDEX('Vendor COIs'!$M$4:$M$503,(_calc!$E$696-500)))=0,"",INDEX('Vendor COIs'!$M$4:$M$503,(_calc!$E$696-500)))&amp;". ")&amp;IF(LEN(IF(LEN(INDEX('Vendor COIs'!$P$4:$P$503,(_calc!$E$696-500)))=0,"",INDEX('Vendor COIs'!$P$4:$P$503,(_calc!$E$696-500))))=0,"",IF(LEN(INDEX('Vendor COIs'!$P$4:$P$503,(_calc!$E$696-500)))=0,"",INDEX('Vendor COIs'!$P$4:$P$503,(_calc!$E$696-500)))))))</f>
        <v/>
      </c>
      <c r="G694" s="46">
        <f>IF(_calc!$E$696="","",IF(_calc!$E$696&lt;=500,IF(LEN(INDEX('Our policies'!$R$4:$R$503,_calc!$E$696))=0,"",INDEX('Our policies'!$R$4:$R$503,_calc!$E$696)),IF(LEN(INDEX('Vendor COIs'!$O$4:$O$503,(_calc!$E$696-500)))=0,"",INDEX('Vendor COIs'!$O$4:$O$503,(_calc!$E$696-500)))))</f>
        <v/>
      </c>
      <c r="H694" s="46">
        <f>IF(_calc!$E$696="","",IF(_calc!$E$696&lt;=500,IF(LEN(INDEX('Our policies'!$G$4:$G$503,_calc!$E$696))=0,"",INDEX('Our policies'!$G$4:$G$503,_calc!$E$696)),""))</f>
        <v/>
      </c>
      <c r="I694" s="46">
        <f>IF(_calc!$E$696="","",IF(_calc!$E$696&lt;=500,IF(LEN(INDEX('Our policies'!$H$4:$H$503,_calc!$E$696))=0,"",INDEX('Our policies'!$H$4:$H$503,_calc!$E$696)),""))</f>
        <v/>
      </c>
      <c r="K694" s="46">
        <f>IF(_calc!$E$696="","",IF(_calc!$E$696&lt;=500,IF(LEN(INDEX('Our policies'!$P$4:$P$503,_calc!$E$696))=0,"",INDEX('Our policies'!$P$4:$P$503,_calc!$E$696)),IF(LEN(INDEX('Vendor COIs'!$N$4:$N$503,(_calc!$E$696-500)))=0,"",INDEX('Vendor COIs'!$N$4:$N$503,(_calc!$E$696-500)))))</f>
        <v/>
      </c>
    </row>
    <row r="695">
      <c r="A695" s="46">
        <f>IF(_calc!$E$697="","",IF(_calc!$E$697&lt;=500,IF(LEN(INDEX('Our policies'!$A$4:$A$503,_calc!$E$697))=0,"",INDEX('Our policies'!$A$4:$A$503,_calc!$E$697)),"COI – "&amp;IF(LEN(INDEX('Vendor COIs'!$A$4:$A$503,(_calc!$E$697-500)))=0,"",INDEX('Vendor COIs'!$A$4:$A$503,(_calc!$E$697-500)))&amp;" – "&amp;IF(LEN(INDEX('Vendor COIs'!$B$4:$B$503,(_calc!$E$697-500)))=0,"",INDEX('Vendor COIs'!$B$4:$B$503,(_calc!$E$697-500)))))</f>
        <v/>
      </c>
      <c r="B695" s="46">
        <f>IF(_calc!$E$697="","",IF(_calc!$E$697&lt;=500,IF(ISNUMBER(INDEX('Our policies'!$J$4:$J$503,_calc!$E$697)),TEXT(INDEX('Our policies'!$J$4:$J$503,_calc!$E$697),"yyyy-mm-dd"),""),IF(ISNUMBER(INDEX('Vendor COIs'!$H$4:$H$503,(_calc!$E$697-500))),TEXT(INDEX('Vendor COIs'!$H$4:$H$503,(_calc!$E$697-500)),"yyyy-mm-dd"),"")))</f>
        <v/>
      </c>
      <c r="C695" s="46">
        <f>IF(_calc!$E$697="","",IF(_calc!$E$697&lt;=500,"Insurance","Certificate of insurance"))</f>
        <v/>
      </c>
      <c r="D695" s="46">
        <f>IF(_calc!$E$697="","",IF(_calc!$E$697&lt;=500,IF(ISNUMBER(INDEX('Our policies'!$I$4:$I$503,_calc!$E$697)),TEXT(INDEX('Our policies'!$I$4:$I$503,_calc!$E$697),"yyyy-mm-dd"),""),""))</f>
        <v/>
      </c>
      <c r="E695" s="46">
        <f>IF(_calc!$E$697="","",IF(_calc!$E$697&lt;=500,IF(LEN(INDEX('Our policies'!$Q$4:$Q$503,_calc!$E$697))=0,"",INDEX('Our policies'!$Q$4:$Q$503,_calc!$E$697)),"Medium"))</f>
        <v/>
      </c>
      <c r="F695" s="46">
        <f>IF(_calc!$E$697="","",IF(_calc!$E$697&lt;=500,TRIM(IF(LEN(IF(LEN(INDEX('Our policies'!$B$4:$B$503,_calc!$E$697))=0,"",INDEX('Our policies'!$B$4:$B$503,_calc!$E$697)))=0,"","Cover: "&amp;IF(LEN(INDEX('Our policies'!$B$4:$B$503,_calc!$E$697))=0,"",INDEX('Our policies'!$B$4:$B$503,_calc!$E$697))&amp;". ")&amp;IF(LEN(IF(LEN(INDEX('Our policies'!$C$4:$C$503,_calc!$E$697))=0,"",INDEX('Our policies'!$C$4:$C$503,_calc!$E$697)))=0,"","Insurer: "&amp;IF(LEN(INDEX('Our policies'!$C$4:$C$503,_calc!$E$697))=0,"",INDEX('Our policies'!$C$4:$C$503,_calc!$E$697))&amp;". ")&amp;IF(LEN(IF(LEN(INDEX('Our policies'!$D$4:$D$503,_calc!$E$697))=0,"",INDEX('Our policies'!$D$4:$D$503,_calc!$E$697)))=0,"","Broker: "&amp;IF(LEN(INDEX('Our policies'!$D$4:$D$503,_calc!$E$697))=0,"",INDEX('Our policies'!$D$4:$D$503,_calc!$E$697))&amp;". ")&amp;IF(LEN(IF(LEN(INDEX('Our policies'!$E$4:$E$503,_calc!$E$697))=0,"",INDEX('Our policies'!$E$4:$E$503,_calc!$E$697)))=0,"","Policy no.: "&amp;IF(LEN(INDEX('Our policies'!$E$4:$E$503,_calc!$E$697))=0,"",INDEX('Our policies'!$E$4:$E$503,_calc!$E$697))&amp;". ")&amp;IF(LEN(IF(LEN(INDEX('Our policies'!$S$4:$S$503,_calc!$E$697))=0,"",INDEX('Our policies'!$S$4:$S$503,_calc!$E$697)))=0,"",IF(LEN(INDEX('Our policies'!$S$4:$S$503,_calc!$E$697))=0,"",INDEX('Our policies'!$S$4:$S$503,_calc!$E$697)))),TRIM(IF(LEN(IF(LEN(INDEX('Vendor COIs'!$C$4:$C$503,(_calc!$E$697-500)))=0,"",INDEX('Vendor COIs'!$C$4:$C$503,(_calc!$E$697-500))))=0,"","Insurer: "&amp;IF(LEN(INDEX('Vendor COIs'!$C$4:$C$503,(_calc!$E$697-500)))=0,"",INDEX('Vendor COIs'!$C$4:$C$503,(_calc!$E$697-500)))&amp;". ")&amp;IF(LEN(IF(LEN(INDEX('Vendor COIs'!$D$4:$D$503,(_calc!$E$697-500)))=0,"",INDEX('Vendor COIs'!$D$4:$D$503,(_calc!$E$697-500))))=0,"","Policy no.: "&amp;IF(LEN(INDEX('Vendor COIs'!$D$4:$D$503,(_calc!$E$697-500)))=0,"",INDEX('Vendor COIs'!$D$4:$D$503,(_calc!$E$697-500)))&amp;". ")&amp;IF(LEN(IF(LEN(INDEX('Vendor COIs'!$F$4:$F$503,(_calc!$E$697-500)))=0,"",INDEX('Vendor COIs'!$F$4:$F$503,(_calc!$E$697-500))))=0,"","Meets minimum: "&amp;IF(LEN(INDEX('Vendor COIs'!$F$4:$F$503,(_calc!$E$697-500)))=0,"",INDEX('Vendor COIs'!$F$4:$F$503,(_calc!$E$697-500)))&amp;". ")&amp;IF(LEN(IF(LEN(INDEX('Vendor COIs'!$G$4:$G$503,(_calc!$E$697-500)))=0,"",INDEX('Vendor COIs'!$G$4:$G$503,(_calc!$E$697-500))))=0,"","Additional insured: "&amp;IF(LEN(INDEX('Vendor COIs'!$G$4:$G$503,(_calc!$E$697-500)))=0,"",INDEX('Vendor COIs'!$G$4:$G$503,(_calc!$E$697-500)))&amp;". ")&amp;IF(LEN(IF(LEN(INDEX('Vendor COIs'!$M$4:$M$503,(_calc!$E$697-500)))=0,"",INDEX('Vendor COIs'!$M$4:$M$503,(_calc!$E$697-500))))=0,"","Vendor contact: "&amp;IF(LEN(INDEX('Vendor COIs'!$M$4:$M$503,(_calc!$E$697-500)))=0,"",INDEX('Vendor COIs'!$M$4:$M$503,(_calc!$E$697-500)))&amp;". ")&amp;IF(LEN(IF(LEN(INDEX('Vendor COIs'!$P$4:$P$503,(_calc!$E$697-500)))=0,"",INDEX('Vendor COIs'!$P$4:$P$503,(_calc!$E$697-500))))=0,"",IF(LEN(INDEX('Vendor COIs'!$P$4:$P$503,(_calc!$E$697-500)))=0,"",INDEX('Vendor COIs'!$P$4:$P$503,(_calc!$E$697-500)))))))</f>
        <v/>
      </c>
      <c r="G695" s="46">
        <f>IF(_calc!$E$697="","",IF(_calc!$E$697&lt;=500,IF(LEN(INDEX('Our policies'!$R$4:$R$503,_calc!$E$697))=0,"",INDEX('Our policies'!$R$4:$R$503,_calc!$E$697)),IF(LEN(INDEX('Vendor COIs'!$O$4:$O$503,(_calc!$E$697-500)))=0,"",INDEX('Vendor COIs'!$O$4:$O$503,(_calc!$E$697-500)))))</f>
        <v/>
      </c>
      <c r="H695" s="46">
        <f>IF(_calc!$E$697="","",IF(_calc!$E$697&lt;=500,IF(LEN(INDEX('Our policies'!$G$4:$G$503,_calc!$E$697))=0,"",INDEX('Our policies'!$G$4:$G$503,_calc!$E$697)),""))</f>
        <v/>
      </c>
      <c r="I695" s="46">
        <f>IF(_calc!$E$697="","",IF(_calc!$E$697&lt;=500,IF(LEN(INDEX('Our policies'!$H$4:$H$503,_calc!$E$697))=0,"",INDEX('Our policies'!$H$4:$H$503,_calc!$E$697)),""))</f>
        <v/>
      </c>
      <c r="K695" s="46">
        <f>IF(_calc!$E$697="","",IF(_calc!$E$697&lt;=500,IF(LEN(INDEX('Our policies'!$P$4:$P$503,_calc!$E$697))=0,"",INDEX('Our policies'!$P$4:$P$503,_calc!$E$697)),IF(LEN(INDEX('Vendor COIs'!$N$4:$N$503,(_calc!$E$697-500)))=0,"",INDEX('Vendor COIs'!$N$4:$N$503,(_calc!$E$697-500)))))</f>
        <v/>
      </c>
    </row>
    <row r="696">
      <c r="A696" s="46">
        <f>IF(_calc!$E$698="","",IF(_calc!$E$698&lt;=500,IF(LEN(INDEX('Our policies'!$A$4:$A$503,_calc!$E$698))=0,"",INDEX('Our policies'!$A$4:$A$503,_calc!$E$698)),"COI – "&amp;IF(LEN(INDEX('Vendor COIs'!$A$4:$A$503,(_calc!$E$698-500)))=0,"",INDEX('Vendor COIs'!$A$4:$A$503,(_calc!$E$698-500)))&amp;" – "&amp;IF(LEN(INDEX('Vendor COIs'!$B$4:$B$503,(_calc!$E$698-500)))=0,"",INDEX('Vendor COIs'!$B$4:$B$503,(_calc!$E$698-500)))))</f>
        <v/>
      </c>
      <c r="B696" s="46">
        <f>IF(_calc!$E$698="","",IF(_calc!$E$698&lt;=500,IF(ISNUMBER(INDEX('Our policies'!$J$4:$J$503,_calc!$E$698)),TEXT(INDEX('Our policies'!$J$4:$J$503,_calc!$E$698),"yyyy-mm-dd"),""),IF(ISNUMBER(INDEX('Vendor COIs'!$H$4:$H$503,(_calc!$E$698-500))),TEXT(INDEX('Vendor COIs'!$H$4:$H$503,(_calc!$E$698-500)),"yyyy-mm-dd"),"")))</f>
        <v/>
      </c>
      <c r="C696" s="46">
        <f>IF(_calc!$E$698="","",IF(_calc!$E$698&lt;=500,"Insurance","Certificate of insurance"))</f>
        <v/>
      </c>
      <c r="D696" s="46">
        <f>IF(_calc!$E$698="","",IF(_calc!$E$698&lt;=500,IF(ISNUMBER(INDEX('Our policies'!$I$4:$I$503,_calc!$E$698)),TEXT(INDEX('Our policies'!$I$4:$I$503,_calc!$E$698),"yyyy-mm-dd"),""),""))</f>
        <v/>
      </c>
      <c r="E696" s="46">
        <f>IF(_calc!$E$698="","",IF(_calc!$E$698&lt;=500,IF(LEN(INDEX('Our policies'!$Q$4:$Q$503,_calc!$E$698))=0,"",INDEX('Our policies'!$Q$4:$Q$503,_calc!$E$698)),"Medium"))</f>
        <v/>
      </c>
      <c r="F696" s="46">
        <f>IF(_calc!$E$698="","",IF(_calc!$E$698&lt;=500,TRIM(IF(LEN(IF(LEN(INDEX('Our policies'!$B$4:$B$503,_calc!$E$698))=0,"",INDEX('Our policies'!$B$4:$B$503,_calc!$E$698)))=0,"","Cover: "&amp;IF(LEN(INDEX('Our policies'!$B$4:$B$503,_calc!$E$698))=0,"",INDEX('Our policies'!$B$4:$B$503,_calc!$E$698))&amp;". ")&amp;IF(LEN(IF(LEN(INDEX('Our policies'!$C$4:$C$503,_calc!$E$698))=0,"",INDEX('Our policies'!$C$4:$C$503,_calc!$E$698)))=0,"","Insurer: "&amp;IF(LEN(INDEX('Our policies'!$C$4:$C$503,_calc!$E$698))=0,"",INDEX('Our policies'!$C$4:$C$503,_calc!$E$698))&amp;". ")&amp;IF(LEN(IF(LEN(INDEX('Our policies'!$D$4:$D$503,_calc!$E$698))=0,"",INDEX('Our policies'!$D$4:$D$503,_calc!$E$698)))=0,"","Broker: "&amp;IF(LEN(INDEX('Our policies'!$D$4:$D$503,_calc!$E$698))=0,"",INDEX('Our policies'!$D$4:$D$503,_calc!$E$698))&amp;". ")&amp;IF(LEN(IF(LEN(INDEX('Our policies'!$E$4:$E$503,_calc!$E$698))=0,"",INDEX('Our policies'!$E$4:$E$503,_calc!$E$698)))=0,"","Policy no.: "&amp;IF(LEN(INDEX('Our policies'!$E$4:$E$503,_calc!$E$698))=0,"",INDEX('Our policies'!$E$4:$E$503,_calc!$E$698))&amp;". ")&amp;IF(LEN(IF(LEN(INDEX('Our policies'!$S$4:$S$503,_calc!$E$698))=0,"",INDEX('Our policies'!$S$4:$S$503,_calc!$E$698)))=0,"",IF(LEN(INDEX('Our policies'!$S$4:$S$503,_calc!$E$698))=0,"",INDEX('Our policies'!$S$4:$S$503,_calc!$E$698)))),TRIM(IF(LEN(IF(LEN(INDEX('Vendor COIs'!$C$4:$C$503,(_calc!$E$698-500)))=0,"",INDEX('Vendor COIs'!$C$4:$C$503,(_calc!$E$698-500))))=0,"","Insurer: "&amp;IF(LEN(INDEX('Vendor COIs'!$C$4:$C$503,(_calc!$E$698-500)))=0,"",INDEX('Vendor COIs'!$C$4:$C$503,(_calc!$E$698-500)))&amp;". ")&amp;IF(LEN(IF(LEN(INDEX('Vendor COIs'!$D$4:$D$503,(_calc!$E$698-500)))=0,"",INDEX('Vendor COIs'!$D$4:$D$503,(_calc!$E$698-500))))=0,"","Policy no.: "&amp;IF(LEN(INDEX('Vendor COIs'!$D$4:$D$503,(_calc!$E$698-500)))=0,"",INDEX('Vendor COIs'!$D$4:$D$503,(_calc!$E$698-500)))&amp;". ")&amp;IF(LEN(IF(LEN(INDEX('Vendor COIs'!$F$4:$F$503,(_calc!$E$698-500)))=0,"",INDEX('Vendor COIs'!$F$4:$F$503,(_calc!$E$698-500))))=0,"","Meets minimum: "&amp;IF(LEN(INDEX('Vendor COIs'!$F$4:$F$503,(_calc!$E$698-500)))=0,"",INDEX('Vendor COIs'!$F$4:$F$503,(_calc!$E$698-500)))&amp;". ")&amp;IF(LEN(IF(LEN(INDEX('Vendor COIs'!$G$4:$G$503,(_calc!$E$698-500)))=0,"",INDEX('Vendor COIs'!$G$4:$G$503,(_calc!$E$698-500))))=0,"","Additional insured: "&amp;IF(LEN(INDEX('Vendor COIs'!$G$4:$G$503,(_calc!$E$698-500)))=0,"",INDEX('Vendor COIs'!$G$4:$G$503,(_calc!$E$698-500)))&amp;". ")&amp;IF(LEN(IF(LEN(INDEX('Vendor COIs'!$M$4:$M$503,(_calc!$E$698-500)))=0,"",INDEX('Vendor COIs'!$M$4:$M$503,(_calc!$E$698-500))))=0,"","Vendor contact: "&amp;IF(LEN(INDEX('Vendor COIs'!$M$4:$M$503,(_calc!$E$698-500)))=0,"",INDEX('Vendor COIs'!$M$4:$M$503,(_calc!$E$698-500)))&amp;". ")&amp;IF(LEN(IF(LEN(INDEX('Vendor COIs'!$P$4:$P$503,(_calc!$E$698-500)))=0,"",INDEX('Vendor COIs'!$P$4:$P$503,(_calc!$E$698-500))))=0,"",IF(LEN(INDEX('Vendor COIs'!$P$4:$P$503,(_calc!$E$698-500)))=0,"",INDEX('Vendor COIs'!$P$4:$P$503,(_calc!$E$698-500)))))))</f>
        <v/>
      </c>
      <c r="G696" s="46">
        <f>IF(_calc!$E$698="","",IF(_calc!$E$698&lt;=500,IF(LEN(INDEX('Our policies'!$R$4:$R$503,_calc!$E$698))=0,"",INDEX('Our policies'!$R$4:$R$503,_calc!$E$698)),IF(LEN(INDEX('Vendor COIs'!$O$4:$O$503,(_calc!$E$698-500)))=0,"",INDEX('Vendor COIs'!$O$4:$O$503,(_calc!$E$698-500)))))</f>
        <v/>
      </c>
      <c r="H696" s="46">
        <f>IF(_calc!$E$698="","",IF(_calc!$E$698&lt;=500,IF(LEN(INDEX('Our policies'!$G$4:$G$503,_calc!$E$698))=0,"",INDEX('Our policies'!$G$4:$G$503,_calc!$E$698)),""))</f>
        <v/>
      </c>
      <c r="I696" s="46">
        <f>IF(_calc!$E$698="","",IF(_calc!$E$698&lt;=500,IF(LEN(INDEX('Our policies'!$H$4:$H$503,_calc!$E$698))=0,"",INDEX('Our policies'!$H$4:$H$503,_calc!$E$698)),""))</f>
        <v/>
      </c>
      <c r="K696" s="46">
        <f>IF(_calc!$E$698="","",IF(_calc!$E$698&lt;=500,IF(LEN(INDEX('Our policies'!$P$4:$P$503,_calc!$E$698))=0,"",INDEX('Our policies'!$P$4:$P$503,_calc!$E$698)),IF(LEN(INDEX('Vendor COIs'!$N$4:$N$503,(_calc!$E$698-500)))=0,"",INDEX('Vendor COIs'!$N$4:$N$503,(_calc!$E$698-500)))))</f>
        <v/>
      </c>
    </row>
    <row r="697">
      <c r="A697" s="46">
        <f>IF(_calc!$E$699="","",IF(_calc!$E$699&lt;=500,IF(LEN(INDEX('Our policies'!$A$4:$A$503,_calc!$E$699))=0,"",INDEX('Our policies'!$A$4:$A$503,_calc!$E$699)),"COI – "&amp;IF(LEN(INDEX('Vendor COIs'!$A$4:$A$503,(_calc!$E$699-500)))=0,"",INDEX('Vendor COIs'!$A$4:$A$503,(_calc!$E$699-500)))&amp;" – "&amp;IF(LEN(INDEX('Vendor COIs'!$B$4:$B$503,(_calc!$E$699-500)))=0,"",INDEX('Vendor COIs'!$B$4:$B$503,(_calc!$E$699-500)))))</f>
        <v/>
      </c>
      <c r="B697" s="46">
        <f>IF(_calc!$E$699="","",IF(_calc!$E$699&lt;=500,IF(ISNUMBER(INDEX('Our policies'!$J$4:$J$503,_calc!$E$699)),TEXT(INDEX('Our policies'!$J$4:$J$503,_calc!$E$699),"yyyy-mm-dd"),""),IF(ISNUMBER(INDEX('Vendor COIs'!$H$4:$H$503,(_calc!$E$699-500))),TEXT(INDEX('Vendor COIs'!$H$4:$H$503,(_calc!$E$699-500)),"yyyy-mm-dd"),"")))</f>
        <v/>
      </c>
      <c r="C697" s="46">
        <f>IF(_calc!$E$699="","",IF(_calc!$E$699&lt;=500,"Insurance","Certificate of insurance"))</f>
        <v/>
      </c>
      <c r="D697" s="46">
        <f>IF(_calc!$E$699="","",IF(_calc!$E$699&lt;=500,IF(ISNUMBER(INDEX('Our policies'!$I$4:$I$503,_calc!$E$699)),TEXT(INDEX('Our policies'!$I$4:$I$503,_calc!$E$699),"yyyy-mm-dd"),""),""))</f>
        <v/>
      </c>
      <c r="E697" s="46">
        <f>IF(_calc!$E$699="","",IF(_calc!$E$699&lt;=500,IF(LEN(INDEX('Our policies'!$Q$4:$Q$503,_calc!$E$699))=0,"",INDEX('Our policies'!$Q$4:$Q$503,_calc!$E$699)),"Medium"))</f>
        <v/>
      </c>
      <c r="F697" s="46">
        <f>IF(_calc!$E$699="","",IF(_calc!$E$699&lt;=500,TRIM(IF(LEN(IF(LEN(INDEX('Our policies'!$B$4:$B$503,_calc!$E$699))=0,"",INDEX('Our policies'!$B$4:$B$503,_calc!$E$699)))=0,"","Cover: "&amp;IF(LEN(INDEX('Our policies'!$B$4:$B$503,_calc!$E$699))=0,"",INDEX('Our policies'!$B$4:$B$503,_calc!$E$699))&amp;". ")&amp;IF(LEN(IF(LEN(INDEX('Our policies'!$C$4:$C$503,_calc!$E$699))=0,"",INDEX('Our policies'!$C$4:$C$503,_calc!$E$699)))=0,"","Insurer: "&amp;IF(LEN(INDEX('Our policies'!$C$4:$C$503,_calc!$E$699))=0,"",INDEX('Our policies'!$C$4:$C$503,_calc!$E$699))&amp;". ")&amp;IF(LEN(IF(LEN(INDEX('Our policies'!$D$4:$D$503,_calc!$E$699))=0,"",INDEX('Our policies'!$D$4:$D$503,_calc!$E$699)))=0,"","Broker: "&amp;IF(LEN(INDEX('Our policies'!$D$4:$D$503,_calc!$E$699))=0,"",INDEX('Our policies'!$D$4:$D$503,_calc!$E$699))&amp;". ")&amp;IF(LEN(IF(LEN(INDEX('Our policies'!$E$4:$E$503,_calc!$E$699))=0,"",INDEX('Our policies'!$E$4:$E$503,_calc!$E$699)))=0,"","Policy no.: "&amp;IF(LEN(INDEX('Our policies'!$E$4:$E$503,_calc!$E$699))=0,"",INDEX('Our policies'!$E$4:$E$503,_calc!$E$699))&amp;". ")&amp;IF(LEN(IF(LEN(INDEX('Our policies'!$S$4:$S$503,_calc!$E$699))=0,"",INDEX('Our policies'!$S$4:$S$503,_calc!$E$699)))=0,"",IF(LEN(INDEX('Our policies'!$S$4:$S$503,_calc!$E$699))=0,"",INDEX('Our policies'!$S$4:$S$503,_calc!$E$699)))),TRIM(IF(LEN(IF(LEN(INDEX('Vendor COIs'!$C$4:$C$503,(_calc!$E$699-500)))=0,"",INDEX('Vendor COIs'!$C$4:$C$503,(_calc!$E$699-500))))=0,"","Insurer: "&amp;IF(LEN(INDEX('Vendor COIs'!$C$4:$C$503,(_calc!$E$699-500)))=0,"",INDEX('Vendor COIs'!$C$4:$C$503,(_calc!$E$699-500)))&amp;". ")&amp;IF(LEN(IF(LEN(INDEX('Vendor COIs'!$D$4:$D$503,(_calc!$E$699-500)))=0,"",INDEX('Vendor COIs'!$D$4:$D$503,(_calc!$E$699-500))))=0,"","Policy no.: "&amp;IF(LEN(INDEX('Vendor COIs'!$D$4:$D$503,(_calc!$E$699-500)))=0,"",INDEX('Vendor COIs'!$D$4:$D$503,(_calc!$E$699-500)))&amp;". ")&amp;IF(LEN(IF(LEN(INDEX('Vendor COIs'!$F$4:$F$503,(_calc!$E$699-500)))=0,"",INDEX('Vendor COIs'!$F$4:$F$503,(_calc!$E$699-500))))=0,"","Meets minimum: "&amp;IF(LEN(INDEX('Vendor COIs'!$F$4:$F$503,(_calc!$E$699-500)))=0,"",INDEX('Vendor COIs'!$F$4:$F$503,(_calc!$E$699-500)))&amp;". ")&amp;IF(LEN(IF(LEN(INDEX('Vendor COIs'!$G$4:$G$503,(_calc!$E$699-500)))=0,"",INDEX('Vendor COIs'!$G$4:$G$503,(_calc!$E$699-500))))=0,"","Additional insured: "&amp;IF(LEN(INDEX('Vendor COIs'!$G$4:$G$503,(_calc!$E$699-500)))=0,"",INDEX('Vendor COIs'!$G$4:$G$503,(_calc!$E$699-500)))&amp;". ")&amp;IF(LEN(IF(LEN(INDEX('Vendor COIs'!$M$4:$M$503,(_calc!$E$699-500)))=0,"",INDEX('Vendor COIs'!$M$4:$M$503,(_calc!$E$699-500))))=0,"","Vendor contact: "&amp;IF(LEN(INDEX('Vendor COIs'!$M$4:$M$503,(_calc!$E$699-500)))=0,"",INDEX('Vendor COIs'!$M$4:$M$503,(_calc!$E$699-500)))&amp;". ")&amp;IF(LEN(IF(LEN(INDEX('Vendor COIs'!$P$4:$P$503,(_calc!$E$699-500)))=0,"",INDEX('Vendor COIs'!$P$4:$P$503,(_calc!$E$699-500))))=0,"",IF(LEN(INDEX('Vendor COIs'!$P$4:$P$503,(_calc!$E$699-500)))=0,"",INDEX('Vendor COIs'!$P$4:$P$503,(_calc!$E$699-500)))))))</f>
        <v/>
      </c>
      <c r="G697" s="46">
        <f>IF(_calc!$E$699="","",IF(_calc!$E$699&lt;=500,IF(LEN(INDEX('Our policies'!$R$4:$R$503,_calc!$E$699))=0,"",INDEX('Our policies'!$R$4:$R$503,_calc!$E$699)),IF(LEN(INDEX('Vendor COIs'!$O$4:$O$503,(_calc!$E$699-500)))=0,"",INDEX('Vendor COIs'!$O$4:$O$503,(_calc!$E$699-500)))))</f>
        <v/>
      </c>
      <c r="H697" s="46">
        <f>IF(_calc!$E$699="","",IF(_calc!$E$699&lt;=500,IF(LEN(INDEX('Our policies'!$G$4:$G$503,_calc!$E$699))=0,"",INDEX('Our policies'!$G$4:$G$503,_calc!$E$699)),""))</f>
        <v/>
      </c>
      <c r="I697" s="46">
        <f>IF(_calc!$E$699="","",IF(_calc!$E$699&lt;=500,IF(LEN(INDEX('Our policies'!$H$4:$H$503,_calc!$E$699))=0,"",INDEX('Our policies'!$H$4:$H$503,_calc!$E$699)),""))</f>
        <v/>
      </c>
      <c r="K697" s="46">
        <f>IF(_calc!$E$699="","",IF(_calc!$E$699&lt;=500,IF(LEN(INDEX('Our policies'!$P$4:$P$503,_calc!$E$699))=0,"",INDEX('Our policies'!$P$4:$P$503,_calc!$E$699)),IF(LEN(INDEX('Vendor COIs'!$N$4:$N$503,(_calc!$E$699-500)))=0,"",INDEX('Vendor COIs'!$N$4:$N$503,(_calc!$E$699-500)))))</f>
        <v/>
      </c>
    </row>
    <row r="698">
      <c r="A698" s="46">
        <f>IF(_calc!$E$700="","",IF(_calc!$E$700&lt;=500,IF(LEN(INDEX('Our policies'!$A$4:$A$503,_calc!$E$700))=0,"",INDEX('Our policies'!$A$4:$A$503,_calc!$E$700)),"COI – "&amp;IF(LEN(INDEX('Vendor COIs'!$A$4:$A$503,(_calc!$E$700-500)))=0,"",INDEX('Vendor COIs'!$A$4:$A$503,(_calc!$E$700-500)))&amp;" – "&amp;IF(LEN(INDEX('Vendor COIs'!$B$4:$B$503,(_calc!$E$700-500)))=0,"",INDEX('Vendor COIs'!$B$4:$B$503,(_calc!$E$700-500)))))</f>
        <v/>
      </c>
      <c r="B698" s="46">
        <f>IF(_calc!$E$700="","",IF(_calc!$E$700&lt;=500,IF(ISNUMBER(INDEX('Our policies'!$J$4:$J$503,_calc!$E$700)),TEXT(INDEX('Our policies'!$J$4:$J$503,_calc!$E$700),"yyyy-mm-dd"),""),IF(ISNUMBER(INDEX('Vendor COIs'!$H$4:$H$503,(_calc!$E$700-500))),TEXT(INDEX('Vendor COIs'!$H$4:$H$503,(_calc!$E$700-500)),"yyyy-mm-dd"),"")))</f>
        <v/>
      </c>
      <c r="C698" s="46">
        <f>IF(_calc!$E$700="","",IF(_calc!$E$700&lt;=500,"Insurance","Certificate of insurance"))</f>
        <v/>
      </c>
      <c r="D698" s="46">
        <f>IF(_calc!$E$700="","",IF(_calc!$E$700&lt;=500,IF(ISNUMBER(INDEX('Our policies'!$I$4:$I$503,_calc!$E$700)),TEXT(INDEX('Our policies'!$I$4:$I$503,_calc!$E$700),"yyyy-mm-dd"),""),""))</f>
        <v/>
      </c>
      <c r="E698" s="46">
        <f>IF(_calc!$E$700="","",IF(_calc!$E$700&lt;=500,IF(LEN(INDEX('Our policies'!$Q$4:$Q$503,_calc!$E$700))=0,"",INDEX('Our policies'!$Q$4:$Q$503,_calc!$E$700)),"Medium"))</f>
        <v/>
      </c>
      <c r="F698" s="46">
        <f>IF(_calc!$E$700="","",IF(_calc!$E$700&lt;=500,TRIM(IF(LEN(IF(LEN(INDEX('Our policies'!$B$4:$B$503,_calc!$E$700))=0,"",INDEX('Our policies'!$B$4:$B$503,_calc!$E$700)))=0,"","Cover: "&amp;IF(LEN(INDEX('Our policies'!$B$4:$B$503,_calc!$E$700))=0,"",INDEX('Our policies'!$B$4:$B$503,_calc!$E$700))&amp;". ")&amp;IF(LEN(IF(LEN(INDEX('Our policies'!$C$4:$C$503,_calc!$E$700))=0,"",INDEX('Our policies'!$C$4:$C$503,_calc!$E$700)))=0,"","Insurer: "&amp;IF(LEN(INDEX('Our policies'!$C$4:$C$503,_calc!$E$700))=0,"",INDEX('Our policies'!$C$4:$C$503,_calc!$E$700))&amp;". ")&amp;IF(LEN(IF(LEN(INDEX('Our policies'!$D$4:$D$503,_calc!$E$700))=0,"",INDEX('Our policies'!$D$4:$D$503,_calc!$E$700)))=0,"","Broker: "&amp;IF(LEN(INDEX('Our policies'!$D$4:$D$503,_calc!$E$700))=0,"",INDEX('Our policies'!$D$4:$D$503,_calc!$E$700))&amp;". ")&amp;IF(LEN(IF(LEN(INDEX('Our policies'!$E$4:$E$503,_calc!$E$700))=0,"",INDEX('Our policies'!$E$4:$E$503,_calc!$E$700)))=0,"","Policy no.: "&amp;IF(LEN(INDEX('Our policies'!$E$4:$E$503,_calc!$E$700))=0,"",INDEX('Our policies'!$E$4:$E$503,_calc!$E$700))&amp;". ")&amp;IF(LEN(IF(LEN(INDEX('Our policies'!$S$4:$S$503,_calc!$E$700))=0,"",INDEX('Our policies'!$S$4:$S$503,_calc!$E$700)))=0,"",IF(LEN(INDEX('Our policies'!$S$4:$S$503,_calc!$E$700))=0,"",INDEX('Our policies'!$S$4:$S$503,_calc!$E$700)))),TRIM(IF(LEN(IF(LEN(INDEX('Vendor COIs'!$C$4:$C$503,(_calc!$E$700-500)))=0,"",INDEX('Vendor COIs'!$C$4:$C$503,(_calc!$E$700-500))))=0,"","Insurer: "&amp;IF(LEN(INDEX('Vendor COIs'!$C$4:$C$503,(_calc!$E$700-500)))=0,"",INDEX('Vendor COIs'!$C$4:$C$503,(_calc!$E$700-500)))&amp;". ")&amp;IF(LEN(IF(LEN(INDEX('Vendor COIs'!$D$4:$D$503,(_calc!$E$700-500)))=0,"",INDEX('Vendor COIs'!$D$4:$D$503,(_calc!$E$700-500))))=0,"","Policy no.: "&amp;IF(LEN(INDEX('Vendor COIs'!$D$4:$D$503,(_calc!$E$700-500)))=0,"",INDEX('Vendor COIs'!$D$4:$D$503,(_calc!$E$700-500)))&amp;". ")&amp;IF(LEN(IF(LEN(INDEX('Vendor COIs'!$F$4:$F$503,(_calc!$E$700-500)))=0,"",INDEX('Vendor COIs'!$F$4:$F$503,(_calc!$E$700-500))))=0,"","Meets minimum: "&amp;IF(LEN(INDEX('Vendor COIs'!$F$4:$F$503,(_calc!$E$700-500)))=0,"",INDEX('Vendor COIs'!$F$4:$F$503,(_calc!$E$700-500)))&amp;". ")&amp;IF(LEN(IF(LEN(INDEX('Vendor COIs'!$G$4:$G$503,(_calc!$E$700-500)))=0,"",INDEX('Vendor COIs'!$G$4:$G$503,(_calc!$E$700-500))))=0,"","Additional insured: "&amp;IF(LEN(INDEX('Vendor COIs'!$G$4:$G$503,(_calc!$E$700-500)))=0,"",INDEX('Vendor COIs'!$G$4:$G$503,(_calc!$E$700-500)))&amp;". ")&amp;IF(LEN(IF(LEN(INDEX('Vendor COIs'!$M$4:$M$503,(_calc!$E$700-500)))=0,"",INDEX('Vendor COIs'!$M$4:$M$503,(_calc!$E$700-500))))=0,"","Vendor contact: "&amp;IF(LEN(INDEX('Vendor COIs'!$M$4:$M$503,(_calc!$E$700-500)))=0,"",INDEX('Vendor COIs'!$M$4:$M$503,(_calc!$E$700-500)))&amp;". ")&amp;IF(LEN(IF(LEN(INDEX('Vendor COIs'!$P$4:$P$503,(_calc!$E$700-500)))=0,"",INDEX('Vendor COIs'!$P$4:$P$503,(_calc!$E$700-500))))=0,"",IF(LEN(INDEX('Vendor COIs'!$P$4:$P$503,(_calc!$E$700-500)))=0,"",INDEX('Vendor COIs'!$P$4:$P$503,(_calc!$E$700-500)))))))</f>
        <v/>
      </c>
      <c r="G698" s="46">
        <f>IF(_calc!$E$700="","",IF(_calc!$E$700&lt;=500,IF(LEN(INDEX('Our policies'!$R$4:$R$503,_calc!$E$700))=0,"",INDEX('Our policies'!$R$4:$R$503,_calc!$E$700)),IF(LEN(INDEX('Vendor COIs'!$O$4:$O$503,(_calc!$E$700-500)))=0,"",INDEX('Vendor COIs'!$O$4:$O$503,(_calc!$E$700-500)))))</f>
        <v/>
      </c>
      <c r="H698" s="46">
        <f>IF(_calc!$E$700="","",IF(_calc!$E$700&lt;=500,IF(LEN(INDEX('Our policies'!$G$4:$G$503,_calc!$E$700))=0,"",INDEX('Our policies'!$G$4:$G$503,_calc!$E$700)),""))</f>
        <v/>
      </c>
      <c r="I698" s="46">
        <f>IF(_calc!$E$700="","",IF(_calc!$E$700&lt;=500,IF(LEN(INDEX('Our policies'!$H$4:$H$503,_calc!$E$700))=0,"",INDEX('Our policies'!$H$4:$H$503,_calc!$E$700)),""))</f>
        <v/>
      </c>
      <c r="K698" s="46">
        <f>IF(_calc!$E$700="","",IF(_calc!$E$700&lt;=500,IF(LEN(INDEX('Our policies'!$P$4:$P$503,_calc!$E$700))=0,"",INDEX('Our policies'!$P$4:$P$503,_calc!$E$700)),IF(LEN(INDEX('Vendor COIs'!$N$4:$N$503,(_calc!$E$700-500)))=0,"",INDEX('Vendor COIs'!$N$4:$N$503,(_calc!$E$700-500)))))</f>
        <v/>
      </c>
    </row>
    <row r="699">
      <c r="A699" s="46">
        <f>IF(_calc!$E$701="","",IF(_calc!$E$701&lt;=500,IF(LEN(INDEX('Our policies'!$A$4:$A$503,_calc!$E$701))=0,"",INDEX('Our policies'!$A$4:$A$503,_calc!$E$701)),"COI – "&amp;IF(LEN(INDEX('Vendor COIs'!$A$4:$A$503,(_calc!$E$701-500)))=0,"",INDEX('Vendor COIs'!$A$4:$A$503,(_calc!$E$701-500)))&amp;" – "&amp;IF(LEN(INDEX('Vendor COIs'!$B$4:$B$503,(_calc!$E$701-500)))=0,"",INDEX('Vendor COIs'!$B$4:$B$503,(_calc!$E$701-500)))))</f>
        <v/>
      </c>
      <c r="B699" s="46">
        <f>IF(_calc!$E$701="","",IF(_calc!$E$701&lt;=500,IF(ISNUMBER(INDEX('Our policies'!$J$4:$J$503,_calc!$E$701)),TEXT(INDEX('Our policies'!$J$4:$J$503,_calc!$E$701),"yyyy-mm-dd"),""),IF(ISNUMBER(INDEX('Vendor COIs'!$H$4:$H$503,(_calc!$E$701-500))),TEXT(INDEX('Vendor COIs'!$H$4:$H$503,(_calc!$E$701-500)),"yyyy-mm-dd"),"")))</f>
        <v/>
      </c>
      <c r="C699" s="46">
        <f>IF(_calc!$E$701="","",IF(_calc!$E$701&lt;=500,"Insurance","Certificate of insurance"))</f>
        <v/>
      </c>
      <c r="D699" s="46">
        <f>IF(_calc!$E$701="","",IF(_calc!$E$701&lt;=500,IF(ISNUMBER(INDEX('Our policies'!$I$4:$I$503,_calc!$E$701)),TEXT(INDEX('Our policies'!$I$4:$I$503,_calc!$E$701),"yyyy-mm-dd"),""),""))</f>
        <v/>
      </c>
      <c r="E699" s="46">
        <f>IF(_calc!$E$701="","",IF(_calc!$E$701&lt;=500,IF(LEN(INDEX('Our policies'!$Q$4:$Q$503,_calc!$E$701))=0,"",INDEX('Our policies'!$Q$4:$Q$503,_calc!$E$701)),"Medium"))</f>
        <v/>
      </c>
      <c r="F699" s="46">
        <f>IF(_calc!$E$701="","",IF(_calc!$E$701&lt;=500,TRIM(IF(LEN(IF(LEN(INDEX('Our policies'!$B$4:$B$503,_calc!$E$701))=0,"",INDEX('Our policies'!$B$4:$B$503,_calc!$E$701)))=0,"","Cover: "&amp;IF(LEN(INDEX('Our policies'!$B$4:$B$503,_calc!$E$701))=0,"",INDEX('Our policies'!$B$4:$B$503,_calc!$E$701))&amp;". ")&amp;IF(LEN(IF(LEN(INDEX('Our policies'!$C$4:$C$503,_calc!$E$701))=0,"",INDEX('Our policies'!$C$4:$C$503,_calc!$E$701)))=0,"","Insurer: "&amp;IF(LEN(INDEX('Our policies'!$C$4:$C$503,_calc!$E$701))=0,"",INDEX('Our policies'!$C$4:$C$503,_calc!$E$701))&amp;". ")&amp;IF(LEN(IF(LEN(INDEX('Our policies'!$D$4:$D$503,_calc!$E$701))=0,"",INDEX('Our policies'!$D$4:$D$503,_calc!$E$701)))=0,"","Broker: "&amp;IF(LEN(INDEX('Our policies'!$D$4:$D$503,_calc!$E$701))=0,"",INDEX('Our policies'!$D$4:$D$503,_calc!$E$701))&amp;". ")&amp;IF(LEN(IF(LEN(INDEX('Our policies'!$E$4:$E$503,_calc!$E$701))=0,"",INDEX('Our policies'!$E$4:$E$503,_calc!$E$701)))=0,"","Policy no.: "&amp;IF(LEN(INDEX('Our policies'!$E$4:$E$503,_calc!$E$701))=0,"",INDEX('Our policies'!$E$4:$E$503,_calc!$E$701))&amp;". ")&amp;IF(LEN(IF(LEN(INDEX('Our policies'!$S$4:$S$503,_calc!$E$701))=0,"",INDEX('Our policies'!$S$4:$S$503,_calc!$E$701)))=0,"",IF(LEN(INDEX('Our policies'!$S$4:$S$503,_calc!$E$701))=0,"",INDEX('Our policies'!$S$4:$S$503,_calc!$E$701)))),TRIM(IF(LEN(IF(LEN(INDEX('Vendor COIs'!$C$4:$C$503,(_calc!$E$701-500)))=0,"",INDEX('Vendor COIs'!$C$4:$C$503,(_calc!$E$701-500))))=0,"","Insurer: "&amp;IF(LEN(INDEX('Vendor COIs'!$C$4:$C$503,(_calc!$E$701-500)))=0,"",INDEX('Vendor COIs'!$C$4:$C$503,(_calc!$E$701-500)))&amp;". ")&amp;IF(LEN(IF(LEN(INDEX('Vendor COIs'!$D$4:$D$503,(_calc!$E$701-500)))=0,"",INDEX('Vendor COIs'!$D$4:$D$503,(_calc!$E$701-500))))=0,"","Policy no.: "&amp;IF(LEN(INDEX('Vendor COIs'!$D$4:$D$503,(_calc!$E$701-500)))=0,"",INDEX('Vendor COIs'!$D$4:$D$503,(_calc!$E$701-500)))&amp;". ")&amp;IF(LEN(IF(LEN(INDEX('Vendor COIs'!$F$4:$F$503,(_calc!$E$701-500)))=0,"",INDEX('Vendor COIs'!$F$4:$F$503,(_calc!$E$701-500))))=0,"","Meets minimum: "&amp;IF(LEN(INDEX('Vendor COIs'!$F$4:$F$503,(_calc!$E$701-500)))=0,"",INDEX('Vendor COIs'!$F$4:$F$503,(_calc!$E$701-500)))&amp;". ")&amp;IF(LEN(IF(LEN(INDEX('Vendor COIs'!$G$4:$G$503,(_calc!$E$701-500)))=0,"",INDEX('Vendor COIs'!$G$4:$G$503,(_calc!$E$701-500))))=0,"","Additional insured: "&amp;IF(LEN(INDEX('Vendor COIs'!$G$4:$G$503,(_calc!$E$701-500)))=0,"",INDEX('Vendor COIs'!$G$4:$G$503,(_calc!$E$701-500)))&amp;". ")&amp;IF(LEN(IF(LEN(INDEX('Vendor COIs'!$M$4:$M$503,(_calc!$E$701-500)))=0,"",INDEX('Vendor COIs'!$M$4:$M$503,(_calc!$E$701-500))))=0,"","Vendor contact: "&amp;IF(LEN(INDEX('Vendor COIs'!$M$4:$M$503,(_calc!$E$701-500)))=0,"",INDEX('Vendor COIs'!$M$4:$M$503,(_calc!$E$701-500)))&amp;". ")&amp;IF(LEN(IF(LEN(INDEX('Vendor COIs'!$P$4:$P$503,(_calc!$E$701-500)))=0,"",INDEX('Vendor COIs'!$P$4:$P$503,(_calc!$E$701-500))))=0,"",IF(LEN(INDEX('Vendor COIs'!$P$4:$P$503,(_calc!$E$701-500)))=0,"",INDEX('Vendor COIs'!$P$4:$P$503,(_calc!$E$701-500)))))))</f>
        <v/>
      </c>
      <c r="G699" s="46">
        <f>IF(_calc!$E$701="","",IF(_calc!$E$701&lt;=500,IF(LEN(INDEX('Our policies'!$R$4:$R$503,_calc!$E$701))=0,"",INDEX('Our policies'!$R$4:$R$503,_calc!$E$701)),IF(LEN(INDEX('Vendor COIs'!$O$4:$O$503,(_calc!$E$701-500)))=0,"",INDEX('Vendor COIs'!$O$4:$O$503,(_calc!$E$701-500)))))</f>
        <v/>
      </c>
      <c r="H699" s="46">
        <f>IF(_calc!$E$701="","",IF(_calc!$E$701&lt;=500,IF(LEN(INDEX('Our policies'!$G$4:$G$503,_calc!$E$701))=0,"",INDEX('Our policies'!$G$4:$G$503,_calc!$E$701)),""))</f>
        <v/>
      </c>
      <c r="I699" s="46">
        <f>IF(_calc!$E$701="","",IF(_calc!$E$701&lt;=500,IF(LEN(INDEX('Our policies'!$H$4:$H$503,_calc!$E$701))=0,"",INDEX('Our policies'!$H$4:$H$503,_calc!$E$701)),""))</f>
        <v/>
      </c>
      <c r="K699" s="46">
        <f>IF(_calc!$E$701="","",IF(_calc!$E$701&lt;=500,IF(LEN(INDEX('Our policies'!$P$4:$P$503,_calc!$E$701))=0,"",INDEX('Our policies'!$P$4:$P$503,_calc!$E$701)),IF(LEN(INDEX('Vendor COIs'!$N$4:$N$503,(_calc!$E$701-500)))=0,"",INDEX('Vendor COIs'!$N$4:$N$503,(_calc!$E$701-500)))))</f>
        <v/>
      </c>
    </row>
    <row r="700">
      <c r="A700" s="46">
        <f>IF(_calc!$E$702="","",IF(_calc!$E$702&lt;=500,IF(LEN(INDEX('Our policies'!$A$4:$A$503,_calc!$E$702))=0,"",INDEX('Our policies'!$A$4:$A$503,_calc!$E$702)),"COI – "&amp;IF(LEN(INDEX('Vendor COIs'!$A$4:$A$503,(_calc!$E$702-500)))=0,"",INDEX('Vendor COIs'!$A$4:$A$503,(_calc!$E$702-500)))&amp;" – "&amp;IF(LEN(INDEX('Vendor COIs'!$B$4:$B$503,(_calc!$E$702-500)))=0,"",INDEX('Vendor COIs'!$B$4:$B$503,(_calc!$E$702-500)))))</f>
        <v/>
      </c>
      <c r="B700" s="46">
        <f>IF(_calc!$E$702="","",IF(_calc!$E$702&lt;=500,IF(ISNUMBER(INDEX('Our policies'!$J$4:$J$503,_calc!$E$702)),TEXT(INDEX('Our policies'!$J$4:$J$503,_calc!$E$702),"yyyy-mm-dd"),""),IF(ISNUMBER(INDEX('Vendor COIs'!$H$4:$H$503,(_calc!$E$702-500))),TEXT(INDEX('Vendor COIs'!$H$4:$H$503,(_calc!$E$702-500)),"yyyy-mm-dd"),"")))</f>
        <v/>
      </c>
      <c r="C700" s="46">
        <f>IF(_calc!$E$702="","",IF(_calc!$E$702&lt;=500,"Insurance","Certificate of insurance"))</f>
        <v/>
      </c>
      <c r="D700" s="46">
        <f>IF(_calc!$E$702="","",IF(_calc!$E$702&lt;=500,IF(ISNUMBER(INDEX('Our policies'!$I$4:$I$503,_calc!$E$702)),TEXT(INDEX('Our policies'!$I$4:$I$503,_calc!$E$702),"yyyy-mm-dd"),""),""))</f>
        <v/>
      </c>
      <c r="E700" s="46">
        <f>IF(_calc!$E$702="","",IF(_calc!$E$702&lt;=500,IF(LEN(INDEX('Our policies'!$Q$4:$Q$503,_calc!$E$702))=0,"",INDEX('Our policies'!$Q$4:$Q$503,_calc!$E$702)),"Medium"))</f>
        <v/>
      </c>
      <c r="F700" s="46">
        <f>IF(_calc!$E$702="","",IF(_calc!$E$702&lt;=500,TRIM(IF(LEN(IF(LEN(INDEX('Our policies'!$B$4:$B$503,_calc!$E$702))=0,"",INDEX('Our policies'!$B$4:$B$503,_calc!$E$702)))=0,"","Cover: "&amp;IF(LEN(INDEX('Our policies'!$B$4:$B$503,_calc!$E$702))=0,"",INDEX('Our policies'!$B$4:$B$503,_calc!$E$702))&amp;". ")&amp;IF(LEN(IF(LEN(INDEX('Our policies'!$C$4:$C$503,_calc!$E$702))=0,"",INDEX('Our policies'!$C$4:$C$503,_calc!$E$702)))=0,"","Insurer: "&amp;IF(LEN(INDEX('Our policies'!$C$4:$C$503,_calc!$E$702))=0,"",INDEX('Our policies'!$C$4:$C$503,_calc!$E$702))&amp;". ")&amp;IF(LEN(IF(LEN(INDEX('Our policies'!$D$4:$D$503,_calc!$E$702))=0,"",INDEX('Our policies'!$D$4:$D$503,_calc!$E$702)))=0,"","Broker: "&amp;IF(LEN(INDEX('Our policies'!$D$4:$D$503,_calc!$E$702))=0,"",INDEX('Our policies'!$D$4:$D$503,_calc!$E$702))&amp;". ")&amp;IF(LEN(IF(LEN(INDEX('Our policies'!$E$4:$E$503,_calc!$E$702))=0,"",INDEX('Our policies'!$E$4:$E$503,_calc!$E$702)))=0,"","Policy no.: "&amp;IF(LEN(INDEX('Our policies'!$E$4:$E$503,_calc!$E$702))=0,"",INDEX('Our policies'!$E$4:$E$503,_calc!$E$702))&amp;". ")&amp;IF(LEN(IF(LEN(INDEX('Our policies'!$S$4:$S$503,_calc!$E$702))=0,"",INDEX('Our policies'!$S$4:$S$503,_calc!$E$702)))=0,"",IF(LEN(INDEX('Our policies'!$S$4:$S$503,_calc!$E$702))=0,"",INDEX('Our policies'!$S$4:$S$503,_calc!$E$702)))),TRIM(IF(LEN(IF(LEN(INDEX('Vendor COIs'!$C$4:$C$503,(_calc!$E$702-500)))=0,"",INDEX('Vendor COIs'!$C$4:$C$503,(_calc!$E$702-500))))=0,"","Insurer: "&amp;IF(LEN(INDEX('Vendor COIs'!$C$4:$C$503,(_calc!$E$702-500)))=0,"",INDEX('Vendor COIs'!$C$4:$C$503,(_calc!$E$702-500)))&amp;". ")&amp;IF(LEN(IF(LEN(INDEX('Vendor COIs'!$D$4:$D$503,(_calc!$E$702-500)))=0,"",INDEX('Vendor COIs'!$D$4:$D$503,(_calc!$E$702-500))))=0,"","Policy no.: "&amp;IF(LEN(INDEX('Vendor COIs'!$D$4:$D$503,(_calc!$E$702-500)))=0,"",INDEX('Vendor COIs'!$D$4:$D$503,(_calc!$E$702-500)))&amp;". ")&amp;IF(LEN(IF(LEN(INDEX('Vendor COIs'!$F$4:$F$503,(_calc!$E$702-500)))=0,"",INDEX('Vendor COIs'!$F$4:$F$503,(_calc!$E$702-500))))=0,"","Meets minimum: "&amp;IF(LEN(INDEX('Vendor COIs'!$F$4:$F$503,(_calc!$E$702-500)))=0,"",INDEX('Vendor COIs'!$F$4:$F$503,(_calc!$E$702-500)))&amp;". ")&amp;IF(LEN(IF(LEN(INDEX('Vendor COIs'!$G$4:$G$503,(_calc!$E$702-500)))=0,"",INDEX('Vendor COIs'!$G$4:$G$503,(_calc!$E$702-500))))=0,"","Additional insured: "&amp;IF(LEN(INDEX('Vendor COIs'!$G$4:$G$503,(_calc!$E$702-500)))=0,"",INDEX('Vendor COIs'!$G$4:$G$503,(_calc!$E$702-500)))&amp;". ")&amp;IF(LEN(IF(LEN(INDEX('Vendor COIs'!$M$4:$M$503,(_calc!$E$702-500)))=0,"",INDEX('Vendor COIs'!$M$4:$M$503,(_calc!$E$702-500))))=0,"","Vendor contact: "&amp;IF(LEN(INDEX('Vendor COIs'!$M$4:$M$503,(_calc!$E$702-500)))=0,"",INDEX('Vendor COIs'!$M$4:$M$503,(_calc!$E$702-500)))&amp;". ")&amp;IF(LEN(IF(LEN(INDEX('Vendor COIs'!$P$4:$P$503,(_calc!$E$702-500)))=0,"",INDEX('Vendor COIs'!$P$4:$P$503,(_calc!$E$702-500))))=0,"",IF(LEN(INDEX('Vendor COIs'!$P$4:$P$503,(_calc!$E$702-500)))=0,"",INDEX('Vendor COIs'!$P$4:$P$503,(_calc!$E$702-500)))))))</f>
        <v/>
      </c>
      <c r="G700" s="46">
        <f>IF(_calc!$E$702="","",IF(_calc!$E$702&lt;=500,IF(LEN(INDEX('Our policies'!$R$4:$R$503,_calc!$E$702))=0,"",INDEX('Our policies'!$R$4:$R$503,_calc!$E$702)),IF(LEN(INDEX('Vendor COIs'!$O$4:$O$503,(_calc!$E$702-500)))=0,"",INDEX('Vendor COIs'!$O$4:$O$503,(_calc!$E$702-500)))))</f>
        <v/>
      </c>
      <c r="H700" s="46">
        <f>IF(_calc!$E$702="","",IF(_calc!$E$702&lt;=500,IF(LEN(INDEX('Our policies'!$G$4:$G$503,_calc!$E$702))=0,"",INDEX('Our policies'!$G$4:$G$503,_calc!$E$702)),""))</f>
        <v/>
      </c>
      <c r="I700" s="46">
        <f>IF(_calc!$E$702="","",IF(_calc!$E$702&lt;=500,IF(LEN(INDEX('Our policies'!$H$4:$H$503,_calc!$E$702))=0,"",INDEX('Our policies'!$H$4:$H$503,_calc!$E$702)),""))</f>
        <v/>
      </c>
      <c r="K700" s="46">
        <f>IF(_calc!$E$702="","",IF(_calc!$E$702&lt;=500,IF(LEN(INDEX('Our policies'!$P$4:$P$503,_calc!$E$702))=0,"",INDEX('Our policies'!$P$4:$P$503,_calc!$E$702)),IF(LEN(INDEX('Vendor COIs'!$N$4:$N$503,(_calc!$E$702-500)))=0,"",INDEX('Vendor COIs'!$N$4:$N$503,(_calc!$E$702-500)))))</f>
        <v/>
      </c>
    </row>
    <row r="701">
      <c r="A701" s="46">
        <f>IF(_calc!$E$703="","",IF(_calc!$E$703&lt;=500,IF(LEN(INDEX('Our policies'!$A$4:$A$503,_calc!$E$703))=0,"",INDEX('Our policies'!$A$4:$A$503,_calc!$E$703)),"COI – "&amp;IF(LEN(INDEX('Vendor COIs'!$A$4:$A$503,(_calc!$E$703-500)))=0,"",INDEX('Vendor COIs'!$A$4:$A$503,(_calc!$E$703-500)))&amp;" – "&amp;IF(LEN(INDEX('Vendor COIs'!$B$4:$B$503,(_calc!$E$703-500)))=0,"",INDEX('Vendor COIs'!$B$4:$B$503,(_calc!$E$703-500)))))</f>
        <v/>
      </c>
      <c r="B701" s="46">
        <f>IF(_calc!$E$703="","",IF(_calc!$E$703&lt;=500,IF(ISNUMBER(INDEX('Our policies'!$J$4:$J$503,_calc!$E$703)),TEXT(INDEX('Our policies'!$J$4:$J$503,_calc!$E$703),"yyyy-mm-dd"),""),IF(ISNUMBER(INDEX('Vendor COIs'!$H$4:$H$503,(_calc!$E$703-500))),TEXT(INDEX('Vendor COIs'!$H$4:$H$503,(_calc!$E$703-500)),"yyyy-mm-dd"),"")))</f>
        <v/>
      </c>
      <c r="C701" s="46">
        <f>IF(_calc!$E$703="","",IF(_calc!$E$703&lt;=500,"Insurance","Certificate of insurance"))</f>
        <v/>
      </c>
      <c r="D701" s="46">
        <f>IF(_calc!$E$703="","",IF(_calc!$E$703&lt;=500,IF(ISNUMBER(INDEX('Our policies'!$I$4:$I$503,_calc!$E$703)),TEXT(INDEX('Our policies'!$I$4:$I$503,_calc!$E$703),"yyyy-mm-dd"),""),""))</f>
        <v/>
      </c>
      <c r="E701" s="46">
        <f>IF(_calc!$E$703="","",IF(_calc!$E$703&lt;=500,IF(LEN(INDEX('Our policies'!$Q$4:$Q$503,_calc!$E$703))=0,"",INDEX('Our policies'!$Q$4:$Q$503,_calc!$E$703)),"Medium"))</f>
        <v/>
      </c>
      <c r="F701" s="46">
        <f>IF(_calc!$E$703="","",IF(_calc!$E$703&lt;=500,TRIM(IF(LEN(IF(LEN(INDEX('Our policies'!$B$4:$B$503,_calc!$E$703))=0,"",INDEX('Our policies'!$B$4:$B$503,_calc!$E$703)))=0,"","Cover: "&amp;IF(LEN(INDEX('Our policies'!$B$4:$B$503,_calc!$E$703))=0,"",INDEX('Our policies'!$B$4:$B$503,_calc!$E$703))&amp;". ")&amp;IF(LEN(IF(LEN(INDEX('Our policies'!$C$4:$C$503,_calc!$E$703))=0,"",INDEX('Our policies'!$C$4:$C$503,_calc!$E$703)))=0,"","Insurer: "&amp;IF(LEN(INDEX('Our policies'!$C$4:$C$503,_calc!$E$703))=0,"",INDEX('Our policies'!$C$4:$C$503,_calc!$E$703))&amp;". ")&amp;IF(LEN(IF(LEN(INDEX('Our policies'!$D$4:$D$503,_calc!$E$703))=0,"",INDEX('Our policies'!$D$4:$D$503,_calc!$E$703)))=0,"","Broker: "&amp;IF(LEN(INDEX('Our policies'!$D$4:$D$503,_calc!$E$703))=0,"",INDEX('Our policies'!$D$4:$D$503,_calc!$E$703))&amp;". ")&amp;IF(LEN(IF(LEN(INDEX('Our policies'!$E$4:$E$503,_calc!$E$703))=0,"",INDEX('Our policies'!$E$4:$E$503,_calc!$E$703)))=0,"","Policy no.: "&amp;IF(LEN(INDEX('Our policies'!$E$4:$E$503,_calc!$E$703))=0,"",INDEX('Our policies'!$E$4:$E$503,_calc!$E$703))&amp;". ")&amp;IF(LEN(IF(LEN(INDEX('Our policies'!$S$4:$S$503,_calc!$E$703))=0,"",INDEX('Our policies'!$S$4:$S$503,_calc!$E$703)))=0,"",IF(LEN(INDEX('Our policies'!$S$4:$S$503,_calc!$E$703))=0,"",INDEX('Our policies'!$S$4:$S$503,_calc!$E$703)))),TRIM(IF(LEN(IF(LEN(INDEX('Vendor COIs'!$C$4:$C$503,(_calc!$E$703-500)))=0,"",INDEX('Vendor COIs'!$C$4:$C$503,(_calc!$E$703-500))))=0,"","Insurer: "&amp;IF(LEN(INDEX('Vendor COIs'!$C$4:$C$503,(_calc!$E$703-500)))=0,"",INDEX('Vendor COIs'!$C$4:$C$503,(_calc!$E$703-500)))&amp;". ")&amp;IF(LEN(IF(LEN(INDEX('Vendor COIs'!$D$4:$D$503,(_calc!$E$703-500)))=0,"",INDEX('Vendor COIs'!$D$4:$D$503,(_calc!$E$703-500))))=0,"","Policy no.: "&amp;IF(LEN(INDEX('Vendor COIs'!$D$4:$D$503,(_calc!$E$703-500)))=0,"",INDEX('Vendor COIs'!$D$4:$D$503,(_calc!$E$703-500)))&amp;". ")&amp;IF(LEN(IF(LEN(INDEX('Vendor COIs'!$F$4:$F$503,(_calc!$E$703-500)))=0,"",INDEX('Vendor COIs'!$F$4:$F$503,(_calc!$E$703-500))))=0,"","Meets minimum: "&amp;IF(LEN(INDEX('Vendor COIs'!$F$4:$F$503,(_calc!$E$703-500)))=0,"",INDEX('Vendor COIs'!$F$4:$F$503,(_calc!$E$703-500)))&amp;". ")&amp;IF(LEN(IF(LEN(INDEX('Vendor COIs'!$G$4:$G$503,(_calc!$E$703-500)))=0,"",INDEX('Vendor COIs'!$G$4:$G$503,(_calc!$E$703-500))))=0,"","Additional insured: "&amp;IF(LEN(INDEX('Vendor COIs'!$G$4:$G$503,(_calc!$E$703-500)))=0,"",INDEX('Vendor COIs'!$G$4:$G$503,(_calc!$E$703-500)))&amp;". ")&amp;IF(LEN(IF(LEN(INDEX('Vendor COIs'!$M$4:$M$503,(_calc!$E$703-500)))=0,"",INDEX('Vendor COIs'!$M$4:$M$503,(_calc!$E$703-500))))=0,"","Vendor contact: "&amp;IF(LEN(INDEX('Vendor COIs'!$M$4:$M$503,(_calc!$E$703-500)))=0,"",INDEX('Vendor COIs'!$M$4:$M$503,(_calc!$E$703-500)))&amp;". ")&amp;IF(LEN(IF(LEN(INDEX('Vendor COIs'!$P$4:$P$503,(_calc!$E$703-500)))=0,"",INDEX('Vendor COIs'!$P$4:$P$503,(_calc!$E$703-500))))=0,"",IF(LEN(INDEX('Vendor COIs'!$P$4:$P$503,(_calc!$E$703-500)))=0,"",INDEX('Vendor COIs'!$P$4:$P$503,(_calc!$E$703-500)))))))</f>
        <v/>
      </c>
      <c r="G701" s="46">
        <f>IF(_calc!$E$703="","",IF(_calc!$E$703&lt;=500,IF(LEN(INDEX('Our policies'!$R$4:$R$503,_calc!$E$703))=0,"",INDEX('Our policies'!$R$4:$R$503,_calc!$E$703)),IF(LEN(INDEX('Vendor COIs'!$O$4:$O$503,(_calc!$E$703-500)))=0,"",INDEX('Vendor COIs'!$O$4:$O$503,(_calc!$E$703-500)))))</f>
        <v/>
      </c>
      <c r="H701" s="46">
        <f>IF(_calc!$E$703="","",IF(_calc!$E$703&lt;=500,IF(LEN(INDEX('Our policies'!$G$4:$G$503,_calc!$E$703))=0,"",INDEX('Our policies'!$G$4:$G$503,_calc!$E$703)),""))</f>
        <v/>
      </c>
      <c r="I701" s="46">
        <f>IF(_calc!$E$703="","",IF(_calc!$E$703&lt;=500,IF(LEN(INDEX('Our policies'!$H$4:$H$503,_calc!$E$703))=0,"",INDEX('Our policies'!$H$4:$H$503,_calc!$E$703)),""))</f>
        <v/>
      </c>
      <c r="K701" s="46">
        <f>IF(_calc!$E$703="","",IF(_calc!$E$703&lt;=500,IF(LEN(INDEX('Our policies'!$P$4:$P$503,_calc!$E$703))=0,"",INDEX('Our policies'!$P$4:$P$503,_calc!$E$703)),IF(LEN(INDEX('Vendor COIs'!$N$4:$N$503,(_calc!$E$703-500)))=0,"",INDEX('Vendor COIs'!$N$4:$N$503,(_calc!$E$703-500)))))</f>
        <v/>
      </c>
    </row>
    <row r="702">
      <c r="A702" s="46">
        <f>IF(_calc!$E$704="","",IF(_calc!$E$704&lt;=500,IF(LEN(INDEX('Our policies'!$A$4:$A$503,_calc!$E$704))=0,"",INDEX('Our policies'!$A$4:$A$503,_calc!$E$704)),"COI – "&amp;IF(LEN(INDEX('Vendor COIs'!$A$4:$A$503,(_calc!$E$704-500)))=0,"",INDEX('Vendor COIs'!$A$4:$A$503,(_calc!$E$704-500)))&amp;" – "&amp;IF(LEN(INDEX('Vendor COIs'!$B$4:$B$503,(_calc!$E$704-500)))=0,"",INDEX('Vendor COIs'!$B$4:$B$503,(_calc!$E$704-500)))))</f>
        <v/>
      </c>
      <c r="B702" s="46">
        <f>IF(_calc!$E$704="","",IF(_calc!$E$704&lt;=500,IF(ISNUMBER(INDEX('Our policies'!$J$4:$J$503,_calc!$E$704)),TEXT(INDEX('Our policies'!$J$4:$J$503,_calc!$E$704),"yyyy-mm-dd"),""),IF(ISNUMBER(INDEX('Vendor COIs'!$H$4:$H$503,(_calc!$E$704-500))),TEXT(INDEX('Vendor COIs'!$H$4:$H$503,(_calc!$E$704-500)),"yyyy-mm-dd"),"")))</f>
        <v/>
      </c>
      <c r="C702" s="46">
        <f>IF(_calc!$E$704="","",IF(_calc!$E$704&lt;=500,"Insurance","Certificate of insurance"))</f>
        <v/>
      </c>
      <c r="D702" s="46">
        <f>IF(_calc!$E$704="","",IF(_calc!$E$704&lt;=500,IF(ISNUMBER(INDEX('Our policies'!$I$4:$I$503,_calc!$E$704)),TEXT(INDEX('Our policies'!$I$4:$I$503,_calc!$E$704),"yyyy-mm-dd"),""),""))</f>
        <v/>
      </c>
      <c r="E702" s="46">
        <f>IF(_calc!$E$704="","",IF(_calc!$E$704&lt;=500,IF(LEN(INDEX('Our policies'!$Q$4:$Q$503,_calc!$E$704))=0,"",INDEX('Our policies'!$Q$4:$Q$503,_calc!$E$704)),"Medium"))</f>
        <v/>
      </c>
      <c r="F702" s="46">
        <f>IF(_calc!$E$704="","",IF(_calc!$E$704&lt;=500,TRIM(IF(LEN(IF(LEN(INDEX('Our policies'!$B$4:$B$503,_calc!$E$704))=0,"",INDEX('Our policies'!$B$4:$B$503,_calc!$E$704)))=0,"","Cover: "&amp;IF(LEN(INDEX('Our policies'!$B$4:$B$503,_calc!$E$704))=0,"",INDEX('Our policies'!$B$4:$B$503,_calc!$E$704))&amp;". ")&amp;IF(LEN(IF(LEN(INDEX('Our policies'!$C$4:$C$503,_calc!$E$704))=0,"",INDEX('Our policies'!$C$4:$C$503,_calc!$E$704)))=0,"","Insurer: "&amp;IF(LEN(INDEX('Our policies'!$C$4:$C$503,_calc!$E$704))=0,"",INDEX('Our policies'!$C$4:$C$503,_calc!$E$704))&amp;". ")&amp;IF(LEN(IF(LEN(INDEX('Our policies'!$D$4:$D$503,_calc!$E$704))=0,"",INDEX('Our policies'!$D$4:$D$503,_calc!$E$704)))=0,"","Broker: "&amp;IF(LEN(INDEX('Our policies'!$D$4:$D$503,_calc!$E$704))=0,"",INDEX('Our policies'!$D$4:$D$503,_calc!$E$704))&amp;". ")&amp;IF(LEN(IF(LEN(INDEX('Our policies'!$E$4:$E$503,_calc!$E$704))=0,"",INDEX('Our policies'!$E$4:$E$503,_calc!$E$704)))=0,"","Policy no.: "&amp;IF(LEN(INDEX('Our policies'!$E$4:$E$503,_calc!$E$704))=0,"",INDEX('Our policies'!$E$4:$E$503,_calc!$E$704))&amp;". ")&amp;IF(LEN(IF(LEN(INDEX('Our policies'!$S$4:$S$503,_calc!$E$704))=0,"",INDEX('Our policies'!$S$4:$S$503,_calc!$E$704)))=0,"",IF(LEN(INDEX('Our policies'!$S$4:$S$503,_calc!$E$704))=0,"",INDEX('Our policies'!$S$4:$S$503,_calc!$E$704)))),TRIM(IF(LEN(IF(LEN(INDEX('Vendor COIs'!$C$4:$C$503,(_calc!$E$704-500)))=0,"",INDEX('Vendor COIs'!$C$4:$C$503,(_calc!$E$704-500))))=0,"","Insurer: "&amp;IF(LEN(INDEX('Vendor COIs'!$C$4:$C$503,(_calc!$E$704-500)))=0,"",INDEX('Vendor COIs'!$C$4:$C$503,(_calc!$E$704-500)))&amp;". ")&amp;IF(LEN(IF(LEN(INDEX('Vendor COIs'!$D$4:$D$503,(_calc!$E$704-500)))=0,"",INDEX('Vendor COIs'!$D$4:$D$503,(_calc!$E$704-500))))=0,"","Policy no.: "&amp;IF(LEN(INDEX('Vendor COIs'!$D$4:$D$503,(_calc!$E$704-500)))=0,"",INDEX('Vendor COIs'!$D$4:$D$503,(_calc!$E$704-500)))&amp;". ")&amp;IF(LEN(IF(LEN(INDEX('Vendor COIs'!$F$4:$F$503,(_calc!$E$704-500)))=0,"",INDEX('Vendor COIs'!$F$4:$F$503,(_calc!$E$704-500))))=0,"","Meets minimum: "&amp;IF(LEN(INDEX('Vendor COIs'!$F$4:$F$503,(_calc!$E$704-500)))=0,"",INDEX('Vendor COIs'!$F$4:$F$503,(_calc!$E$704-500)))&amp;". ")&amp;IF(LEN(IF(LEN(INDEX('Vendor COIs'!$G$4:$G$503,(_calc!$E$704-500)))=0,"",INDEX('Vendor COIs'!$G$4:$G$503,(_calc!$E$704-500))))=0,"","Additional insured: "&amp;IF(LEN(INDEX('Vendor COIs'!$G$4:$G$503,(_calc!$E$704-500)))=0,"",INDEX('Vendor COIs'!$G$4:$G$503,(_calc!$E$704-500)))&amp;". ")&amp;IF(LEN(IF(LEN(INDEX('Vendor COIs'!$M$4:$M$503,(_calc!$E$704-500)))=0,"",INDEX('Vendor COIs'!$M$4:$M$503,(_calc!$E$704-500))))=0,"","Vendor contact: "&amp;IF(LEN(INDEX('Vendor COIs'!$M$4:$M$503,(_calc!$E$704-500)))=0,"",INDEX('Vendor COIs'!$M$4:$M$503,(_calc!$E$704-500)))&amp;". ")&amp;IF(LEN(IF(LEN(INDEX('Vendor COIs'!$P$4:$P$503,(_calc!$E$704-500)))=0,"",INDEX('Vendor COIs'!$P$4:$P$503,(_calc!$E$704-500))))=0,"",IF(LEN(INDEX('Vendor COIs'!$P$4:$P$503,(_calc!$E$704-500)))=0,"",INDEX('Vendor COIs'!$P$4:$P$503,(_calc!$E$704-500)))))))</f>
        <v/>
      </c>
      <c r="G702" s="46">
        <f>IF(_calc!$E$704="","",IF(_calc!$E$704&lt;=500,IF(LEN(INDEX('Our policies'!$R$4:$R$503,_calc!$E$704))=0,"",INDEX('Our policies'!$R$4:$R$503,_calc!$E$704)),IF(LEN(INDEX('Vendor COIs'!$O$4:$O$503,(_calc!$E$704-500)))=0,"",INDEX('Vendor COIs'!$O$4:$O$503,(_calc!$E$704-500)))))</f>
        <v/>
      </c>
      <c r="H702" s="46">
        <f>IF(_calc!$E$704="","",IF(_calc!$E$704&lt;=500,IF(LEN(INDEX('Our policies'!$G$4:$G$503,_calc!$E$704))=0,"",INDEX('Our policies'!$G$4:$G$503,_calc!$E$704)),""))</f>
        <v/>
      </c>
      <c r="I702" s="46">
        <f>IF(_calc!$E$704="","",IF(_calc!$E$704&lt;=500,IF(LEN(INDEX('Our policies'!$H$4:$H$503,_calc!$E$704))=0,"",INDEX('Our policies'!$H$4:$H$503,_calc!$E$704)),""))</f>
        <v/>
      </c>
      <c r="K702" s="46">
        <f>IF(_calc!$E$704="","",IF(_calc!$E$704&lt;=500,IF(LEN(INDEX('Our policies'!$P$4:$P$503,_calc!$E$704))=0,"",INDEX('Our policies'!$P$4:$P$503,_calc!$E$704)),IF(LEN(INDEX('Vendor COIs'!$N$4:$N$503,(_calc!$E$704-500)))=0,"",INDEX('Vendor COIs'!$N$4:$N$503,(_calc!$E$704-500)))))</f>
        <v/>
      </c>
    </row>
    <row r="703">
      <c r="A703" s="46">
        <f>IF(_calc!$E$705="","",IF(_calc!$E$705&lt;=500,IF(LEN(INDEX('Our policies'!$A$4:$A$503,_calc!$E$705))=0,"",INDEX('Our policies'!$A$4:$A$503,_calc!$E$705)),"COI – "&amp;IF(LEN(INDEX('Vendor COIs'!$A$4:$A$503,(_calc!$E$705-500)))=0,"",INDEX('Vendor COIs'!$A$4:$A$503,(_calc!$E$705-500)))&amp;" – "&amp;IF(LEN(INDEX('Vendor COIs'!$B$4:$B$503,(_calc!$E$705-500)))=0,"",INDEX('Vendor COIs'!$B$4:$B$503,(_calc!$E$705-500)))))</f>
        <v/>
      </c>
      <c r="B703" s="46">
        <f>IF(_calc!$E$705="","",IF(_calc!$E$705&lt;=500,IF(ISNUMBER(INDEX('Our policies'!$J$4:$J$503,_calc!$E$705)),TEXT(INDEX('Our policies'!$J$4:$J$503,_calc!$E$705),"yyyy-mm-dd"),""),IF(ISNUMBER(INDEX('Vendor COIs'!$H$4:$H$503,(_calc!$E$705-500))),TEXT(INDEX('Vendor COIs'!$H$4:$H$503,(_calc!$E$705-500)),"yyyy-mm-dd"),"")))</f>
        <v/>
      </c>
      <c r="C703" s="46">
        <f>IF(_calc!$E$705="","",IF(_calc!$E$705&lt;=500,"Insurance","Certificate of insurance"))</f>
        <v/>
      </c>
      <c r="D703" s="46">
        <f>IF(_calc!$E$705="","",IF(_calc!$E$705&lt;=500,IF(ISNUMBER(INDEX('Our policies'!$I$4:$I$503,_calc!$E$705)),TEXT(INDEX('Our policies'!$I$4:$I$503,_calc!$E$705),"yyyy-mm-dd"),""),""))</f>
        <v/>
      </c>
      <c r="E703" s="46">
        <f>IF(_calc!$E$705="","",IF(_calc!$E$705&lt;=500,IF(LEN(INDEX('Our policies'!$Q$4:$Q$503,_calc!$E$705))=0,"",INDEX('Our policies'!$Q$4:$Q$503,_calc!$E$705)),"Medium"))</f>
        <v/>
      </c>
      <c r="F703" s="46">
        <f>IF(_calc!$E$705="","",IF(_calc!$E$705&lt;=500,TRIM(IF(LEN(IF(LEN(INDEX('Our policies'!$B$4:$B$503,_calc!$E$705))=0,"",INDEX('Our policies'!$B$4:$B$503,_calc!$E$705)))=0,"","Cover: "&amp;IF(LEN(INDEX('Our policies'!$B$4:$B$503,_calc!$E$705))=0,"",INDEX('Our policies'!$B$4:$B$503,_calc!$E$705))&amp;". ")&amp;IF(LEN(IF(LEN(INDEX('Our policies'!$C$4:$C$503,_calc!$E$705))=0,"",INDEX('Our policies'!$C$4:$C$503,_calc!$E$705)))=0,"","Insurer: "&amp;IF(LEN(INDEX('Our policies'!$C$4:$C$503,_calc!$E$705))=0,"",INDEX('Our policies'!$C$4:$C$503,_calc!$E$705))&amp;". ")&amp;IF(LEN(IF(LEN(INDEX('Our policies'!$D$4:$D$503,_calc!$E$705))=0,"",INDEX('Our policies'!$D$4:$D$503,_calc!$E$705)))=0,"","Broker: "&amp;IF(LEN(INDEX('Our policies'!$D$4:$D$503,_calc!$E$705))=0,"",INDEX('Our policies'!$D$4:$D$503,_calc!$E$705))&amp;". ")&amp;IF(LEN(IF(LEN(INDEX('Our policies'!$E$4:$E$503,_calc!$E$705))=0,"",INDEX('Our policies'!$E$4:$E$503,_calc!$E$705)))=0,"","Policy no.: "&amp;IF(LEN(INDEX('Our policies'!$E$4:$E$503,_calc!$E$705))=0,"",INDEX('Our policies'!$E$4:$E$503,_calc!$E$705))&amp;". ")&amp;IF(LEN(IF(LEN(INDEX('Our policies'!$S$4:$S$503,_calc!$E$705))=0,"",INDEX('Our policies'!$S$4:$S$503,_calc!$E$705)))=0,"",IF(LEN(INDEX('Our policies'!$S$4:$S$503,_calc!$E$705))=0,"",INDEX('Our policies'!$S$4:$S$503,_calc!$E$705)))),TRIM(IF(LEN(IF(LEN(INDEX('Vendor COIs'!$C$4:$C$503,(_calc!$E$705-500)))=0,"",INDEX('Vendor COIs'!$C$4:$C$503,(_calc!$E$705-500))))=0,"","Insurer: "&amp;IF(LEN(INDEX('Vendor COIs'!$C$4:$C$503,(_calc!$E$705-500)))=0,"",INDEX('Vendor COIs'!$C$4:$C$503,(_calc!$E$705-500)))&amp;". ")&amp;IF(LEN(IF(LEN(INDEX('Vendor COIs'!$D$4:$D$503,(_calc!$E$705-500)))=0,"",INDEX('Vendor COIs'!$D$4:$D$503,(_calc!$E$705-500))))=0,"","Policy no.: "&amp;IF(LEN(INDEX('Vendor COIs'!$D$4:$D$503,(_calc!$E$705-500)))=0,"",INDEX('Vendor COIs'!$D$4:$D$503,(_calc!$E$705-500)))&amp;". ")&amp;IF(LEN(IF(LEN(INDEX('Vendor COIs'!$F$4:$F$503,(_calc!$E$705-500)))=0,"",INDEX('Vendor COIs'!$F$4:$F$503,(_calc!$E$705-500))))=0,"","Meets minimum: "&amp;IF(LEN(INDEX('Vendor COIs'!$F$4:$F$503,(_calc!$E$705-500)))=0,"",INDEX('Vendor COIs'!$F$4:$F$503,(_calc!$E$705-500)))&amp;". ")&amp;IF(LEN(IF(LEN(INDEX('Vendor COIs'!$G$4:$G$503,(_calc!$E$705-500)))=0,"",INDEX('Vendor COIs'!$G$4:$G$503,(_calc!$E$705-500))))=0,"","Additional insured: "&amp;IF(LEN(INDEX('Vendor COIs'!$G$4:$G$503,(_calc!$E$705-500)))=0,"",INDEX('Vendor COIs'!$G$4:$G$503,(_calc!$E$705-500)))&amp;". ")&amp;IF(LEN(IF(LEN(INDEX('Vendor COIs'!$M$4:$M$503,(_calc!$E$705-500)))=0,"",INDEX('Vendor COIs'!$M$4:$M$503,(_calc!$E$705-500))))=0,"","Vendor contact: "&amp;IF(LEN(INDEX('Vendor COIs'!$M$4:$M$503,(_calc!$E$705-500)))=0,"",INDEX('Vendor COIs'!$M$4:$M$503,(_calc!$E$705-500)))&amp;". ")&amp;IF(LEN(IF(LEN(INDEX('Vendor COIs'!$P$4:$P$503,(_calc!$E$705-500)))=0,"",INDEX('Vendor COIs'!$P$4:$P$503,(_calc!$E$705-500))))=0,"",IF(LEN(INDEX('Vendor COIs'!$P$4:$P$503,(_calc!$E$705-500)))=0,"",INDEX('Vendor COIs'!$P$4:$P$503,(_calc!$E$705-500)))))))</f>
        <v/>
      </c>
      <c r="G703" s="46">
        <f>IF(_calc!$E$705="","",IF(_calc!$E$705&lt;=500,IF(LEN(INDEX('Our policies'!$R$4:$R$503,_calc!$E$705))=0,"",INDEX('Our policies'!$R$4:$R$503,_calc!$E$705)),IF(LEN(INDEX('Vendor COIs'!$O$4:$O$503,(_calc!$E$705-500)))=0,"",INDEX('Vendor COIs'!$O$4:$O$503,(_calc!$E$705-500)))))</f>
        <v/>
      </c>
      <c r="H703" s="46">
        <f>IF(_calc!$E$705="","",IF(_calc!$E$705&lt;=500,IF(LEN(INDEX('Our policies'!$G$4:$G$503,_calc!$E$705))=0,"",INDEX('Our policies'!$G$4:$G$503,_calc!$E$705)),""))</f>
        <v/>
      </c>
      <c r="I703" s="46">
        <f>IF(_calc!$E$705="","",IF(_calc!$E$705&lt;=500,IF(LEN(INDEX('Our policies'!$H$4:$H$503,_calc!$E$705))=0,"",INDEX('Our policies'!$H$4:$H$503,_calc!$E$705)),""))</f>
        <v/>
      </c>
      <c r="K703" s="46">
        <f>IF(_calc!$E$705="","",IF(_calc!$E$705&lt;=500,IF(LEN(INDEX('Our policies'!$P$4:$P$503,_calc!$E$705))=0,"",INDEX('Our policies'!$P$4:$P$503,_calc!$E$705)),IF(LEN(INDEX('Vendor COIs'!$N$4:$N$503,(_calc!$E$705-500)))=0,"",INDEX('Vendor COIs'!$N$4:$N$503,(_calc!$E$705-500)))))</f>
        <v/>
      </c>
    </row>
    <row r="704">
      <c r="A704" s="46">
        <f>IF(_calc!$E$706="","",IF(_calc!$E$706&lt;=500,IF(LEN(INDEX('Our policies'!$A$4:$A$503,_calc!$E$706))=0,"",INDEX('Our policies'!$A$4:$A$503,_calc!$E$706)),"COI – "&amp;IF(LEN(INDEX('Vendor COIs'!$A$4:$A$503,(_calc!$E$706-500)))=0,"",INDEX('Vendor COIs'!$A$4:$A$503,(_calc!$E$706-500)))&amp;" – "&amp;IF(LEN(INDEX('Vendor COIs'!$B$4:$B$503,(_calc!$E$706-500)))=0,"",INDEX('Vendor COIs'!$B$4:$B$503,(_calc!$E$706-500)))))</f>
        <v/>
      </c>
      <c r="B704" s="46">
        <f>IF(_calc!$E$706="","",IF(_calc!$E$706&lt;=500,IF(ISNUMBER(INDEX('Our policies'!$J$4:$J$503,_calc!$E$706)),TEXT(INDEX('Our policies'!$J$4:$J$503,_calc!$E$706),"yyyy-mm-dd"),""),IF(ISNUMBER(INDEX('Vendor COIs'!$H$4:$H$503,(_calc!$E$706-500))),TEXT(INDEX('Vendor COIs'!$H$4:$H$503,(_calc!$E$706-500)),"yyyy-mm-dd"),"")))</f>
        <v/>
      </c>
      <c r="C704" s="46">
        <f>IF(_calc!$E$706="","",IF(_calc!$E$706&lt;=500,"Insurance","Certificate of insurance"))</f>
        <v/>
      </c>
      <c r="D704" s="46">
        <f>IF(_calc!$E$706="","",IF(_calc!$E$706&lt;=500,IF(ISNUMBER(INDEX('Our policies'!$I$4:$I$503,_calc!$E$706)),TEXT(INDEX('Our policies'!$I$4:$I$503,_calc!$E$706),"yyyy-mm-dd"),""),""))</f>
        <v/>
      </c>
      <c r="E704" s="46">
        <f>IF(_calc!$E$706="","",IF(_calc!$E$706&lt;=500,IF(LEN(INDEX('Our policies'!$Q$4:$Q$503,_calc!$E$706))=0,"",INDEX('Our policies'!$Q$4:$Q$503,_calc!$E$706)),"Medium"))</f>
        <v/>
      </c>
      <c r="F704" s="46">
        <f>IF(_calc!$E$706="","",IF(_calc!$E$706&lt;=500,TRIM(IF(LEN(IF(LEN(INDEX('Our policies'!$B$4:$B$503,_calc!$E$706))=0,"",INDEX('Our policies'!$B$4:$B$503,_calc!$E$706)))=0,"","Cover: "&amp;IF(LEN(INDEX('Our policies'!$B$4:$B$503,_calc!$E$706))=0,"",INDEX('Our policies'!$B$4:$B$503,_calc!$E$706))&amp;". ")&amp;IF(LEN(IF(LEN(INDEX('Our policies'!$C$4:$C$503,_calc!$E$706))=0,"",INDEX('Our policies'!$C$4:$C$503,_calc!$E$706)))=0,"","Insurer: "&amp;IF(LEN(INDEX('Our policies'!$C$4:$C$503,_calc!$E$706))=0,"",INDEX('Our policies'!$C$4:$C$503,_calc!$E$706))&amp;". ")&amp;IF(LEN(IF(LEN(INDEX('Our policies'!$D$4:$D$503,_calc!$E$706))=0,"",INDEX('Our policies'!$D$4:$D$503,_calc!$E$706)))=0,"","Broker: "&amp;IF(LEN(INDEX('Our policies'!$D$4:$D$503,_calc!$E$706))=0,"",INDEX('Our policies'!$D$4:$D$503,_calc!$E$706))&amp;". ")&amp;IF(LEN(IF(LEN(INDEX('Our policies'!$E$4:$E$503,_calc!$E$706))=0,"",INDEX('Our policies'!$E$4:$E$503,_calc!$E$706)))=0,"","Policy no.: "&amp;IF(LEN(INDEX('Our policies'!$E$4:$E$503,_calc!$E$706))=0,"",INDEX('Our policies'!$E$4:$E$503,_calc!$E$706))&amp;". ")&amp;IF(LEN(IF(LEN(INDEX('Our policies'!$S$4:$S$503,_calc!$E$706))=0,"",INDEX('Our policies'!$S$4:$S$503,_calc!$E$706)))=0,"",IF(LEN(INDEX('Our policies'!$S$4:$S$503,_calc!$E$706))=0,"",INDEX('Our policies'!$S$4:$S$503,_calc!$E$706)))),TRIM(IF(LEN(IF(LEN(INDEX('Vendor COIs'!$C$4:$C$503,(_calc!$E$706-500)))=0,"",INDEX('Vendor COIs'!$C$4:$C$503,(_calc!$E$706-500))))=0,"","Insurer: "&amp;IF(LEN(INDEX('Vendor COIs'!$C$4:$C$503,(_calc!$E$706-500)))=0,"",INDEX('Vendor COIs'!$C$4:$C$503,(_calc!$E$706-500)))&amp;". ")&amp;IF(LEN(IF(LEN(INDEX('Vendor COIs'!$D$4:$D$503,(_calc!$E$706-500)))=0,"",INDEX('Vendor COIs'!$D$4:$D$503,(_calc!$E$706-500))))=0,"","Policy no.: "&amp;IF(LEN(INDEX('Vendor COIs'!$D$4:$D$503,(_calc!$E$706-500)))=0,"",INDEX('Vendor COIs'!$D$4:$D$503,(_calc!$E$706-500)))&amp;". ")&amp;IF(LEN(IF(LEN(INDEX('Vendor COIs'!$F$4:$F$503,(_calc!$E$706-500)))=0,"",INDEX('Vendor COIs'!$F$4:$F$503,(_calc!$E$706-500))))=0,"","Meets minimum: "&amp;IF(LEN(INDEX('Vendor COIs'!$F$4:$F$503,(_calc!$E$706-500)))=0,"",INDEX('Vendor COIs'!$F$4:$F$503,(_calc!$E$706-500)))&amp;". ")&amp;IF(LEN(IF(LEN(INDEX('Vendor COIs'!$G$4:$G$503,(_calc!$E$706-500)))=0,"",INDEX('Vendor COIs'!$G$4:$G$503,(_calc!$E$706-500))))=0,"","Additional insured: "&amp;IF(LEN(INDEX('Vendor COIs'!$G$4:$G$503,(_calc!$E$706-500)))=0,"",INDEX('Vendor COIs'!$G$4:$G$503,(_calc!$E$706-500)))&amp;". ")&amp;IF(LEN(IF(LEN(INDEX('Vendor COIs'!$M$4:$M$503,(_calc!$E$706-500)))=0,"",INDEX('Vendor COIs'!$M$4:$M$503,(_calc!$E$706-500))))=0,"","Vendor contact: "&amp;IF(LEN(INDEX('Vendor COIs'!$M$4:$M$503,(_calc!$E$706-500)))=0,"",INDEX('Vendor COIs'!$M$4:$M$503,(_calc!$E$706-500)))&amp;". ")&amp;IF(LEN(IF(LEN(INDEX('Vendor COIs'!$P$4:$P$503,(_calc!$E$706-500)))=0,"",INDEX('Vendor COIs'!$P$4:$P$503,(_calc!$E$706-500))))=0,"",IF(LEN(INDEX('Vendor COIs'!$P$4:$P$503,(_calc!$E$706-500)))=0,"",INDEX('Vendor COIs'!$P$4:$P$503,(_calc!$E$706-500)))))))</f>
        <v/>
      </c>
      <c r="G704" s="46">
        <f>IF(_calc!$E$706="","",IF(_calc!$E$706&lt;=500,IF(LEN(INDEX('Our policies'!$R$4:$R$503,_calc!$E$706))=0,"",INDEX('Our policies'!$R$4:$R$503,_calc!$E$706)),IF(LEN(INDEX('Vendor COIs'!$O$4:$O$503,(_calc!$E$706-500)))=0,"",INDEX('Vendor COIs'!$O$4:$O$503,(_calc!$E$706-500)))))</f>
        <v/>
      </c>
      <c r="H704" s="46">
        <f>IF(_calc!$E$706="","",IF(_calc!$E$706&lt;=500,IF(LEN(INDEX('Our policies'!$G$4:$G$503,_calc!$E$706))=0,"",INDEX('Our policies'!$G$4:$G$503,_calc!$E$706)),""))</f>
        <v/>
      </c>
      <c r="I704" s="46">
        <f>IF(_calc!$E$706="","",IF(_calc!$E$706&lt;=500,IF(LEN(INDEX('Our policies'!$H$4:$H$503,_calc!$E$706))=0,"",INDEX('Our policies'!$H$4:$H$503,_calc!$E$706)),""))</f>
        <v/>
      </c>
      <c r="K704" s="46">
        <f>IF(_calc!$E$706="","",IF(_calc!$E$706&lt;=500,IF(LEN(INDEX('Our policies'!$P$4:$P$503,_calc!$E$706))=0,"",INDEX('Our policies'!$P$4:$P$503,_calc!$E$706)),IF(LEN(INDEX('Vendor COIs'!$N$4:$N$503,(_calc!$E$706-500)))=0,"",INDEX('Vendor COIs'!$N$4:$N$503,(_calc!$E$706-500)))))</f>
        <v/>
      </c>
    </row>
    <row r="705">
      <c r="A705" s="46">
        <f>IF(_calc!$E$707="","",IF(_calc!$E$707&lt;=500,IF(LEN(INDEX('Our policies'!$A$4:$A$503,_calc!$E$707))=0,"",INDEX('Our policies'!$A$4:$A$503,_calc!$E$707)),"COI – "&amp;IF(LEN(INDEX('Vendor COIs'!$A$4:$A$503,(_calc!$E$707-500)))=0,"",INDEX('Vendor COIs'!$A$4:$A$503,(_calc!$E$707-500)))&amp;" – "&amp;IF(LEN(INDEX('Vendor COIs'!$B$4:$B$503,(_calc!$E$707-500)))=0,"",INDEX('Vendor COIs'!$B$4:$B$503,(_calc!$E$707-500)))))</f>
        <v/>
      </c>
      <c r="B705" s="46">
        <f>IF(_calc!$E$707="","",IF(_calc!$E$707&lt;=500,IF(ISNUMBER(INDEX('Our policies'!$J$4:$J$503,_calc!$E$707)),TEXT(INDEX('Our policies'!$J$4:$J$503,_calc!$E$707),"yyyy-mm-dd"),""),IF(ISNUMBER(INDEX('Vendor COIs'!$H$4:$H$503,(_calc!$E$707-500))),TEXT(INDEX('Vendor COIs'!$H$4:$H$503,(_calc!$E$707-500)),"yyyy-mm-dd"),"")))</f>
        <v/>
      </c>
      <c r="C705" s="46">
        <f>IF(_calc!$E$707="","",IF(_calc!$E$707&lt;=500,"Insurance","Certificate of insurance"))</f>
        <v/>
      </c>
      <c r="D705" s="46">
        <f>IF(_calc!$E$707="","",IF(_calc!$E$707&lt;=500,IF(ISNUMBER(INDEX('Our policies'!$I$4:$I$503,_calc!$E$707)),TEXT(INDEX('Our policies'!$I$4:$I$503,_calc!$E$707),"yyyy-mm-dd"),""),""))</f>
        <v/>
      </c>
      <c r="E705" s="46">
        <f>IF(_calc!$E$707="","",IF(_calc!$E$707&lt;=500,IF(LEN(INDEX('Our policies'!$Q$4:$Q$503,_calc!$E$707))=0,"",INDEX('Our policies'!$Q$4:$Q$503,_calc!$E$707)),"Medium"))</f>
        <v/>
      </c>
      <c r="F705" s="46">
        <f>IF(_calc!$E$707="","",IF(_calc!$E$707&lt;=500,TRIM(IF(LEN(IF(LEN(INDEX('Our policies'!$B$4:$B$503,_calc!$E$707))=0,"",INDEX('Our policies'!$B$4:$B$503,_calc!$E$707)))=0,"","Cover: "&amp;IF(LEN(INDEX('Our policies'!$B$4:$B$503,_calc!$E$707))=0,"",INDEX('Our policies'!$B$4:$B$503,_calc!$E$707))&amp;". ")&amp;IF(LEN(IF(LEN(INDEX('Our policies'!$C$4:$C$503,_calc!$E$707))=0,"",INDEX('Our policies'!$C$4:$C$503,_calc!$E$707)))=0,"","Insurer: "&amp;IF(LEN(INDEX('Our policies'!$C$4:$C$503,_calc!$E$707))=0,"",INDEX('Our policies'!$C$4:$C$503,_calc!$E$707))&amp;". ")&amp;IF(LEN(IF(LEN(INDEX('Our policies'!$D$4:$D$503,_calc!$E$707))=0,"",INDEX('Our policies'!$D$4:$D$503,_calc!$E$707)))=0,"","Broker: "&amp;IF(LEN(INDEX('Our policies'!$D$4:$D$503,_calc!$E$707))=0,"",INDEX('Our policies'!$D$4:$D$503,_calc!$E$707))&amp;". ")&amp;IF(LEN(IF(LEN(INDEX('Our policies'!$E$4:$E$503,_calc!$E$707))=0,"",INDEX('Our policies'!$E$4:$E$503,_calc!$E$707)))=0,"","Policy no.: "&amp;IF(LEN(INDEX('Our policies'!$E$4:$E$503,_calc!$E$707))=0,"",INDEX('Our policies'!$E$4:$E$503,_calc!$E$707))&amp;". ")&amp;IF(LEN(IF(LEN(INDEX('Our policies'!$S$4:$S$503,_calc!$E$707))=0,"",INDEX('Our policies'!$S$4:$S$503,_calc!$E$707)))=0,"",IF(LEN(INDEX('Our policies'!$S$4:$S$503,_calc!$E$707))=0,"",INDEX('Our policies'!$S$4:$S$503,_calc!$E$707)))),TRIM(IF(LEN(IF(LEN(INDEX('Vendor COIs'!$C$4:$C$503,(_calc!$E$707-500)))=0,"",INDEX('Vendor COIs'!$C$4:$C$503,(_calc!$E$707-500))))=0,"","Insurer: "&amp;IF(LEN(INDEX('Vendor COIs'!$C$4:$C$503,(_calc!$E$707-500)))=0,"",INDEX('Vendor COIs'!$C$4:$C$503,(_calc!$E$707-500)))&amp;". ")&amp;IF(LEN(IF(LEN(INDEX('Vendor COIs'!$D$4:$D$503,(_calc!$E$707-500)))=0,"",INDEX('Vendor COIs'!$D$4:$D$503,(_calc!$E$707-500))))=0,"","Policy no.: "&amp;IF(LEN(INDEX('Vendor COIs'!$D$4:$D$503,(_calc!$E$707-500)))=0,"",INDEX('Vendor COIs'!$D$4:$D$503,(_calc!$E$707-500)))&amp;". ")&amp;IF(LEN(IF(LEN(INDEX('Vendor COIs'!$F$4:$F$503,(_calc!$E$707-500)))=0,"",INDEX('Vendor COIs'!$F$4:$F$503,(_calc!$E$707-500))))=0,"","Meets minimum: "&amp;IF(LEN(INDEX('Vendor COIs'!$F$4:$F$503,(_calc!$E$707-500)))=0,"",INDEX('Vendor COIs'!$F$4:$F$503,(_calc!$E$707-500)))&amp;". ")&amp;IF(LEN(IF(LEN(INDEX('Vendor COIs'!$G$4:$G$503,(_calc!$E$707-500)))=0,"",INDEX('Vendor COIs'!$G$4:$G$503,(_calc!$E$707-500))))=0,"","Additional insured: "&amp;IF(LEN(INDEX('Vendor COIs'!$G$4:$G$503,(_calc!$E$707-500)))=0,"",INDEX('Vendor COIs'!$G$4:$G$503,(_calc!$E$707-500)))&amp;". ")&amp;IF(LEN(IF(LEN(INDEX('Vendor COIs'!$M$4:$M$503,(_calc!$E$707-500)))=0,"",INDEX('Vendor COIs'!$M$4:$M$503,(_calc!$E$707-500))))=0,"","Vendor contact: "&amp;IF(LEN(INDEX('Vendor COIs'!$M$4:$M$503,(_calc!$E$707-500)))=0,"",INDEX('Vendor COIs'!$M$4:$M$503,(_calc!$E$707-500)))&amp;". ")&amp;IF(LEN(IF(LEN(INDEX('Vendor COIs'!$P$4:$P$503,(_calc!$E$707-500)))=0,"",INDEX('Vendor COIs'!$P$4:$P$503,(_calc!$E$707-500))))=0,"",IF(LEN(INDEX('Vendor COIs'!$P$4:$P$503,(_calc!$E$707-500)))=0,"",INDEX('Vendor COIs'!$P$4:$P$503,(_calc!$E$707-500)))))))</f>
        <v/>
      </c>
      <c r="G705" s="46">
        <f>IF(_calc!$E$707="","",IF(_calc!$E$707&lt;=500,IF(LEN(INDEX('Our policies'!$R$4:$R$503,_calc!$E$707))=0,"",INDEX('Our policies'!$R$4:$R$503,_calc!$E$707)),IF(LEN(INDEX('Vendor COIs'!$O$4:$O$503,(_calc!$E$707-500)))=0,"",INDEX('Vendor COIs'!$O$4:$O$503,(_calc!$E$707-500)))))</f>
        <v/>
      </c>
      <c r="H705" s="46">
        <f>IF(_calc!$E$707="","",IF(_calc!$E$707&lt;=500,IF(LEN(INDEX('Our policies'!$G$4:$G$503,_calc!$E$707))=0,"",INDEX('Our policies'!$G$4:$G$503,_calc!$E$707)),""))</f>
        <v/>
      </c>
      <c r="I705" s="46">
        <f>IF(_calc!$E$707="","",IF(_calc!$E$707&lt;=500,IF(LEN(INDEX('Our policies'!$H$4:$H$503,_calc!$E$707))=0,"",INDEX('Our policies'!$H$4:$H$503,_calc!$E$707)),""))</f>
        <v/>
      </c>
      <c r="K705" s="46">
        <f>IF(_calc!$E$707="","",IF(_calc!$E$707&lt;=500,IF(LEN(INDEX('Our policies'!$P$4:$P$503,_calc!$E$707))=0,"",INDEX('Our policies'!$P$4:$P$503,_calc!$E$707)),IF(LEN(INDEX('Vendor COIs'!$N$4:$N$503,(_calc!$E$707-500)))=0,"",INDEX('Vendor COIs'!$N$4:$N$503,(_calc!$E$707-500)))))</f>
        <v/>
      </c>
    </row>
    <row r="706">
      <c r="A706" s="46">
        <f>IF(_calc!$E$708="","",IF(_calc!$E$708&lt;=500,IF(LEN(INDEX('Our policies'!$A$4:$A$503,_calc!$E$708))=0,"",INDEX('Our policies'!$A$4:$A$503,_calc!$E$708)),"COI – "&amp;IF(LEN(INDEX('Vendor COIs'!$A$4:$A$503,(_calc!$E$708-500)))=0,"",INDEX('Vendor COIs'!$A$4:$A$503,(_calc!$E$708-500)))&amp;" – "&amp;IF(LEN(INDEX('Vendor COIs'!$B$4:$B$503,(_calc!$E$708-500)))=0,"",INDEX('Vendor COIs'!$B$4:$B$503,(_calc!$E$708-500)))))</f>
        <v/>
      </c>
      <c r="B706" s="46">
        <f>IF(_calc!$E$708="","",IF(_calc!$E$708&lt;=500,IF(ISNUMBER(INDEX('Our policies'!$J$4:$J$503,_calc!$E$708)),TEXT(INDEX('Our policies'!$J$4:$J$503,_calc!$E$708),"yyyy-mm-dd"),""),IF(ISNUMBER(INDEX('Vendor COIs'!$H$4:$H$503,(_calc!$E$708-500))),TEXT(INDEX('Vendor COIs'!$H$4:$H$503,(_calc!$E$708-500)),"yyyy-mm-dd"),"")))</f>
        <v/>
      </c>
      <c r="C706" s="46">
        <f>IF(_calc!$E$708="","",IF(_calc!$E$708&lt;=500,"Insurance","Certificate of insurance"))</f>
        <v/>
      </c>
      <c r="D706" s="46">
        <f>IF(_calc!$E$708="","",IF(_calc!$E$708&lt;=500,IF(ISNUMBER(INDEX('Our policies'!$I$4:$I$503,_calc!$E$708)),TEXT(INDEX('Our policies'!$I$4:$I$503,_calc!$E$708),"yyyy-mm-dd"),""),""))</f>
        <v/>
      </c>
      <c r="E706" s="46">
        <f>IF(_calc!$E$708="","",IF(_calc!$E$708&lt;=500,IF(LEN(INDEX('Our policies'!$Q$4:$Q$503,_calc!$E$708))=0,"",INDEX('Our policies'!$Q$4:$Q$503,_calc!$E$708)),"Medium"))</f>
        <v/>
      </c>
      <c r="F706" s="46">
        <f>IF(_calc!$E$708="","",IF(_calc!$E$708&lt;=500,TRIM(IF(LEN(IF(LEN(INDEX('Our policies'!$B$4:$B$503,_calc!$E$708))=0,"",INDEX('Our policies'!$B$4:$B$503,_calc!$E$708)))=0,"","Cover: "&amp;IF(LEN(INDEX('Our policies'!$B$4:$B$503,_calc!$E$708))=0,"",INDEX('Our policies'!$B$4:$B$503,_calc!$E$708))&amp;". ")&amp;IF(LEN(IF(LEN(INDEX('Our policies'!$C$4:$C$503,_calc!$E$708))=0,"",INDEX('Our policies'!$C$4:$C$503,_calc!$E$708)))=0,"","Insurer: "&amp;IF(LEN(INDEX('Our policies'!$C$4:$C$503,_calc!$E$708))=0,"",INDEX('Our policies'!$C$4:$C$503,_calc!$E$708))&amp;". ")&amp;IF(LEN(IF(LEN(INDEX('Our policies'!$D$4:$D$503,_calc!$E$708))=0,"",INDEX('Our policies'!$D$4:$D$503,_calc!$E$708)))=0,"","Broker: "&amp;IF(LEN(INDEX('Our policies'!$D$4:$D$503,_calc!$E$708))=0,"",INDEX('Our policies'!$D$4:$D$503,_calc!$E$708))&amp;". ")&amp;IF(LEN(IF(LEN(INDEX('Our policies'!$E$4:$E$503,_calc!$E$708))=0,"",INDEX('Our policies'!$E$4:$E$503,_calc!$E$708)))=0,"","Policy no.: "&amp;IF(LEN(INDEX('Our policies'!$E$4:$E$503,_calc!$E$708))=0,"",INDEX('Our policies'!$E$4:$E$503,_calc!$E$708))&amp;". ")&amp;IF(LEN(IF(LEN(INDEX('Our policies'!$S$4:$S$503,_calc!$E$708))=0,"",INDEX('Our policies'!$S$4:$S$503,_calc!$E$708)))=0,"",IF(LEN(INDEX('Our policies'!$S$4:$S$503,_calc!$E$708))=0,"",INDEX('Our policies'!$S$4:$S$503,_calc!$E$708)))),TRIM(IF(LEN(IF(LEN(INDEX('Vendor COIs'!$C$4:$C$503,(_calc!$E$708-500)))=0,"",INDEX('Vendor COIs'!$C$4:$C$503,(_calc!$E$708-500))))=0,"","Insurer: "&amp;IF(LEN(INDEX('Vendor COIs'!$C$4:$C$503,(_calc!$E$708-500)))=0,"",INDEX('Vendor COIs'!$C$4:$C$503,(_calc!$E$708-500)))&amp;". ")&amp;IF(LEN(IF(LEN(INDEX('Vendor COIs'!$D$4:$D$503,(_calc!$E$708-500)))=0,"",INDEX('Vendor COIs'!$D$4:$D$503,(_calc!$E$708-500))))=0,"","Policy no.: "&amp;IF(LEN(INDEX('Vendor COIs'!$D$4:$D$503,(_calc!$E$708-500)))=0,"",INDEX('Vendor COIs'!$D$4:$D$503,(_calc!$E$708-500)))&amp;". ")&amp;IF(LEN(IF(LEN(INDEX('Vendor COIs'!$F$4:$F$503,(_calc!$E$708-500)))=0,"",INDEX('Vendor COIs'!$F$4:$F$503,(_calc!$E$708-500))))=0,"","Meets minimum: "&amp;IF(LEN(INDEX('Vendor COIs'!$F$4:$F$503,(_calc!$E$708-500)))=0,"",INDEX('Vendor COIs'!$F$4:$F$503,(_calc!$E$708-500)))&amp;". ")&amp;IF(LEN(IF(LEN(INDEX('Vendor COIs'!$G$4:$G$503,(_calc!$E$708-500)))=0,"",INDEX('Vendor COIs'!$G$4:$G$503,(_calc!$E$708-500))))=0,"","Additional insured: "&amp;IF(LEN(INDEX('Vendor COIs'!$G$4:$G$503,(_calc!$E$708-500)))=0,"",INDEX('Vendor COIs'!$G$4:$G$503,(_calc!$E$708-500)))&amp;". ")&amp;IF(LEN(IF(LEN(INDEX('Vendor COIs'!$M$4:$M$503,(_calc!$E$708-500)))=0,"",INDEX('Vendor COIs'!$M$4:$M$503,(_calc!$E$708-500))))=0,"","Vendor contact: "&amp;IF(LEN(INDEX('Vendor COIs'!$M$4:$M$503,(_calc!$E$708-500)))=0,"",INDEX('Vendor COIs'!$M$4:$M$503,(_calc!$E$708-500)))&amp;". ")&amp;IF(LEN(IF(LEN(INDEX('Vendor COIs'!$P$4:$P$503,(_calc!$E$708-500)))=0,"",INDEX('Vendor COIs'!$P$4:$P$503,(_calc!$E$708-500))))=0,"",IF(LEN(INDEX('Vendor COIs'!$P$4:$P$503,(_calc!$E$708-500)))=0,"",INDEX('Vendor COIs'!$P$4:$P$503,(_calc!$E$708-500)))))))</f>
        <v/>
      </c>
      <c r="G706" s="46">
        <f>IF(_calc!$E$708="","",IF(_calc!$E$708&lt;=500,IF(LEN(INDEX('Our policies'!$R$4:$R$503,_calc!$E$708))=0,"",INDEX('Our policies'!$R$4:$R$503,_calc!$E$708)),IF(LEN(INDEX('Vendor COIs'!$O$4:$O$503,(_calc!$E$708-500)))=0,"",INDEX('Vendor COIs'!$O$4:$O$503,(_calc!$E$708-500)))))</f>
        <v/>
      </c>
      <c r="H706" s="46">
        <f>IF(_calc!$E$708="","",IF(_calc!$E$708&lt;=500,IF(LEN(INDEX('Our policies'!$G$4:$G$503,_calc!$E$708))=0,"",INDEX('Our policies'!$G$4:$G$503,_calc!$E$708)),""))</f>
        <v/>
      </c>
      <c r="I706" s="46">
        <f>IF(_calc!$E$708="","",IF(_calc!$E$708&lt;=500,IF(LEN(INDEX('Our policies'!$H$4:$H$503,_calc!$E$708))=0,"",INDEX('Our policies'!$H$4:$H$503,_calc!$E$708)),""))</f>
        <v/>
      </c>
      <c r="K706" s="46">
        <f>IF(_calc!$E$708="","",IF(_calc!$E$708&lt;=500,IF(LEN(INDEX('Our policies'!$P$4:$P$503,_calc!$E$708))=0,"",INDEX('Our policies'!$P$4:$P$503,_calc!$E$708)),IF(LEN(INDEX('Vendor COIs'!$N$4:$N$503,(_calc!$E$708-500)))=0,"",INDEX('Vendor COIs'!$N$4:$N$503,(_calc!$E$708-500)))))</f>
        <v/>
      </c>
    </row>
    <row r="707">
      <c r="A707" s="46">
        <f>IF(_calc!$E$709="","",IF(_calc!$E$709&lt;=500,IF(LEN(INDEX('Our policies'!$A$4:$A$503,_calc!$E$709))=0,"",INDEX('Our policies'!$A$4:$A$503,_calc!$E$709)),"COI – "&amp;IF(LEN(INDEX('Vendor COIs'!$A$4:$A$503,(_calc!$E$709-500)))=0,"",INDEX('Vendor COIs'!$A$4:$A$503,(_calc!$E$709-500)))&amp;" – "&amp;IF(LEN(INDEX('Vendor COIs'!$B$4:$B$503,(_calc!$E$709-500)))=0,"",INDEX('Vendor COIs'!$B$4:$B$503,(_calc!$E$709-500)))))</f>
        <v/>
      </c>
      <c r="B707" s="46">
        <f>IF(_calc!$E$709="","",IF(_calc!$E$709&lt;=500,IF(ISNUMBER(INDEX('Our policies'!$J$4:$J$503,_calc!$E$709)),TEXT(INDEX('Our policies'!$J$4:$J$503,_calc!$E$709),"yyyy-mm-dd"),""),IF(ISNUMBER(INDEX('Vendor COIs'!$H$4:$H$503,(_calc!$E$709-500))),TEXT(INDEX('Vendor COIs'!$H$4:$H$503,(_calc!$E$709-500)),"yyyy-mm-dd"),"")))</f>
        <v/>
      </c>
      <c r="C707" s="46">
        <f>IF(_calc!$E$709="","",IF(_calc!$E$709&lt;=500,"Insurance","Certificate of insurance"))</f>
        <v/>
      </c>
      <c r="D707" s="46">
        <f>IF(_calc!$E$709="","",IF(_calc!$E$709&lt;=500,IF(ISNUMBER(INDEX('Our policies'!$I$4:$I$503,_calc!$E$709)),TEXT(INDEX('Our policies'!$I$4:$I$503,_calc!$E$709),"yyyy-mm-dd"),""),""))</f>
        <v/>
      </c>
      <c r="E707" s="46">
        <f>IF(_calc!$E$709="","",IF(_calc!$E$709&lt;=500,IF(LEN(INDEX('Our policies'!$Q$4:$Q$503,_calc!$E$709))=0,"",INDEX('Our policies'!$Q$4:$Q$503,_calc!$E$709)),"Medium"))</f>
        <v/>
      </c>
      <c r="F707" s="46">
        <f>IF(_calc!$E$709="","",IF(_calc!$E$709&lt;=500,TRIM(IF(LEN(IF(LEN(INDEX('Our policies'!$B$4:$B$503,_calc!$E$709))=0,"",INDEX('Our policies'!$B$4:$B$503,_calc!$E$709)))=0,"","Cover: "&amp;IF(LEN(INDEX('Our policies'!$B$4:$B$503,_calc!$E$709))=0,"",INDEX('Our policies'!$B$4:$B$503,_calc!$E$709))&amp;". ")&amp;IF(LEN(IF(LEN(INDEX('Our policies'!$C$4:$C$503,_calc!$E$709))=0,"",INDEX('Our policies'!$C$4:$C$503,_calc!$E$709)))=0,"","Insurer: "&amp;IF(LEN(INDEX('Our policies'!$C$4:$C$503,_calc!$E$709))=0,"",INDEX('Our policies'!$C$4:$C$503,_calc!$E$709))&amp;". ")&amp;IF(LEN(IF(LEN(INDEX('Our policies'!$D$4:$D$503,_calc!$E$709))=0,"",INDEX('Our policies'!$D$4:$D$503,_calc!$E$709)))=0,"","Broker: "&amp;IF(LEN(INDEX('Our policies'!$D$4:$D$503,_calc!$E$709))=0,"",INDEX('Our policies'!$D$4:$D$503,_calc!$E$709))&amp;". ")&amp;IF(LEN(IF(LEN(INDEX('Our policies'!$E$4:$E$503,_calc!$E$709))=0,"",INDEX('Our policies'!$E$4:$E$503,_calc!$E$709)))=0,"","Policy no.: "&amp;IF(LEN(INDEX('Our policies'!$E$4:$E$503,_calc!$E$709))=0,"",INDEX('Our policies'!$E$4:$E$503,_calc!$E$709))&amp;". ")&amp;IF(LEN(IF(LEN(INDEX('Our policies'!$S$4:$S$503,_calc!$E$709))=0,"",INDEX('Our policies'!$S$4:$S$503,_calc!$E$709)))=0,"",IF(LEN(INDEX('Our policies'!$S$4:$S$503,_calc!$E$709))=0,"",INDEX('Our policies'!$S$4:$S$503,_calc!$E$709)))),TRIM(IF(LEN(IF(LEN(INDEX('Vendor COIs'!$C$4:$C$503,(_calc!$E$709-500)))=0,"",INDEX('Vendor COIs'!$C$4:$C$503,(_calc!$E$709-500))))=0,"","Insurer: "&amp;IF(LEN(INDEX('Vendor COIs'!$C$4:$C$503,(_calc!$E$709-500)))=0,"",INDEX('Vendor COIs'!$C$4:$C$503,(_calc!$E$709-500)))&amp;". ")&amp;IF(LEN(IF(LEN(INDEX('Vendor COIs'!$D$4:$D$503,(_calc!$E$709-500)))=0,"",INDEX('Vendor COIs'!$D$4:$D$503,(_calc!$E$709-500))))=0,"","Policy no.: "&amp;IF(LEN(INDEX('Vendor COIs'!$D$4:$D$503,(_calc!$E$709-500)))=0,"",INDEX('Vendor COIs'!$D$4:$D$503,(_calc!$E$709-500)))&amp;". ")&amp;IF(LEN(IF(LEN(INDEX('Vendor COIs'!$F$4:$F$503,(_calc!$E$709-500)))=0,"",INDEX('Vendor COIs'!$F$4:$F$503,(_calc!$E$709-500))))=0,"","Meets minimum: "&amp;IF(LEN(INDEX('Vendor COIs'!$F$4:$F$503,(_calc!$E$709-500)))=0,"",INDEX('Vendor COIs'!$F$4:$F$503,(_calc!$E$709-500)))&amp;". ")&amp;IF(LEN(IF(LEN(INDEX('Vendor COIs'!$G$4:$G$503,(_calc!$E$709-500)))=0,"",INDEX('Vendor COIs'!$G$4:$G$503,(_calc!$E$709-500))))=0,"","Additional insured: "&amp;IF(LEN(INDEX('Vendor COIs'!$G$4:$G$503,(_calc!$E$709-500)))=0,"",INDEX('Vendor COIs'!$G$4:$G$503,(_calc!$E$709-500)))&amp;". ")&amp;IF(LEN(IF(LEN(INDEX('Vendor COIs'!$M$4:$M$503,(_calc!$E$709-500)))=0,"",INDEX('Vendor COIs'!$M$4:$M$503,(_calc!$E$709-500))))=0,"","Vendor contact: "&amp;IF(LEN(INDEX('Vendor COIs'!$M$4:$M$503,(_calc!$E$709-500)))=0,"",INDEX('Vendor COIs'!$M$4:$M$503,(_calc!$E$709-500)))&amp;". ")&amp;IF(LEN(IF(LEN(INDEX('Vendor COIs'!$P$4:$P$503,(_calc!$E$709-500)))=0,"",INDEX('Vendor COIs'!$P$4:$P$503,(_calc!$E$709-500))))=0,"",IF(LEN(INDEX('Vendor COIs'!$P$4:$P$503,(_calc!$E$709-500)))=0,"",INDEX('Vendor COIs'!$P$4:$P$503,(_calc!$E$709-500)))))))</f>
        <v/>
      </c>
      <c r="G707" s="46">
        <f>IF(_calc!$E$709="","",IF(_calc!$E$709&lt;=500,IF(LEN(INDEX('Our policies'!$R$4:$R$503,_calc!$E$709))=0,"",INDEX('Our policies'!$R$4:$R$503,_calc!$E$709)),IF(LEN(INDEX('Vendor COIs'!$O$4:$O$503,(_calc!$E$709-500)))=0,"",INDEX('Vendor COIs'!$O$4:$O$503,(_calc!$E$709-500)))))</f>
        <v/>
      </c>
      <c r="H707" s="46">
        <f>IF(_calc!$E$709="","",IF(_calc!$E$709&lt;=500,IF(LEN(INDEX('Our policies'!$G$4:$G$503,_calc!$E$709))=0,"",INDEX('Our policies'!$G$4:$G$503,_calc!$E$709)),""))</f>
        <v/>
      </c>
      <c r="I707" s="46">
        <f>IF(_calc!$E$709="","",IF(_calc!$E$709&lt;=500,IF(LEN(INDEX('Our policies'!$H$4:$H$503,_calc!$E$709))=0,"",INDEX('Our policies'!$H$4:$H$503,_calc!$E$709)),""))</f>
        <v/>
      </c>
      <c r="K707" s="46">
        <f>IF(_calc!$E$709="","",IF(_calc!$E$709&lt;=500,IF(LEN(INDEX('Our policies'!$P$4:$P$503,_calc!$E$709))=0,"",INDEX('Our policies'!$P$4:$P$503,_calc!$E$709)),IF(LEN(INDEX('Vendor COIs'!$N$4:$N$503,(_calc!$E$709-500)))=0,"",INDEX('Vendor COIs'!$N$4:$N$503,(_calc!$E$709-500)))))</f>
        <v/>
      </c>
    </row>
    <row r="708">
      <c r="A708" s="46">
        <f>IF(_calc!$E$710="","",IF(_calc!$E$710&lt;=500,IF(LEN(INDEX('Our policies'!$A$4:$A$503,_calc!$E$710))=0,"",INDEX('Our policies'!$A$4:$A$503,_calc!$E$710)),"COI – "&amp;IF(LEN(INDEX('Vendor COIs'!$A$4:$A$503,(_calc!$E$710-500)))=0,"",INDEX('Vendor COIs'!$A$4:$A$503,(_calc!$E$710-500)))&amp;" – "&amp;IF(LEN(INDEX('Vendor COIs'!$B$4:$B$503,(_calc!$E$710-500)))=0,"",INDEX('Vendor COIs'!$B$4:$B$503,(_calc!$E$710-500)))))</f>
        <v/>
      </c>
      <c r="B708" s="46">
        <f>IF(_calc!$E$710="","",IF(_calc!$E$710&lt;=500,IF(ISNUMBER(INDEX('Our policies'!$J$4:$J$503,_calc!$E$710)),TEXT(INDEX('Our policies'!$J$4:$J$503,_calc!$E$710),"yyyy-mm-dd"),""),IF(ISNUMBER(INDEX('Vendor COIs'!$H$4:$H$503,(_calc!$E$710-500))),TEXT(INDEX('Vendor COIs'!$H$4:$H$503,(_calc!$E$710-500)),"yyyy-mm-dd"),"")))</f>
        <v/>
      </c>
      <c r="C708" s="46">
        <f>IF(_calc!$E$710="","",IF(_calc!$E$710&lt;=500,"Insurance","Certificate of insurance"))</f>
        <v/>
      </c>
      <c r="D708" s="46">
        <f>IF(_calc!$E$710="","",IF(_calc!$E$710&lt;=500,IF(ISNUMBER(INDEX('Our policies'!$I$4:$I$503,_calc!$E$710)),TEXT(INDEX('Our policies'!$I$4:$I$503,_calc!$E$710),"yyyy-mm-dd"),""),""))</f>
        <v/>
      </c>
      <c r="E708" s="46">
        <f>IF(_calc!$E$710="","",IF(_calc!$E$710&lt;=500,IF(LEN(INDEX('Our policies'!$Q$4:$Q$503,_calc!$E$710))=0,"",INDEX('Our policies'!$Q$4:$Q$503,_calc!$E$710)),"Medium"))</f>
        <v/>
      </c>
      <c r="F708" s="46">
        <f>IF(_calc!$E$710="","",IF(_calc!$E$710&lt;=500,TRIM(IF(LEN(IF(LEN(INDEX('Our policies'!$B$4:$B$503,_calc!$E$710))=0,"",INDEX('Our policies'!$B$4:$B$503,_calc!$E$710)))=0,"","Cover: "&amp;IF(LEN(INDEX('Our policies'!$B$4:$B$503,_calc!$E$710))=0,"",INDEX('Our policies'!$B$4:$B$503,_calc!$E$710))&amp;". ")&amp;IF(LEN(IF(LEN(INDEX('Our policies'!$C$4:$C$503,_calc!$E$710))=0,"",INDEX('Our policies'!$C$4:$C$503,_calc!$E$710)))=0,"","Insurer: "&amp;IF(LEN(INDEX('Our policies'!$C$4:$C$503,_calc!$E$710))=0,"",INDEX('Our policies'!$C$4:$C$503,_calc!$E$710))&amp;". ")&amp;IF(LEN(IF(LEN(INDEX('Our policies'!$D$4:$D$503,_calc!$E$710))=0,"",INDEX('Our policies'!$D$4:$D$503,_calc!$E$710)))=0,"","Broker: "&amp;IF(LEN(INDEX('Our policies'!$D$4:$D$503,_calc!$E$710))=0,"",INDEX('Our policies'!$D$4:$D$503,_calc!$E$710))&amp;". ")&amp;IF(LEN(IF(LEN(INDEX('Our policies'!$E$4:$E$503,_calc!$E$710))=0,"",INDEX('Our policies'!$E$4:$E$503,_calc!$E$710)))=0,"","Policy no.: "&amp;IF(LEN(INDEX('Our policies'!$E$4:$E$503,_calc!$E$710))=0,"",INDEX('Our policies'!$E$4:$E$503,_calc!$E$710))&amp;". ")&amp;IF(LEN(IF(LEN(INDEX('Our policies'!$S$4:$S$503,_calc!$E$710))=0,"",INDEX('Our policies'!$S$4:$S$503,_calc!$E$710)))=0,"",IF(LEN(INDEX('Our policies'!$S$4:$S$503,_calc!$E$710))=0,"",INDEX('Our policies'!$S$4:$S$503,_calc!$E$710)))),TRIM(IF(LEN(IF(LEN(INDEX('Vendor COIs'!$C$4:$C$503,(_calc!$E$710-500)))=0,"",INDEX('Vendor COIs'!$C$4:$C$503,(_calc!$E$710-500))))=0,"","Insurer: "&amp;IF(LEN(INDEX('Vendor COIs'!$C$4:$C$503,(_calc!$E$710-500)))=0,"",INDEX('Vendor COIs'!$C$4:$C$503,(_calc!$E$710-500)))&amp;". ")&amp;IF(LEN(IF(LEN(INDEX('Vendor COIs'!$D$4:$D$503,(_calc!$E$710-500)))=0,"",INDEX('Vendor COIs'!$D$4:$D$503,(_calc!$E$710-500))))=0,"","Policy no.: "&amp;IF(LEN(INDEX('Vendor COIs'!$D$4:$D$503,(_calc!$E$710-500)))=0,"",INDEX('Vendor COIs'!$D$4:$D$503,(_calc!$E$710-500)))&amp;". ")&amp;IF(LEN(IF(LEN(INDEX('Vendor COIs'!$F$4:$F$503,(_calc!$E$710-500)))=0,"",INDEX('Vendor COIs'!$F$4:$F$503,(_calc!$E$710-500))))=0,"","Meets minimum: "&amp;IF(LEN(INDEX('Vendor COIs'!$F$4:$F$503,(_calc!$E$710-500)))=0,"",INDEX('Vendor COIs'!$F$4:$F$503,(_calc!$E$710-500)))&amp;". ")&amp;IF(LEN(IF(LEN(INDEX('Vendor COIs'!$G$4:$G$503,(_calc!$E$710-500)))=0,"",INDEX('Vendor COIs'!$G$4:$G$503,(_calc!$E$710-500))))=0,"","Additional insured: "&amp;IF(LEN(INDEX('Vendor COIs'!$G$4:$G$503,(_calc!$E$710-500)))=0,"",INDEX('Vendor COIs'!$G$4:$G$503,(_calc!$E$710-500)))&amp;". ")&amp;IF(LEN(IF(LEN(INDEX('Vendor COIs'!$M$4:$M$503,(_calc!$E$710-500)))=0,"",INDEX('Vendor COIs'!$M$4:$M$503,(_calc!$E$710-500))))=0,"","Vendor contact: "&amp;IF(LEN(INDEX('Vendor COIs'!$M$4:$M$503,(_calc!$E$710-500)))=0,"",INDEX('Vendor COIs'!$M$4:$M$503,(_calc!$E$710-500)))&amp;". ")&amp;IF(LEN(IF(LEN(INDEX('Vendor COIs'!$P$4:$P$503,(_calc!$E$710-500)))=0,"",INDEX('Vendor COIs'!$P$4:$P$503,(_calc!$E$710-500))))=0,"",IF(LEN(INDEX('Vendor COIs'!$P$4:$P$503,(_calc!$E$710-500)))=0,"",INDEX('Vendor COIs'!$P$4:$P$503,(_calc!$E$710-500)))))))</f>
        <v/>
      </c>
      <c r="G708" s="46">
        <f>IF(_calc!$E$710="","",IF(_calc!$E$710&lt;=500,IF(LEN(INDEX('Our policies'!$R$4:$R$503,_calc!$E$710))=0,"",INDEX('Our policies'!$R$4:$R$503,_calc!$E$710)),IF(LEN(INDEX('Vendor COIs'!$O$4:$O$503,(_calc!$E$710-500)))=0,"",INDEX('Vendor COIs'!$O$4:$O$503,(_calc!$E$710-500)))))</f>
        <v/>
      </c>
      <c r="H708" s="46">
        <f>IF(_calc!$E$710="","",IF(_calc!$E$710&lt;=500,IF(LEN(INDEX('Our policies'!$G$4:$G$503,_calc!$E$710))=0,"",INDEX('Our policies'!$G$4:$G$503,_calc!$E$710)),""))</f>
        <v/>
      </c>
      <c r="I708" s="46">
        <f>IF(_calc!$E$710="","",IF(_calc!$E$710&lt;=500,IF(LEN(INDEX('Our policies'!$H$4:$H$503,_calc!$E$710))=0,"",INDEX('Our policies'!$H$4:$H$503,_calc!$E$710)),""))</f>
        <v/>
      </c>
      <c r="K708" s="46">
        <f>IF(_calc!$E$710="","",IF(_calc!$E$710&lt;=500,IF(LEN(INDEX('Our policies'!$P$4:$P$503,_calc!$E$710))=0,"",INDEX('Our policies'!$P$4:$P$503,_calc!$E$710)),IF(LEN(INDEX('Vendor COIs'!$N$4:$N$503,(_calc!$E$710-500)))=0,"",INDEX('Vendor COIs'!$N$4:$N$503,(_calc!$E$710-500)))))</f>
        <v/>
      </c>
    </row>
    <row r="709">
      <c r="A709" s="46">
        <f>IF(_calc!$E$711="","",IF(_calc!$E$711&lt;=500,IF(LEN(INDEX('Our policies'!$A$4:$A$503,_calc!$E$711))=0,"",INDEX('Our policies'!$A$4:$A$503,_calc!$E$711)),"COI – "&amp;IF(LEN(INDEX('Vendor COIs'!$A$4:$A$503,(_calc!$E$711-500)))=0,"",INDEX('Vendor COIs'!$A$4:$A$503,(_calc!$E$711-500)))&amp;" – "&amp;IF(LEN(INDEX('Vendor COIs'!$B$4:$B$503,(_calc!$E$711-500)))=0,"",INDEX('Vendor COIs'!$B$4:$B$503,(_calc!$E$711-500)))))</f>
        <v/>
      </c>
      <c r="B709" s="46">
        <f>IF(_calc!$E$711="","",IF(_calc!$E$711&lt;=500,IF(ISNUMBER(INDEX('Our policies'!$J$4:$J$503,_calc!$E$711)),TEXT(INDEX('Our policies'!$J$4:$J$503,_calc!$E$711),"yyyy-mm-dd"),""),IF(ISNUMBER(INDEX('Vendor COIs'!$H$4:$H$503,(_calc!$E$711-500))),TEXT(INDEX('Vendor COIs'!$H$4:$H$503,(_calc!$E$711-500)),"yyyy-mm-dd"),"")))</f>
        <v/>
      </c>
      <c r="C709" s="46">
        <f>IF(_calc!$E$711="","",IF(_calc!$E$711&lt;=500,"Insurance","Certificate of insurance"))</f>
        <v/>
      </c>
      <c r="D709" s="46">
        <f>IF(_calc!$E$711="","",IF(_calc!$E$711&lt;=500,IF(ISNUMBER(INDEX('Our policies'!$I$4:$I$503,_calc!$E$711)),TEXT(INDEX('Our policies'!$I$4:$I$503,_calc!$E$711),"yyyy-mm-dd"),""),""))</f>
        <v/>
      </c>
      <c r="E709" s="46">
        <f>IF(_calc!$E$711="","",IF(_calc!$E$711&lt;=500,IF(LEN(INDEX('Our policies'!$Q$4:$Q$503,_calc!$E$711))=0,"",INDEX('Our policies'!$Q$4:$Q$503,_calc!$E$711)),"Medium"))</f>
        <v/>
      </c>
      <c r="F709" s="46">
        <f>IF(_calc!$E$711="","",IF(_calc!$E$711&lt;=500,TRIM(IF(LEN(IF(LEN(INDEX('Our policies'!$B$4:$B$503,_calc!$E$711))=0,"",INDEX('Our policies'!$B$4:$B$503,_calc!$E$711)))=0,"","Cover: "&amp;IF(LEN(INDEX('Our policies'!$B$4:$B$503,_calc!$E$711))=0,"",INDEX('Our policies'!$B$4:$B$503,_calc!$E$711))&amp;". ")&amp;IF(LEN(IF(LEN(INDEX('Our policies'!$C$4:$C$503,_calc!$E$711))=0,"",INDEX('Our policies'!$C$4:$C$503,_calc!$E$711)))=0,"","Insurer: "&amp;IF(LEN(INDEX('Our policies'!$C$4:$C$503,_calc!$E$711))=0,"",INDEX('Our policies'!$C$4:$C$503,_calc!$E$711))&amp;". ")&amp;IF(LEN(IF(LEN(INDEX('Our policies'!$D$4:$D$503,_calc!$E$711))=0,"",INDEX('Our policies'!$D$4:$D$503,_calc!$E$711)))=0,"","Broker: "&amp;IF(LEN(INDEX('Our policies'!$D$4:$D$503,_calc!$E$711))=0,"",INDEX('Our policies'!$D$4:$D$503,_calc!$E$711))&amp;". ")&amp;IF(LEN(IF(LEN(INDEX('Our policies'!$E$4:$E$503,_calc!$E$711))=0,"",INDEX('Our policies'!$E$4:$E$503,_calc!$E$711)))=0,"","Policy no.: "&amp;IF(LEN(INDEX('Our policies'!$E$4:$E$503,_calc!$E$711))=0,"",INDEX('Our policies'!$E$4:$E$503,_calc!$E$711))&amp;". ")&amp;IF(LEN(IF(LEN(INDEX('Our policies'!$S$4:$S$503,_calc!$E$711))=0,"",INDEX('Our policies'!$S$4:$S$503,_calc!$E$711)))=0,"",IF(LEN(INDEX('Our policies'!$S$4:$S$503,_calc!$E$711))=0,"",INDEX('Our policies'!$S$4:$S$503,_calc!$E$711)))),TRIM(IF(LEN(IF(LEN(INDEX('Vendor COIs'!$C$4:$C$503,(_calc!$E$711-500)))=0,"",INDEX('Vendor COIs'!$C$4:$C$503,(_calc!$E$711-500))))=0,"","Insurer: "&amp;IF(LEN(INDEX('Vendor COIs'!$C$4:$C$503,(_calc!$E$711-500)))=0,"",INDEX('Vendor COIs'!$C$4:$C$503,(_calc!$E$711-500)))&amp;". ")&amp;IF(LEN(IF(LEN(INDEX('Vendor COIs'!$D$4:$D$503,(_calc!$E$711-500)))=0,"",INDEX('Vendor COIs'!$D$4:$D$503,(_calc!$E$711-500))))=0,"","Policy no.: "&amp;IF(LEN(INDEX('Vendor COIs'!$D$4:$D$503,(_calc!$E$711-500)))=0,"",INDEX('Vendor COIs'!$D$4:$D$503,(_calc!$E$711-500)))&amp;". ")&amp;IF(LEN(IF(LEN(INDEX('Vendor COIs'!$F$4:$F$503,(_calc!$E$711-500)))=0,"",INDEX('Vendor COIs'!$F$4:$F$503,(_calc!$E$711-500))))=0,"","Meets minimum: "&amp;IF(LEN(INDEX('Vendor COIs'!$F$4:$F$503,(_calc!$E$711-500)))=0,"",INDEX('Vendor COIs'!$F$4:$F$503,(_calc!$E$711-500)))&amp;". ")&amp;IF(LEN(IF(LEN(INDEX('Vendor COIs'!$G$4:$G$503,(_calc!$E$711-500)))=0,"",INDEX('Vendor COIs'!$G$4:$G$503,(_calc!$E$711-500))))=0,"","Additional insured: "&amp;IF(LEN(INDEX('Vendor COIs'!$G$4:$G$503,(_calc!$E$711-500)))=0,"",INDEX('Vendor COIs'!$G$4:$G$503,(_calc!$E$711-500)))&amp;". ")&amp;IF(LEN(IF(LEN(INDEX('Vendor COIs'!$M$4:$M$503,(_calc!$E$711-500)))=0,"",INDEX('Vendor COIs'!$M$4:$M$503,(_calc!$E$711-500))))=0,"","Vendor contact: "&amp;IF(LEN(INDEX('Vendor COIs'!$M$4:$M$503,(_calc!$E$711-500)))=0,"",INDEX('Vendor COIs'!$M$4:$M$503,(_calc!$E$711-500)))&amp;". ")&amp;IF(LEN(IF(LEN(INDEX('Vendor COIs'!$P$4:$P$503,(_calc!$E$711-500)))=0,"",INDEX('Vendor COIs'!$P$4:$P$503,(_calc!$E$711-500))))=0,"",IF(LEN(INDEX('Vendor COIs'!$P$4:$P$503,(_calc!$E$711-500)))=0,"",INDEX('Vendor COIs'!$P$4:$P$503,(_calc!$E$711-500)))))))</f>
        <v/>
      </c>
      <c r="G709" s="46">
        <f>IF(_calc!$E$711="","",IF(_calc!$E$711&lt;=500,IF(LEN(INDEX('Our policies'!$R$4:$R$503,_calc!$E$711))=0,"",INDEX('Our policies'!$R$4:$R$503,_calc!$E$711)),IF(LEN(INDEX('Vendor COIs'!$O$4:$O$503,(_calc!$E$711-500)))=0,"",INDEX('Vendor COIs'!$O$4:$O$503,(_calc!$E$711-500)))))</f>
        <v/>
      </c>
      <c r="H709" s="46">
        <f>IF(_calc!$E$711="","",IF(_calc!$E$711&lt;=500,IF(LEN(INDEX('Our policies'!$G$4:$G$503,_calc!$E$711))=0,"",INDEX('Our policies'!$G$4:$G$503,_calc!$E$711)),""))</f>
        <v/>
      </c>
      <c r="I709" s="46">
        <f>IF(_calc!$E$711="","",IF(_calc!$E$711&lt;=500,IF(LEN(INDEX('Our policies'!$H$4:$H$503,_calc!$E$711))=0,"",INDEX('Our policies'!$H$4:$H$503,_calc!$E$711)),""))</f>
        <v/>
      </c>
      <c r="K709" s="46">
        <f>IF(_calc!$E$711="","",IF(_calc!$E$711&lt;=500,IF(LEN(INDEX('Our policies'!$P$4:$P$503,_calc!$E$711))=0,"",INDEX('Our policies'!$P$4:$P$503,_calc!$E$711)),IF(LEN(INDEX('Vendor COIs'!$N$4:$N$503,(_calc!$E$711-500)))=0,"",INDEX('Vendor COIs'!$N$4:$N$503,(_calc!$E$711-500)))))</f>
        <v/>
      </c>
    </row>
    <row r="710">
      <c r="A710" s="46">
        <f>IF(_calc!$E$712="","",IF(_calc!$E$712&lt;=500,IF(LEN(INDEX('Our policies'!$A$4:$A$503,_calc!$E$712))=0,"",INDEX('Our policies'!$A$4:$A$503,_calc!$E$712)),"COI – "&amp;IF(LEN(INDEX('Vendor COIs'!$A$4:$A$503,(_calc!$E$712-500)))=0,"",INDEX('Vendor COIs'!$A$4:$A$503,(_calc!$E$712-500)))&amp;" – "&amp;IF(LEN(INDEX('Vendor COIs'!$B$4:$B$503,(_calc!$E$712-500)))=0,"",INDEX('Vendor COIs'!$B$4:$B$503,(_calc!$E$712-500)))))</f>
        <v/>
      </c>
      <c r="B710" s="46">
        <f>IF(_calc!$E$712="","",IF(_calc!$E$712&lt;=500,IF(ISNUMBER(INDEX('Our policies'!$J$4:$J$503,_calc!$E$712)),TEXT(INDEX('Our policies'!$J$4:$J$503,_calc!$E$712),"yyyy-mm-dd"),""),IF(ISNUMBER(INDEX('Vendor COIs'!$H$4:$H$503,(_calc!$E$712-500))),TEXT(INDEX('Vendor COIs'!$H$4:$H$503,(_calc!$E$712-500)),"yyyy-mm-dd"),"")))</f>
        <v/>
      </c>
      <c r="C710" s="46">
        <f>IF(_calc!$E$712="","",IF(_calc!$E$712&lt;=500,"Insurance","Certificate of insurance"))</f>
        <v/>
      </c>
      <c r="D710" s="46">
        <f>IF(_calc!$E$712="","",IF(_calc!$E$712&lt;=500,IF(ISNUMBER(INDEX('Our policies'!$I$4:$I$503,_calc!$E$712)),TEXT(INDEX('Our policies'!$I$4:$I$503,_calc!$E$712),"yyyy-mm-dd"),""),""))</f>
        <v/>
      </c>
      <c r="E710" s="46">
        <f>IF(_calc!$E$712="","",IF(_calc!$E$712&lt;=500,IF(LEN(INDEX('Our policies'!$Q$4:$Q$503,_calc!$E$712))=0,"",INDEX('Our policies'!$Q$4:$Q$503,_calc!$E$712)),"Medium"))</f>
        <v/>
      </c>
      <c r="F710" s="46">
        <f>IF(_calc!$E$712="","",IF(_calc!$E$712&lt;=500,TRIM(IF(LEN(IF(LEN(INDEX('Our policies'!$B$4:$B$503,_calc!$E$712))=0,"",INDEX('Our policies'!$B$4:$B$503,_calc!$E$712)))=0,"","Cover: "&amp;IF(LEN(INDEX('Our policies'!$B$4:$B$503,_calc!$E$712))=0,"",INDEX('Our policies'!$B$4:$B$503,_calc!$E$712))&amp;". ")&amp;IF(LEN(IF(LEN(INDEX('Our policies'!$C$4:$C$503,_calc!$E$712))=0,"",INDEX('Our policies'!$C$4:$C$503,_calc!$E$712)))=0,"","Insurer: "&amp;IF(LEN(INDEX('Our policies'!$C$4:$C$503,_calc!$E$712))=0,"",INDEX('Our policies'!$C$4:$C$503,_calc!$E$712))&amp;". ")&amp;IF(LEN(IF(LEN(INDEX('Our policies'!$D$4:$D$503,_calc!$E$712))=0,"",INDEX('Our policies'!$D$4:$D$503,_calc!$E$712)))=0,"","Broker: "&amp;IF(LEN(INDEX('Our policies'!$D$4:$D$503,_calc!$E$712))=0,"",INDEX('Our policies'!$D$4:$D$503,_calc!$E$712))&amp;". ")&amp;IF(LEN(IF(LEN(INDEX('Our policies'!$E$4:$E$503,_calc!$E$712))=0,"",INDEX('Our policies'!$E$4:$E$503,_calc!$E$712)))=0,"","Policy no.: "&amp;IF(LEN(INDEX('Our policies'!$E$4:$E$503,_calc!$E$712))=0,"",INDEX('Our policies'!$E$4:$E$503,_calc!$E$712))&amp;". ")&amp;IF(LEN(IF(LEN(INDEX('Our policies'!$S$4:$S$503,_calc!$E$712))=0,"",INDEX('Our policies'!$S$4:$S$503,_calc!$E$712)))=0,"",IF(LEN(INDEX('Our policies'!$S$4:$S$503,_calc!$E$712))=0,"",INDEX('Our policies'!$S$4:$S$503,_calc!$E$712)))),TRIM(IF(LEN(IF(LEN(INDEX('Vendor COIs'!$C$4:$C$503,(_calc!$E$712-500)))=0,"",INDEX('Vendor COIs'!$C$4:$C$503,(_calc!$E$712-500))))=0,"","Insurer: "&amp;IF(LEN(INDEX('Vendor COIs'!$C$4:$C$503,(_calc!$E$712-500)))=0,"",INDEX('Vendor COIs'!$C$4:$C$503,(_calc!$E$712-500)))&amp;". ")&amp;IF(LEN(IF(LEN(INDEX('Vendor COIs'!$D$4:$D$503,(_calc!$E$712-500)))=0,"",INDEX('Vendor COIs'!$D$4:$D$503,(_calc!$E$712-500))))=0,"","Policy no.: "&amp;IF(LEN(INDEX('Vendor COIs'!$D$4:$D$503,(_calc!$E$712-500)))=0,"",INDEX('Vendor COIs'!$D$4:$D$503,(_calc!$E$712-500)))&amp;". ")&amp;IF(LEN(IF(LEN(INDEX('Vendor COIs'!$F$4:$F$503,(_calc!$E$712-500)))=0,"",INDEX('Vendor COIs'!$F$4:$F$503,(_calc!$E$712-500))))=0,"","Meets minimum: "&amp;IF(LEN(INDEX('Vendor COIs'!$F$4:$F$503,(_calc!$E$712-500)))=0,"",INDEX('Vendor COIs'!$F$4:$F$503,(_calc!$E$712-500)))&amp;". ")&amp;IF(LEN(IF(LEN(INDEX('Vendor COIs'!$G$4:$G$503,(_calc!$E$712-500)))=0,"",INDEX('Vendor COIs'!$G$4:$G$503,(_calc!$E$712-500))))=0,"","Additional insured: "&amp;IF(LEN(INDEX('Vendor COIs'!$G$4:$G$503,(_calc!$E$712-500)))=0,"",INDEX('Vendor COIs'!$G$4:$G$503,(_calc!$E$712-500)))&amp;". ")&amp;IF(LEN(IF(LEN(INDEX('Vendor COIs'!$M$4:$M$503,(_calc!$E$712-500)))=0,"",INDEX('Vendor COIs'!$M$4:$M$503,(_calc!$E$712-500))))=0,"","Vendor contact: "&amp;IF(LEN(INDEX('Vendor COIs'!$M$4:$M$503,(_calc!$E$712-500)))=0,"",INDEX('Vendor COIs'!$M$4:$M$503,(_calc!$E$712-500)))&amp;". ")&amp;IF(LEN(IF(LEN(INDEX('Vendor COIs'!$P$4:$P$503,(_calc!$E$712-500)))=0,"",INDEX('Vendor COIs'!$P$4:$P$503,(_calc!$E$712-500))))=0,"",IF(LEN(INDEX('Vendor COIs'!$P$4:$P$503,(_calc!$E$712-500)))=0,"",INDEX('Vendor COIs'!$P$4:$P$503,(_calc!$E$712-500)))))))</f>
        <v/>
      </c>
      <c r="G710" s="46">
        <f>IF(_calc!$E$712="","",IF(_calc!$E$712&lt;=500,IF(LEN(INDEX('Our policies'!$R$4:$R$503,_calc!$E$712))=0,"",INDEX('Our policies'!$R$4:$R$503,_calc!$E$712)),IF(LEN(INDEX('Vendor COIs'!$O$4:$O$503,(_calc!$E$712-500)))=0,"",INDEX('Vendor COIs'!$O$4:$O$503,(_calc!$E$712-500)))))</f>
        <v/>
      </c>
      <c r="H710" s="46">
        <f>IF(_calc!$E$712="","",IF(_calc!$E$712&lt;=500,IF(LEN(INDEX('Our policies'!$G$4:$G$503,_calc!$E$712))=0,"",INDEX('Our policies'!$G$4:$G$503,_calc!$E$712)),""))</f>
        <v/>
      </c>
      <c r="I710" s="46">
        <f>IF(_calc!$E$712="","",IF(_calc!$E$712&lt;=500,IF(LEN(INDEX('Our policies'!$H$4:$H$503,_calc!$E$712))=0,"",INDEX('Our policies'!$H$4:$H$503,_calc!$E$712)),""))</f>
        <v/>
      </c>
      <c r="K710" s="46">
        <f>IF(_calc!$E$712="","",IF(_calc!$E$712&lt;=500,IF(LEN(INDEX('Our policies'!$P$4:$P$503,_calc!$E$712))=0,"",INDEX('Our policies'!$P$4:$P$503,_calc!$E$712)),IF(LEN(INDEX('Vendor COIs'!$N$4:$N$503,(_calc!$E$712-500)))=0,"",INDEX('Vendor COIs'!$N$4:$N$503,(_calc!$E$712-500)))))</f>
        <v/>
      </c>
    </row>
    <row r="711">
      <c r="A711" s="46">
        <f>IF(_calc!$E$713="","",IF(_calc!$E$713&lt;=500,IF(LEN(INDEX('Our policies'!$A$4:$A$503,_calc!$E$713))=0,"",INDEX('Our policies'!$A$4:$A$503,_calc!$E$713)),"COI – "&amp;IF(LEN(INDEX('Vendor COIs'!$A$4:$A$503,(_calc!$E$713-500)))=0,"",INDEX('Vendor COIs'!$A$4:$A$503,(_calc!$E$713-500)))&amp;" – "&amp;IF(LEN(INDEX('Vendor COIs'!$B$4:$B$503,(_calc!$E$713-500)))=0,"",INDEX('Vendor COIs'!$B$4:$B$503,(_calc!$E$713-500)))))</f>
        <v/>
      </c>
      <c r="B711" s="46">
        <f>IF(_calc!$E$713="","",IF(_calc!$E$713&lt;=500,IF(ISNUMBER(INDEX('Our policies'!$J$4:$J$503,_calc!$E$713)),TEXT(INDEX('Our policies'!$J$4:$J$503,_calc!$E$713),"yyyy-mm-dd"),""),IF(ISNUMBER(INDEX('Vendor COIs'!$H$4:$H$503,(_calc!$E$713-500))),TEXT(INDEX('Vendor COIs'!$H$4:$H$503,(_calc!$E$713-500)),"yyyy-mm-dd"),"")))</f>
        <v/>
      </c>
      <c r="C711" s="46">
        <f>IF(_calc!$E$713="","",IF(_calc!$E$713&lt;=500,"Insurance","Certificate of insurance"))</f>
        <v/>
      </c>
      <c r="D711" s="46">
        <f>IF(_calc!$E$713="","",IF(_calc!$E$713&lt;=500,IF(ISNUMBER(INDEX('Our policies'!$I$4:$I$503,_calc!$E$713)),TEXT(INDEX('Our policies'!$I$4:$I$503,_calc!$E$713),"yyyy-mm-dd"),""),""))</f>
        <v/>
      </c>
      <c r="E711" s="46">
        <f>IF(_calc!$E$713="","",IF(_calc!$E$713&lt;=500,IF(LEN(INDEX('Our policies'!$Q$4:$Q$503,_calc!$E$713))=0,"",INDEX('Our policies'!$Q$4:$Q$503,_calc!$E$713)),"Medium"))</f>
        <v/>
      </c>
      <c r="F711" s="46">
        <f>IF(_calc!$E$713="","",IF(_calc!$E$713&lt;=500,TRIM(IF(LEN(IF(LEN(INDEX('Our policies'!$B$4:$B$503,_calc!$E$713))=0,"",INDEX('Our policies'!$B$4:$B$503,_calc!$E$713)))=0,"","Cover: "&amp;IF(LEN(INDEX('Our policies'!$B$4:$B$503,_calc!$E$713))=0,"",INDEX('Our policies'!$B$4:$B$503,_calc!$E$713))&amp;". ")&amp;IF(LEN(IF(LEN(INDEX('Our policies'!$C$4:$C$503,_calc!$E$713))=0,"",INDEX('Our policies'!$C$4:$C$503,_calc!$E$713)))=0,"","Insurer: "&amp;IF(LEN(INDEX('Our policies'!$C$4:$C$503,_calc!$E$713))=0,"",INDEX('Our policies'!$C$4:$C$503,_calc!$E$713))&amp;". ")&amp;IF(LEN(IF(LEN(INDEX('Our policies'!$D$4:$D$503,_calc!$E$713))=0,"",INDEX('Our policies'!$D$4:$D$503,_calc!$E$713)))=0,"","Broker: "&amp;IF(LEN(INDEX('Our policies'!$D$4:$D$503,_calc!$E$713))=0,"",INDEX('Our policies'!$D$4:$D$503,_calc!$E$713))&amp;". ")&amp;IF(LEN(IF(LEN(INDEX('Our policies'!$E$4:$E$503,_calc!$E$713))=0,"",INDEX('Our policies'!$E$4:$E$503,_calc!$E$713)))=0,"","Policy no.: "&amp;IF(LEN(INDEX('Our policies'!$E$4:$E$503,_calc!$E$713))=0,"",INDEX('Our policies'!$E$4:$E$503,_calc!$E$713))&amp;". ")&amp;IF(LEN(IF(LEN(INDEX('Our policies'!$S$4:$S$503,_calc!$E$713))=0,"",INDEX('Our policies'!$S$4:$S$503,_calc!$E$713)))=0,"",IF(LEN(INDEX('Our policies'!$S$4:$S$503,_calc!$E$713))=0,"",INDEX('Our policies'!$S$4:$S$503,_calc!$E$713)))),TRIM(IF(LEN(IF(LEN(INDEX('Vendor COIs'!$C$4:$C$503,(_calc!$E$713-500)))=0,"",INDEX('Vendor COIs'!$C$4:$C$503,(_calc!$E$713-500))))=0,"","Insurer: "&amp;IF(LEN(INDEX('Vendor COIs'!$C$4:$C$503,(_calc!$E$713-500)))=0,"",INDEX('Vendor COIs'!$C$4:$C$503,(_calc!$E$713-500)))&amp;". ")&amp;IF(LEN(IF(LEN(INDEX('Vendor COIs'!$D$4:$D$503,(_calc!$E$713-500)))=0,"",INDEX('Vendor COIs'!$D$4:$D$503,(_calc!$E$713-500))))=0,"","Policy no.: "&amp;IF(LEN(INDEX('Vendor COIs'!$D$4:$D$503,(_calc!$E$713-500)))=0,"",INDEX('Vendor COIs'!$D$4:$D$503,(_calc!$E$713-500)))&amp;". ")&amp;IF(LEN(IF(LEN(INDEX('Vendor COIs'!$F$4:$F$503,(_calc!$E$713-500)))=0,"",INDEX('Vendor COIs'!$F$4:$F$503,(_calc!$E$713-500))))=0,"","Meets minimum: "&amp;IF(LEN(INDEX('Vendor COIs'!$F$4:$F$503,(_calc!$E$713-500)))=0,"",INDEX('Vendor COIs'!$F$4:$F$503,(_calc!$E$713-500)))&amp;". ")&amp;IF(LEN(IF(LEN(INDEX('Vendor COIs'!$G$4:$G$503,(_calc!$E$713-500)))=0,"",INDEX('Vendor COIs'!$G$4:$G$503,(_calc!$E$713-500))))=0,"","Additional insured: "&amp;IF(LEN(INDEX('Vendor COIs'!$G$4:$G$503,(_calc!$E$713-500)))=0,"",INDEX('Vendor COIs'!$G$4:$G$503,(_calc!$E$713-500)))&amp;". ")&amp;IF(LEN(IF(LEN(INDEX('Vendor COIs'!$M$4:$M$503,(_calc!$E$713-500)))=0,"",INDEX('Vendor COIs'!$M$4:$M$503,(_calc!$E$713-500))))=0,"","Vendor contact: "&amp;IF(LEN(INDEX('Vendor COIs'!$M$4:$M$503,(_calc!$E$713-500)))=0,"",INDEX('Vendor COIs'!$M$4:$M$503,(_calc!$E$713-500)))&amp;". ")&amp;IF(LEN(IF(LEN(INDEX('Vendor COIs'!$P$4:$P$503,(_calc!$E$713-500)))=0,"",INDEX('Vendor COIs'!$P$4:$P$503,(_calc!$E$713-500))))=0,"",IF(LEN(INDEX('Vendor COIs'!$P$4:$P$503,(_calc!$E$713-500)))=0,"",INDEX('Vendor COIs'!$P$4:$P$503,(_calc!$E$713-500)))))))</f>
        <v/>
      </c>
      <c r="G711" s="46">
        <f>IF(_calc!$E$713="","",IF(_calc!$E$713&lt;=500,IF(LEN(INDEX('Our policies'!$R$4:$R$503,_calc!$E$713))=0,"",INDEX('Our policies'!$R$4:$R$503,_calc!$E$713)),IF(LEN(INDEX('Vendor COIs'!$O$4:$O$503,(_calc!$E$713-500)))=0,"",INDEX('Vendor COIs'!$O$4:$O$503,(_calc!$E$713-500)))))</f>
        <v/>
      </c>
      <c r="H711" s="46">
        <f>IF(_calc!$E$713="","",IF(_calc!$E$713&lt;=500,IF(LEN(INDEX('Our policies'!$G$4:$G$503,_calc!$E$713))=0,"",INDEX('Our policies'!$G$4:$G$503,_calc!$E$713)),""))</f>
        <v/>
      </c>
      <c r="I711" s="46">
        <f>IF(_calc!$E$713="","",IF(_calc!$E$713&lt;=500,IF(LEN(INDEX('Our policies'!$H$4:$H$503,_calc!$E$713))=0,"",INDEX('Our policies'!$H$4:$H$503,_calc!$E$713)),""))</f>
        <v/>
      </c>
      <c r="K711" s="46">
        <f>IF(_calc!$E$713="","",IF(_calc!$E$713&lt;=500,IF(LEN(INDEX('Our policies'!$P$4:$P$503,_calc!$E$713))=0,"",INDEX('Our policies'!$P$4:$P$503,_calc!$E$713)),IF(LEN(INDEX('Vendor COIs'!$N$4:$N$503,(_calc!$E$713-500)))=0,"",INDEX('Vendor COIs'!$N$4:$N$503,(_calc!$E$713-500)))))</f>
        <v/>
      </c>
    </row>
    <row r="712">
      <c r="A712" s="46">
        <f>IF(_calc!$E$714="","",IF(_calc!$E$714&lt;=500,IF(LEN(INDEX('Our policies'!$A$4:$A$503,_calc!$E$714))=0,"",INDEX('Our policies'!$A$4:$A$503,_calc!$E$714)),"COI – "&amp;IF(LEN(INDEX('Vendor COIs'!$A$4:$A$503,(_calc!$E$714-500)))=0,"",INDEX('Vendor COIs'!$A$4:$A$503,(_calc!$E$714-500)))&amp;" – "&amp;IF(LEN(INDEX('Vendor COIs'!$B$4:$B$503,(_calc!$E$714-500)))=0,"",INDEX('Vendor COIs'!$B$4:$B$503,(_calc!$E$714-500)))))</f>
        <v/>
      </c>
      <c r="B712" s="46">
        <f>IF(_calc!$E$714="","",IF(_calc!$E$714&lt;=500,IF(ISNUMBER(INDEX('Our policies'!$J$4:$J$503,_calc!$E$714)),TEXT(INDEX('Our policies'!$J$4:$J$503,_calc!$E$714),"yyyy-mm-dd"),""),IF(ISNUMBER(INDEX('Vendor COIs'!$H$4:$H$503,(_calc!$E$714-500))),TEXT(INDEX('Vendor COIs'!$H$4:$H$503,(_calc!$E$714-500)),"yyyy-mm-dd"),"")))</f>
        <v/>
      </c>
      <c r="C712" s="46">
        <f>IF(_calc!$E$714="","",IF(_calc!$E$714&lt;=500,"Insurance","Certificate of insurance"))</f>
        <v/>
      </c>
      <c r="D712" s="46">
        <f>IF(_calc!$E$714="","",IF(_calc!$E$714&lt;=500,IF(ISNUMBER(INDEX('Our policies'!$I$4:$I$503,_calc!$E$714)),TEXT(INDEX('Our policies'!$I$4:$I$503,_calc!$E$714),"yyyy-mm-dd"),""),""))</f>
        <v/>
      </c>
      <c r="E712" s="46">
        <f>IF(_calc!$E$714="","",IF(_calc!$E$714&lt;=500,IF(LEN(INDEX('Our policies'!$Q$4:$Q$503,_calc!$E$714))=0,"",INDEX('Our policies'!$Q$4:$Q$503,_calc!$E$714)),"Medium"))</f>
        <v/>
      </c>
      <c r="F712" s="46">
        <f>IF(_calc!$E$714="","",IF(_calc!$E$714&lt;=500,TRIM(IF(LEN(IF(LEN(INDEX('Our policies'!$B$4:$B$503,_calc!$E$714))=0,"",INDEX('Our policies'!$B$4:$B$503,_calc!$E$714)))=0,"","Cover: "&amp;IF(LEN(INDEX('Our policies'!$B$4:$B$503,_calc!$E$714))=0,"",INDEX('Our policies'!$B$4:$B$503,_calc!$E$714))&amp;". ")&amp;IF(LEN(IF(LEN(INDEX('Our policies'!$C$4:$C$503,_calc!$E$714))=0,"",INDEX('Our policies'!$C$4:$C$503,_calc!$E$714)))=0,"","Insurer: "&amp;IF(LEN(INDEX('Our policies'!$C$4:$C$503,_calc!$E$714))=0,"",INDEX('Our policies'!$C$4:$C$503,_calc!$E$714))&amp;". ")&amp;IF(LEN(IF(LEN(INDEX('Our policies'!$D$4:$D$503,_calc!$E$714))=0,"",INDEX('Our policies'!$D$4:$D$503,_calc!$E$714)))=0,"","Broker: "&amp;IF(LEN(INDEX('Our policies'!$D$4:$D$503,_calc!$E$714))=0,"",INDEX('Our policies'!$D$4:$D$503,_calc!$E$714))&amp;". ")&amp;IF(LEN(IF(LEN(INDEX('Our policies'!$E$4:$E$503,_calc!$E$714))=0,"",INDEX('Our policies'!$E$4:$E$503,_calc!$E$714)))=0,"","Policy no.: "&amp;IF(LEN(INDEX('Our policies'!$E$4:$E$503,_calc!$E$714))=0,"",INDEX('Our policies'!$E$4:$E$503,_calc!$E$714))&amp;". ")&amp;IF(LEN(IF(LEN(INDEX('Our policies'!$S$4:$S$503,_calc!$E$714))=0,"",INDEX('Our policies'!$S$4:$S$503,_calc!$E$714)))=0,"",IF(LEN(INDEX('Our policies'!$S$4:$S$503,_calc!$E$714))=0,"",INDEX('Our policies'!$S$4:$S$503,_calc!$E$714)))),TRIM(IF(LEN(IF(LEN(INDEX('Vendor COIs'!$C$4:$C$503,(_calc!$E$714-500)))=0,"",INDEX('Vendor COIs'!$C$4:$C$503,(_calc!$E$714-500))))=0,"","Insurer: "&amp;IF(LEN(INDEX('Vendor COIs'!$C$4:$C$503,(_calc!$E$714-500)))=0,"",INDEX('Vendor COIs'!$C$4:$C$503,(_calc!$E$714-500)))&amp;". ")&amp;IF(LEN(IF(LEN(INDEX('Vendor COIs'!$D$4:$D$503,(_calc!$E$714-500)))=0,"",INDEX('Vendor COIs'!$D$4:$D$503,(_calc!$E$714-500))))=0,"","Policy no.: "&amp;IF(LEN(INDEX('Vendor COIs'!$D$4:$D$503,(_calc!$E$714-500)))=0,"",INDEX('Vendor COIs'!$D$4:$D$503,(_calc!$E$714-500)))&amp;". ")&amp;IF(LEN(IF(LEN(INDEX('Vendor COIs'!$F$4:$F$503,(_calc!$E$714-500)))=0,"",INDEX('Vendor COIs'!$F$4:$F$503,(_calc!$E$714-500))))=0,"","Meets minimum: "&amp;IF(LEN(INDEX('Vendor COIs'!$F$4:$F$503,(_calc!$E$714-500)))=0,"",INDEX('Vendor COIs'!$F$4:$F$503,(_calc!$E$714-500)))&amp;". ")&amp;IF(LEN(IF(LEN(INDEX('Vendor COIs'!$G$4:$G$503,(_calc!$E$714-500)))=0,"",INDEX('Vendor COIs'!$G$4:$G$503,(_calc!$E$714-500))))=0,"","Additional insured: "&amp;IF(LEN(INDEX('Vendor COIs'!$G$4:$G$503,(_calc!$E$714-500)))=0,"",INDEX('Vendor COIs'!$G$4:$G$503,(_calc!$E$714-500)))&amp;". ")&amp;IF(LEN(IF(LEN(INDEX('Vendor COIs'!$M$4:$M$503,(_calc!$E$714-500)))=0,"",INDEX('Vendor COIs'!$M$4:$M$503,(_calc!$E$714-500))))=0,"","Vendor contact: "&amp;IF(LEN(INDEX('Vendor COIs'!$M$4:$M$503,(_calc!$E$714-500)))=0,"",INDEX('Vendor COIs'!$M$4:$M$503,(_calc!$E$714-500)))&amp;". ")&amp;IF(LEN(IF(LEN(INDEX('Vendor COIs'!$P$4:$P$503,(_calc!$E$714-500)))=0,"",INDEX('Vendor COIs'!$P$4:$P$503,(_calc!$E$714-500))))=0,"",IF(LEN(INDEX('Vendor COIs'!$P$4:$P$503,(_calc!$E$714-500)))=0,"",INDEX('Vendor COIs'!$P$4:$P$503,(_calc!$E$714-500)))))))</f>
        <v/>
      </c>
      <c r="G712" s="46">
        <f>IF(_calc!$E$714="","",IF(_calc!$E$714&lt;=500,IF(LEN(INDEX('Our policies'!$R$4:$R$503,_calc!$E$714))=0,"",INDEX('Our policies'!$R$4:$R$503,_calc!$E$714)),IF(LEN(INDEX('Vendor COIs'!$O$4:$O$503,(_calc!$E$714-500)))=0,"",INDEX('Vendor COIs'!$O$4:$O$503,(_calc!$E$714-500)))))</f>
        <v/>
      </c>
      <c r="H712" s="46">
        <f>IF(_calc!$E$714="","",IF(_calc!$E$714&lt;=500,IF(LEN(INDEX('Our policies'!$G$4:$G$503,_calc!$E$714))=0,"",INDEX('Our policies'!$G$4:$G$503,_calc!$E$714)),""))</f>
        <v/>
      </c>
      <c r="I712" s="46">
        <f>IF(_calc!$E$714="","",IF(_calc!$E$714&lt;=500,IF(LEN(INDEX('Our policies'!$H$4:$H$503,_calc!$E$714))=0,"",INDEX('Our policies'!$H$4:$H$503,_calc!$E$714)),""))</f>
        <v/>
      </c>
      <c r="K712" s="46">
        <f>IF(_calc!$E$714="","",IF(_calc!$E$714&lt;=500,IF(LEN(INDEX('Our policies'!$P$4:$P$503,_calc!$E$714))=0,"",INDEX('Our policies'!$P$4:$P$503,_calc!$E$714)),IF(LEN(INDEX('Vendor COIs'!$N$4:$N$503,(_calc!$E$714-500)))=0,"",INDEX('Vendor COIs'!$N$4:$N$503,(_calc!$E$714-500)))))</f>
        <v/>
      </c>
    </row>
    <row r="713">
      <c r="A713" s="46">
        <f>IF(_calc!$E$715="","",IF(_calc!$E$715&lt;=500,IF(LEN(INDEX('Our policies'!$A$4:$A$503,_calc!$E$715))=0,"",INDEX('Our policies'!$A$4:$A$503,_calc!$E$715)),"COI – "&amp;IF(LEN(INDEX('Vendor COIs'!$A$4:$A$503,(_calc!$E$715-500)))=0,"",INDEX('Vendor COIs'!$A$4:$A$503,(_calc!$E$715-500)))&amp;" – "&amp;IF(LEN(INDEX('Vendor COIs'!$B$4:$B$503,(_calc!$E$715-500)))=0,"",INDEX('Vendor COIs'!$B$4:$B$503,(_calc!$E$715-500)))))</f>
        <v/>
      </c>
      <c r="B713" s="46">
        <f>IF(_calc!$E$715="","",IF(_calc!$E$715&lt;=500,IF(ISNUMBER(INDEX('Our policies'!$J$4:$J$503,_calc!$E$715)),TEXT(INDEX('Our policies'!$J$4:$J$503,_calc!$E$715),"yyyy-mm-dd"),""),IF(ISNUMBER(INDEX('Vendor COIs'!$H$4:$H$503,(_calc!$E$715-500))),TEXT(INDEX('Vendor COIs'!$H$4:$H$503,(_calc!$E$715-500)),"yyyy-mm-dd"),"")))</f>
        <v/>
      </c>
      <c r="C713" s="46">
        <f>IF(_calc!$E$715="","",IF(_calc!$E$715&lt;=500,"Insurance","Certificate of insurance"))</f>
        <v/>
      </c>
      <c r="D713" s="46">
        <f>IF(_calc!$E$715="","",IF(_calc!$E$715&lt;=500,IF(ISNUMBER(INDEX('Our policies'!$I$4:$I$503,_calc!$E$715)),TEXT(INDEX('Our policies'!$I$4:$I$503,_calc!$E$715),"yyyy-mm-dd"),""),""))</f>
        <v/>
      </c>
      <c r="E713" s="46">
        <f>IF(_calc!$E$715="","",IF(_calc!$E$715&lt;=500,IF(LEN(INDEX('Our policies'!$Q$4:$Q$503,_calc!$E$715))=0,"",INDEX('Our policies'!$Q$4:$Q$503,_calc!$E$715)),"Medium"))</f>
        <v/>
      </c>
      <c r="F713" s="46">
        <f>IF(_calc!$E$715="","",IF(_calc!$E$715&lt;=500,TRIM(IF(LEN(IF(LEN(INDEX('Our policies'!$B$4:$B$503,_calc!$E$715))=0,"",INDEX('Our policies'!$B$4:$B$503,_calc!$E$715)))=0,"","Cover: "&amp;IF(LEN(INDEX('Our policies'!$B$4:$B$503,_calc!$E$715))=0,"",INDEX('Our policies'!$B$4:$B$503,_calc!$E$715))&amp;". ")&amp;IF(LEN(IF(LEN(INDEX('Our policies'!$C$4:$C$503,_calc!$E$715))=0,"",INDEX('Our policies'!$C$4:$C$503,_calc!$E$715)))=0,"","Insurer: "&amp;IF(LEN(INDEX('Our policies'!$C$4:$C$503,_calc!$E$715))=0,"",INDEX('Our policies'!$C$4:$C$503,_calc!$E$715))&amp;". ")&amp;IF(LEN(IF(LEN(INDEX('Our policies'!$D$4:$D$503,_calc!$E$715))=0,"",INDEX('Our policies'!$D$4:$D$503,_calc!$E$715)))=0,"","Broker: "&amp;IF(LEN(INDEX('Our policies'!$D$4:$D$503,_calc!$E$715))=0,"",INDEX('Our policies'!$D$4:$D$503,_calc!$E$715))&amp;". ")&amp;IF(LEN(IF(LEN(INDEX('Our policies'!$E$4:$E$503,_calc!$E$715))=0,"",INDEX('Our policies'!$E$4:$E$503,_calc!$E$715)))=0,"","Policy no.: "&amp;IF(LEN(INDEX('Our policies'!$E$4:$E$503,_calc!$E$715))=0,"",INDEX('Our policies'!$E$4:$E$503,_calc!$E$715))&amp;". ")&amp;IF(LEN(IF(LEN(INDEX('Our policies'!$S$4:$S$503,_calc!$E$715))=0,"",INDEX('Our policies'!$S$4:$S$503,_calc!$E$715)))=0,"",IF(LEN(INDEX('Our policies'!$S$4:$S$503,_calc!$E$715))=0,"",INDEX('Our policies'!$S$4:$S$503,_calc!$E$715)))),TRIM(IF(LEN(IF(LEN(INDEX('Vendor COIs'!$C$4:$C$503,(_calc!$E$715-500)))=0,"",INDEX('Vendor COIs'!$C$4:$C$503,(_calc!$E$715-500))))=0,"","Insurer: "&amp;IF(LEN(INDEX('Vendor COIs'!$C$4:$C$503,(_calc!$E$715-500)))=0,"",INDEX('Vendor COIs'!$C$4:$C$503,(_calc!$E$715-500)))&amp;". ")&amp;IF(LEN(IF(LEN(INDEX('Vendor COIs'!$D$4:$D$503,(_calc!$E$715-500)))=0,"",INDEX('Vendor COIs'!$D$4:$D$503,(_calc!$E$715-500))))=0,"","Policy no.: "&amp;IF(LEN(INDEX('Vendor COIs'!$D$4:$D$503,(_calc!$E$715-500)))=0,"",INDEX('Vendor COIs'!$D$4:$D$503,(_calc!$E$715-500)))&amp;". ")&amp;IF(LEN(IF(LEN(INDEX('Vendor COIs'!$F$4:$F$503,(_calc!$E$715-500)))=0,"",INDEX('Vendor COIs'!$F$4:$F$503,(_calc!$E$715-500))))=0,"","Meets minimum: "&amp;IF(LEN(INDEX('Vendor COIs'!$F$4:$F$503,(_calc!$E$715-500)))=0,"",INDEX('Vendor COIs'!$F$4:$F$503,(_calc!$E$715-500)))&amp;". ")&amp;IF(LEN(IF(LEN(INDEX('Vendor COIs'!$G$4:$G$503,(_calc!$E$715-500)))=0,"",INDEX('Vendor COIs'!$G$4:$G$503,(_calc!$E$715-500))))=0,"","Additional insured: "&amp;IF(LEN(INDEX('Vendor COIs'!$G$4:$G$503,(_calc!$E$715-500)))=0,"",INDEX('Vendor COIs'!$G$4:$G$503,(_calc!$E$715-500)))&amp;". ")&amp;IF(LEN(IF(LEN(INDEX('Vendor COIs'!$M$4:$M$503,(_calc!$E$715-500)))=0,"",INDEX('Vendor COIs'!$M$4:$M$503,(_calc!$E$715-500))))=0,"","Vendor contact: "&amp;IF(LEN(INDEX('Vendor COIs'!$M$4:$M$503,(_calc!$E$715-500)))=0,"",INDEX('Vendor COIs'!$M$4:$M$503,(_calc!$E$715-500)))&amp;". ")&amp;IF(LEN(IF(LEN(INDEX('Vendor COIs'!$P$4:$P$503,(_calc!$E$715-500)))=0,"",INDEX('Vendor COIs'!$P$4:$P$503,(_calc!$E$715-500))))=0,"",IF(LEN(INDEX('Vendor COIs'!$P$4:$P$503,(_calc!$E$715-500)))=0,"",INDEX('Vendor COIs'!$P$4:$P$503,(_calc!$E$715-500)))))))</f>
        <v/>
      </c>
      <c r="G713" s="46">
        <f>IF(_calc!$E$715="","",IF(_calc!$E$715&lt;=500,IF(LEN(INDEX('Our policies'!$R$4:$R$503,_calc!$E$715))=0,"",INDEX('Our policies'!$R$4:$R$503,_calc!$E$715)),IF(LEN(INDEX('Vendor COIs'!$O$4:$O$503,(_calc!$E$715-500)))=0,"",INDEX('Vendor COIs'!$O$4:$O$503,(_calc!$E$715-500)))))</f>
        <v/>
      </c>
      <c r="H713" s="46">
        <f>IF(_calc!$E$715="","",IF(_calc!$E$715&lt;=500,IF(LEN(INDEX('Our policies'!$G$4:$G$503,_calc!$E$715))=0,"",INDEX('Our policies'!$G$4:$G$503,_calc!$E$715)),""))</f>
        <v/>
      </c>
      <c r="I713" s="46">
        <f>IF(_calc!$E$715="","",IF(_calc!$E$715&lt;=500,IF(LEN(INDEX('Our policies'!$H$4:$H$503,_calc!$E$715))=0,"",INDEX('Our policies'!$H$4:$H$503,_calc!$E$715)),""))</f>
        <v/>
      </c>
      <c r="K713" s="46">
        <f>IF(_calc!$E$715="","",IF(_calc!$E$715&lt;=500,IF(LEN(INDEX('Our policies'!$P$4:$P$503,_calc!$E$715))=0,"",INDEX('Our policies'!$P$4:$P$503,_calc!$E$715)),IF(LEN(INDEX('Vendor COIs'!$N$4:$N$503,(_calc!$E$715-500)))=0,"",INDEX('Vendor COIs'!$N$4:$N$503,(_calc!$E$715-500)))))</f>
        <v/>
      </c>
    </row>
    <row r="714">
      <c r="A714" s="46">
        <f>IF(_calc!$E$716="","",IF(_calc!$E$716&lt;=500,IF(LEN(INDEX('Our policies'!$A$4:$A$503,_calc!$E$716))=0,"",INDEX('Our policies'!$A$4:$A$503,_calc!$E$716)),"COI – "&amp;IF(LEN(INDEX('Vendor COIs'!$A$4:$A$503,(_calc!$E$716-500)))=0,"",INDEX('Vendor COIs'!$A$4:$A$503,(_calc!$E$716-500)))&amp;" – "&amp;IF(LEN(INDEX('Vendor COIs'!$B$4:$B$503,(_calc!$E$716-500)))=0,"",INDEX('Vendor COIs'!$B$4:$B$503,(_calc!$E$716-500)))))</f>
        <v/>
      </c>
      <c r="B714" s="46">
        <f>IF(_calc!$E$716="","",IF(_calc!$E$716&lt;=500,IF(ISNUMBER(INDEX('Our policies'!$J$4:$J$503,_calc!$E$716)),TEXT(INDEX('Our policies'!$J$4:$J$503,_calc!$E$716),"yyyy-mm-dd"),""),IF(ISNUMBER(INDEX('Vendor COIs'!$H$4:$H$503,(_calc!$E$716-500))),TEXT(INDEX('Vendor COIs'!$H$4:$H$503,(_calc!$E$716-500)),"yyyy-mm-dd"),"")))</f>
        <v/>
      </c>
      <c r="C714" s="46">
        <f>IF(_calc!$E$716="","",IF(_calc!$E$716&lt;=500,"Insurance","Certificate of insurance"))</f>
        <v/>
      </c>
      <c r="D714" s="46">
        <f>IF(_calc!$E$716="","",IF(_calc!$E$716&lt;=500,IF(ISNUMBER(INDEX('Our policies'!$I$4:$I$503,_calc!$E$716)),TEXT(INDEX('Our policies'!$I$4:$I$503,_calc!$E$716),"yyyy-mm-dd"),""),""))</f>
        <v/>
      </c>
      <c r="E714" s="46">
        <f>IF(_calc!$E$716="","",IF(_calc!$E$716&lt;=500,IF(LEN(INDEX('Our policies'!$Q$4:$Q$503,_calc!$E$716))=0,"",INDEX('Our policies'!$Q$4:$Q$503,_calc!$E$716)),"Medium"))</f>
        <v/>
      </c>
      <c r="F714" s="46">
        <f>IF(_calc!$E$716="","",IF(_calc!$E$716&lt;=500,TRIM(IF(LEN(IF(LEN(INDEX('Our policies'!$B$4:$B$503,_calc!$E$716))=0,"",INDEX('Our policies'!$B$4:$B$503,_calc!$E$716)))=0,"","Cover: "&amp;IF(LEN(INDEX('Our policies'!$B$4:$B$503,_calc!$E$716))=0,"",INDEX('Our policies'!$B$4:$B$503,_calc!$E$716))&amp;". ")&amp;IF(LEN(IF(LEN(INDEX('Our policies'!$C$4:$C$503,_calc!$E$716))=0,"",INDEX('Our policies'!$C$4:$C$503,_calc!$E$716)))=0,"","Insurer: "&amp;IF(LEN(INDEX('Our policies'!$C$4:$C$503,_calc!$E$716))=0,"",INDEX('Our policies'!$C$4:$C$503,_calc!$E$716))&amp;". ")&amp;IF(LEN(IF(LEN(INDEX('Our policies'!$D$4:$D$503,_calc!$E$716))=0,"",INDEX('Our policies'!$D$4:$D$503,_calc!$E$716)))=0,"","Broker: "&amp;IF(LEN(INDEX('Our policies'!$D$4:$D$503,_calc!$E$716))=0,"",INDEX('Our policies'!$D$4:$D$503,_calc!$E$716))&amp;". ")&amp;IF(LEN(IF(LEN(INDEX('Our policies'!$E$4:$E$503,_calc!$E$716))=0,"",INDEX('Our policies'!$E$4:$E$503,_calc!$E$716)))=0,"","Policy no.: "&amp;IF(LEN(INDEX('Our policies'!$E$4:$E$503,_calc!$E$716))=0,"",INDEX('Our policies'!$E$4:$E$503,_calc!$E$716))&amp;". ")&amp;IF(LEN(IF(LEN(INDEX('Our policies'!$S$4:$S$503,_calc!$E$716))=0,"",INDEX('Our policies'!$S$4:$S$503,_calc!$E$716)))=0,"",IF(LEN(INDEX('Our policies'!$S$4:$S$503,_calc!$E$716))=0,"",INDEX('Our policies'!$S$4:$S$503,_calc!$E$716)))),TRIM(IF(LEN(IF(LEN(INDEX('Vendor COIs'!$C$4:$C$503,(_calc!$E$716-500)))=0,"",INDEX('Vendor COIs'!$C$4:$C$503,(_calc!$E$716-500))))=0,"","Insurer: "&amp;IF(LEN(INDEX('Vendor COIs'!$C$4:$C$503,(_calc!$E$716-500)))=0,"",INDEX('Vendor COIs'!$C$4:$C$503,(_calc!$E$716-500)))&amp;". ")&amp;IF(LEN(IF(LEN(INDEX('Vendor COIs'!$D$4:$D$503,(_calc!$E$716-500)))=0,"",INDEX('Vendor COIs'!$D$4:$D$503,(_calc!$E$716-500))))=0,"","Policy no.: "&amp;IF(LEN(INDEX('Vendor COIs'!$D$4:$D$503,(_calc!$E$716-500)))=0,"",INDEX('Vendor COIs'!$D$4:$D$503,(_calc!$E$716-500)))&amp;". ")&amp;IF(LEN(IF(LEN(INDEX('Vendor COIs'!$F$4:$F$503,(_calc!$E$716-500)))=0,"",INDEX('Vendor COIs'!$F$4:$F$503,(_calc!$E$716-500))))=0,"","Meets minimum: "&amp;IF(LEN(INDEX('Vendor COIs'!$F$4:$F$503,(_calc!$E$716-500)))=0,"",INDEX('Vendor COIs'!$F$4:$F$503,(_calc!$E$716-500)))&amp;". ")&amp;IF(LEN(IF(LEN(INDEX('Vendor COIs'!$G$4:$G$503,(_calc!$E$716-500)))=0,"",INDEX('Vendor COIs'!$G$4:$G$503,(_calc!$E$716-500))))=0,"","Additional insured: "&amp;IF(LEN(INDEX('Vendor COIs'!$G$4:$G$503,(_calc!$E$716-500)))=0,"",INDEX('Vendor COIs'!$G$4:$G$503,(_calc!$E$716-500)))&amp;". ")&amp;IF(LEN(IF(LEN(INDEX('Vendor COIs'!$M$4:$M$503,(_calc!$E$716-500)))=0,"",INDEX('Vendor COIs'!$M$4:$M$503,(_calc!$E$716-500))))=0,"","Vendor contact: "&amp;IF(LEN(INDEX('Vendor COIs'!$M$4:$M$503,(_calc!$E$716-500)))=0,"",INDEX('Vendor COIs'!$M$4:$M$503,(_calc!$E$716-500)))&amp;". ")&amp;IF(LEN(IF(LEN(INDEX('Vendor COIs'!$P$4:$P$503,(_calc!$E$716-500)))=0,"",INDEX('Vendor COIs'!$P$4:$P$503,(_calc!$E$716-500))))=0,"",IF(LEN(INDEX('Vendor COIs'!$P$4:$P$503,(_calc!$E$716-500)))=0,"",INDEX('Vendor COIs'!$P$4:$P$503,(_calc!$E$716-500)))))))</f>
        <v/>
      </c>
      <c r="G714" s="46">
        <f>IF(_calc!$E$716="","",IF(_calc!$E$716&lt;=500,IF(LEN(INDEX('Our policies'!$R$4:$R$503,_calc!$E$716))=0,"",INDEX('Our policies'!$R$4:$R$503,_calc!$E$716)),IF(LEN(INDEX('Vendor COIs'!$O$4:$O$503,(_calc!$E$716-500)))=0,"",INDEX('Vendor COIs'!$O$4:$O$503,(_calc!$E$716-500)))))</f>
        <v/>
      </c>
      <c r="H714" s="46">
        <f>IF(_calc!$E$716="","",IF(_calc!$E$716&lt;=500,IF(LEN(INDEX('Our policies'!$G$4:$G$503,_calc!$E$716))=0,"",INDEX('Our policies'!$G$4:$G$503,_calc!$E$716)),""))</f>
        <v/>
      </c>
      <c r="I714" s="46">
        <f>IF(_calc!$E$716="","",IF(_calc!$E$716&lt;=500,IF(LEN(INDEX('Our policies'!$H$4:$H$503,_calc!$E$716))=0,"",INDEX('Our policies'!$H$4:$H$503,_calc!$E$716)),""))</f>
        <v/>
      </c>
      <c r="K714" s="46">
        <f>IF(_calc!$E$716="","",IF(_calc!$E$716&lt;=500,IF(LEN(INDEX('Our policies'!$P$4:$P$503,_calc!$E$716))=0,"",INDEX('Our policies'!$P$4:$P$503,_calc!$E$716)),IF(LEN(INDEX('Vendor COIs'!$N$4:$N$503,(_calc!$E$716-500)))=0,"",INDEX('Vendor COIs'!$N$4:$N$503,(_calc!$E$716-500)))))</f>
        <v/>
      </c>
    </row>
    <row r="715">
      <c r="A715" s="46">
        <f>IF(_calc!$E$717="","",IF(_calc!$E$717&lt;=500,IF(LEN(INDEX('Our policies'!$A$4:$A$503,_calc!$E$717))=0,"",INDEX('Our policies'!$A$4:$A$503,_calc!$E$717)),"COI – "&amp;IF(LEN(INDEX('Vendor COIs'!$A$4:$A$503,(_calc!$E$717-500)))=0,"",INDEX('Vendor COIs'!$A$4:$A$503,(_calc!$E$717-500)))&amp;" – "&amp;IF(LEN(INDEX('Vendor COIs'!$B$4:$B$503,(_calc!$E$717-500)))=0,"",INDEX('Vendor COIs'!$B$4:$B$503,(_calc!$E$717-500)))))</f>
        <v/>
      </c>
      <c r="B715" s="46">
        <f>IF(_calc!$E$717="","",IF(_calc!$E$717&lt;=500,IF(ISNUMBER(INDEX('Our policies'!$J$4:$J$503,_calc!$E$717)),TEXT(INDEX('Our policies'!$J$4:$J$503,_calc!$E$717),"yyyy-mm-dd"),""),IF(ISNUMBER(INDEX('Vendor COIs'!$H$4:$H$503,(_calc!$E$717-500))),TEXT(INDEX('Vendor COIs'!$H$4:$H$503,(_calc!$E$717-500)),"yyyy-mm-dd"),"")))</f>
        <v/>
      </c>
      <c r="C715" s="46">
        <f>IF(_calc!$E$717="","",IF(_calc!$E$717&lt;=500,"Insurance","Certificate of insurance"))</f>
        <v/>
      </c>
      <c r="D715" s="46">
        <f>IF(_calc!$E$717="","",IF(_calc!$E$717&lt;=500,IF(ISNUMBER(INDEX('Our policies'!$I$4:$I$503,_calc!$E$717)),TEXT(INDEX('Our policies'!$I$4:$I$503,_calc!$E$717),"yyyy-mm-dd"),""),""))</f>
        <v/>
      </c>
      <c r="E715" s="46">
        <f>IF(_calc!$E$717="","",IF(_calc!$E$717&lt;=500,IF(LEN(INDEX('Our policies'!$Q$4:$Q$503,_calc!$E$717))=0,"",INDEX('Our policies'!$Q$4:$Q$503,_calc!$E$717)),"Medium"))</f>
        <v/>
      </c>
      <c r="F715" s="46">
        <f>IF(_calc!$E$717="","",IF(_calc!$E$717&lt;=500,TRIM(IF(LEN(IF(LEN(INDEX('Our policies'!$B$4:$B$503,_calc!$E$717))=0,"",INDEX('Our policies'!$B$4:$B$503,_calc!$E$717)))=0,"","Cover: "&amp;IF(LEN(INDEX('Our policies'!$B$4:$B$503,_calc!$E$717))=0,"",INDEX('Our policies'!$B$4:$B$503,_calc!$E$717))&amp;". ")&amp;IF(LEN(IF(LEN(INDEX('Our policies'!$C$4:$C$503,_calc!$E$717))=0,"",INDEX('Our policies'!$C$4:$C$503,_calc!$E$717)))=0,"","Insurer: "&amp;IF(LEN(INDEX('Our policies'!$C$4:$C$503,_calc!$E$717))=0,"",INDEX('Our policies'!$C$4:$C$503,_calc!$E$717))&amp;". ")&amp;IF(LEN(IF(LEN(INDEX('Our policies'!$D$4:$D$503,_calc!$E$717))=0,"",INDEX('Our policies'!$D$4:$D$503,_calc!$E$717)))=0,"","Broker: "&amp;IF(LEN(INDEX('Our policies'!$D$4:$D$503,_calc!$E$717))=0,"",INDEX('Our policies'!$D$4:$D$503,_calc!$E$717))&amp;". ")&amp;IF(LEN(IF(LEN(INDEX('Our policies'!$E$4:$E$503,_calc!$E$717))=0,"",INDEX('Our policies'!$E$4:$E$503,_calc!$E$717)))=0,"","Policy no.: "&amp;IF(LEN(INDEX('Our policies'!$E$4:$E$503,_calc!$E$717))=0,"",INDEX('Our policies'!$E$4:$E$503,_calc!$E$717))&amp;". ")&amp;IF(LEN(IF(LEN(INDEX('Our policies'!$S$4:$S$503,_calc!$E$717))=0,"",INDEX('Our policies'!$S$4:$S$503,_calc!$E$717)))=0,"",IF(LEN(INDEX('Our policies'!$S$4:$S$503,_calc!$E$717))=0,"",INDEX('Our policies'!$S$4:$S$503,_calc!$E$717)))),TRIM(IF(LEN(IF(LEN(INDEX('Vendor COIs'!$C$4:$C$503,(_calc!$E$717-500)))=0,"",INDEX('Vendor COIs'!$C$4:$C$503,(_calc!$E$717-500))))=0,"","Insurer: "&amp;IF(LEN(INDEX('Vendor COIs'!$C$4:$C$503,(_calc!$E$717-500)))=0,"",INDEX('Vendor COIs'!$C$4:$C$503,(_calc!$E$717-500)))&amp;". ")&amp;IF(LEN(IF(LEN(INDEX('Vendor COIs'!$D$4:$D$503,(_calc!$E$717-500)))=0,"",INDEX('Vendor COIs'!$D$4:$D$503,(_calc!$E$717-500))))=0,"","Policy no.: "&amp;IF(LEN(INDEX('Vendor COIs'!$D$4:$D$503,(_calc!$E$717-500)))=0,"",INDEX('Vendor COIs'!$D$4:$D$503,(_calc!$E$717-500)))&amp;". ")&amp;IF(LEN(IF(LEN(INDEX('Vendor COIs'!$F$4:$F$503,(_calc!$E$717-500)))=0,"",INDEX('Vendor COIs'!$F$4:$F$503,(_calc!$E$717-500))))=0,"","Meets minimum: "&amp;IF(LEN(INDEX('Vendor COIs'!$F$4:$F$503,(_calc!$E$717-500)))=0,"",INDEX('Vendor COIs'!$F$4:$F$503,(_calc!$E$717-500)))&amp;". ")&amp;IF(LEN(IF(LEN(INDEX('Vendor COIs'!$G$4:$G$503,(_calc!$E$717-500)))=0,"",INDEX('Vendor COIs'!$G$4:$G$503,(_calc!$E$717-500))))=0,"","Additional insured: "&amp;IF(LEN(INDEX('Vendor COIs'!$G$4:$G$503,(_calc!$E$717-500)))=0,"",INDEX('Vendor COIs'!$G$4:$G$503,(_calc!$E$717-500)))&amp;". ")&amp;IF(LEN(IF(LEN(INDEX('Vendor COIs'!$M$4:$M$503,(_calc!$E$717-500)))=0,"",INDEX('Vendor COIs'!$M$4:$M$503,(_calc!$E$717-500))))=0,"","Vendor contact: "&amp;IF(LEN(INDEX('Vendor COIs'!$M$4:$M$503,(_calc!$E$717-500)))=0,"",INDEX('Vendor COIs'!$M$4:$M$503,(_calc!$E$717-500)))&amp;". ")&amp;IF(LEN(IF(LEN(INDEX('Vendor COIs'!$P$4:$P$503,(_calc!$E$717-500)))=0,"",INDEX('Vendor COIs'!$P$4:$P$503,(_calc!$E$717-500))))=0,"",IF(LEN(INDEX('Vendor COIs'!$P$4:$P$503,(_calc!$E$717-500)))=0,"",INDEX('Vendor COIs'!$P$4:$P$503,(_calc!$E$717-500)))))))</f>
        <v/>
      </c>
      <c r="G715" s="46">
        <f>IF(_calc!$E$717="","",IF(_calc!$E$717&lt;=500,IF(LEN(INDEX('Our policies'!$R$4:$R$503,_calc!$E$717))=0,"",INDEX('Our policies'!$R$4:$R$503,_calc!$E$717)),IF(LEN(INDEX('Vendor COIs'!$O$4:$O$503,(_calc!$E$717-500)))=0,"",INDEX('Vendor COIs'!$O$4:$O$503,(_calc!$E$717-500)))))</f>
        <v/>
      </c>
      <c r="H715" s="46">
        <f>IF(_calc!$E$717="","",IF(_calc!$E$717&lt;=500,IF(LEN(INDEX('Our policies'!$G$4:$G$503,_calc!$E$717))=0,"",INDEX('Our policies'!$G$4:$G$503,_calc!$E$717)),""))</f>
        <v/>
      </c>
      <c r="I715" s="46">
        <f>IF(_calc!$E$717="","",IF(_calc!$E$717&lt;=500,IF(LEN(INDEX('Our policies'!$H$4:$H$503,_calc!$E$717))=0,"",INDEX('Our policies'!$H$4:$H$503,_calc!$E$717)),""))</f>
        <v/>
      </c>
      <c r="K715" s="46">
        <f>IF(_calc!$E$717="","",IF(_calc!$E$717&lt;=500,IF(LEN(INDEX('Our policies'!$P$4:$P$503,_calc!$E$717))=0,"",INDEX('Our policies'!$P$4:$P$503,_calc!$E$717)),IF(LEN(INDEX('Vendor COIs'!$N$4:$N$503,(_calc!$E$717-500)))=0,"",INDEX('Vendor COIs'!$N$4:$N$503,(_calc!$E$717-500)))))</f>
        <v/>
      </c>
    </row>
    <row r="716">
      <c r="A716" s="46">
        <f>IF(_calc!$E$718="","",IF(_calc!$E$718&lt;=500,IF(LEN(INDEX('Our policies'!$A$4:$A$503,_calc!$E$718))=0,"",INDEX('Our policies'!$A$4:$A$503,_calc!$E$718)),"COI – "&amp;IF(LEN(INDEX('Vendor COIs'!$A$4:$A$503,(_calc!$E$718-500)))=0,"",INDEX('Vendor COIs'!$A$4:$A$503,(_calc!$E$718-500)))&amp;" – "&amp;IF(LEN(INDEX('Vendor COIs'!$B$4:$B$503,(_calc!$E$718-500)))=0,"",INDEX('Vendor COIs'!$B$4:$B$503,(_calc!$E$718-500)))))</f>
        <v/>
      </c>
      <c r="B716" s="46">
        <f>IF(_calc!$E$718="","",IF(_calc!$E$718&lt;=500,IF(ISNUMBER(INDEX('Our policies'!$J$4:$J$503,_calc!$E$718)),TEXT(INDEX('Our policies'!$J$4:$J$503,_calc!$E$718),"yyyy-mm-dd"),""),IF(ISNUMBER(INDEX('Vendor COIs'!$H$4:$H$503,(_calc!$E$718-500))),TEXT(INDEX('Vendor COIs'!$H$4:$H$503,(_calc!$E$718-500)),"yyyy-mm-dd"),"")))</f>
        <v/>
      </c>
      <c r="C716" s="46">
        <f>IF(_calc!$E$718="","",IF(_calc!$E$718&lt;=500,"Insurance","Certificate of insurance"))</f>
        <v/>
      </c>
      <c r="D716" s="46">
        <f>IF(_calc!$E$718="","",IF(_calc!$E$718&lt;=500,IF(ISNUMBER(INDEX('Our policies'!$I$4:$I$503,_calc!$E$718)),TEXT(INDEX('Our policies'!$I$4:$I$503,_calc!$E$718),"yyyy-mm-dd"),""),""))</f>
        <v/>
      </c>
      <c r="E716" s="46">
        <f>IF(_calc!$E$718="","",IF(_calc!$E$718&lt;=500,IF(LEN(INDEX('Our policies'!$Q$4:$Q$503,_calc!$E$718))=0,"",INDEX('Our policies'!$Q$4:$Q$503,_calc!$E$718)),"Medium"))</f>
        <v/>
      </c>
      <c r="F716" s="46">
        <f>IF(_calc!$E$718="","",IF(_calc!$E$718&lt;=500,TRIM(IF(LEN(IF(LEN(INDEX('Our policies'!$B$4:$B$503,_calc!$E$718))=0,"",INDEX('Our policies'!$B$4:$B$503,_calc!$E$718)))=0,"","Cover: "&amp;IF(LEN(INDEX('Our policies'!$B$4:$B$503,_calc!$E$718))=0,"",INDEX('Our policies'!$B$4:$B$503,_calc!$E$718))&amp;". ")&amp;IF(LEN(IF(LEN(INDEX('Our policies'!$C$4:$C$503,_calc!$E$718))=0,"",INDEX('Our policies'!$C$4:$C$503,_calc!$E$718)))=0,"","Insurer: "&amp;IF(LEN(INDEX('Our policies'!$C$4:$C$503,_calc!$E$718))=0,"",INDEX('Our policies'!$C$4:$C$503,_calc!$E$718))&amp;". ")&amp;IF(LEN(IF(LEN(INDEX('Our policies'!$D$4:$D$503,_calc!$E$718))=0,"",INDEX('Our policies'!$D$4:$D$503,_calc!$E$718)))=0,"","Broker: "&amp;IF(LEN(INDEX('Our policies'!$D$4:$D$503,_calc!$E$718))=0,"",INDEX('Our policies'!$D$4:$D$503,_calc!$E$718))&amp;". ")&amp;IF(LEN(IF(LEN(INDEX('Our policies'!$E$4:$E$503,_calc!$E$718))=0,"",INDEX('Our policies'!$E$4:$E$503,_calc!$E$718)))=0,"","Policy no.: "&amp;IF(LEN(INDEX('Our policies'!$E$4:$E$503,_calc!$E$718))=0,"",INDEX('Our policies'!$E$4:$E$503,_calc!$E$718))&amp;". ")&amp;IF(LEN(IF(LEN(INDEX('Our policies'!$S$4:$S$503,_calc!$E$718))=0,"",INDEX('Our policies'!$S$4:$S$503,_calc!$E$718)))=0,"",IF(LEN(INDEX('Our policies'!$S$4:$S$503,_calc!$E$718))=0,"",INDEX('Our policies'!$S$4:$S$503,_calc!$E$718)))),TRIM(IF(LEN(IF(LEN(INDEX('Vendor COIs'!$C$4:$C$503,(_calc!$E$718-500)))=0,"",INDEX('Vendor COIs'!$C$4:$C$503,(_calc!$E$718-500))))=0,"","Insurer: "&amp;IF(LEN(INDEX('Vendor COIs'!$C$4:$C$503,(_calc!$E$718-500)))=0,"",INDEX('Vendor COIs'!$C$4:$C$503,(_calc!$E$718-500)))&amp;". ")&amp;IF(LEN(IF(LEN(INDEX('Vendor COIs'!$D$4:$D$503,(_calc!$E$718-500)))=0,"",INDEX('Vendor COIs'!$D$4:$D$503,(_calc!$E$718-500))))=0,"","Policy no.: "&amp;IF(LEN(INDEX('Vendor COIs'!$D$4:$D$503,(_calc!$E$718-500)))=0,"",INDEX('Vendor COIs'!$D$4:$D$503,(_calc!$E$718-500)))&amp;". ")&amp;IF(LEN(IF(LEN(INDEX('Vendor COIs'!$F$4:$F$503,(_calc!$E$718-500)))=0,"",INDEX('Vendor COIs'!$F$4:$F$503,(_calc!$E$718-500))))=0,"","Meets minimum: "&amp;IF(LEN(INDEX('Vendor COIs'!$F$4:$F$503,(_calc!$E$718-500)))=0,"",INDEX('Vendor COIs'!$F$4:$F$503,(_calc!$E$718-500)))&amp;". ")&amp;IF(LEN(IF(LEN(INDEX('Vendor COIs'!$G$4:$G$503,(_calc!$E$718-500)))=0,"",INDEX('Vendor COIs'!$G$4:$G$503,(_calc!$E$718-500))))=0,"","Additional insured: "&amp;IF(LEN(INDEX('Vendor COIs'!$G$4:$G$503,(_calc!$E$718-500)))=0,"",INDEX('Vendor COIs'!$G$4:$G$503,(_calc!$E$718-500)))&amp;". ")&amp;IF(LEN(IF(LEN(INDEX('Vendor COIs'!$M$4:$M$503,(_calc!$E$718-500)))=0,"",INDEX('Vendor COIs'!$M$4:$M$503,(_calc!$E$718-500))))=0,"","Vendor contact: "&amp;IF(LEN(INDEX('Vendor COIs'!$M$4:$M$503,(_calc!$E$718-500)))=0,"",INDEX('Vendor COIs'!$M$4:$M$503,(_calc!$E$718-500)))&amp;". ")&amp;IF(LEN(IF(LEN(INDEX('Vendor COIs'!$P$4:$P$503,(_calc!$E$718-500)))=0,"",INDEX('Vendor COIs'!$P$4:$P$503,(_calc!$E$718-500))))=0,"",IF(LEN(INDEX('Vendor COIs'!$P$4:$P$503,(_calc!$E$718-500)))=0,"",INDEX('Vendor COIs'!$P$4:$P$503,(_calc!$E$718-500)))))))</f>
        <v/>
      </c>
      <c r="G716" s="46">
        <f>IF(_calc!$E$718="","",IF(_calc!$E$718&lt;=500,IF(LEN(INDEX('Our policies'!$R$4:$R$503,_calc!$E$718))=0,"",INDEX('Our policies'!$R$4:$R$503,_calc!$E$718)),IF(LEN(INDEX('Vendor COIs'!$O$4:$O$503,(_calc!$E$718-500)))=0,"",INDEX('Vendor COIs'!$O$4:$O$503,(_calc!$E$718-500)))))</f>
        <v/>
      </c>
      <c r="H716" s="46">
        <f>IF(_calc!$E$718="","",IF(_calc!$E$718&lt;=500,IF(LEN(INDEX('Our policies'!$G$4:$G$503,_calc!$E$718))=0,"",INDEX('Our policies'!$G$4:$G$503,_calc!$E$718)),""))</f>
        <v/>
      </c>
      <c r="I716" s="46">
        <f>IF(_calc!$E$718="","",IF(_calc!$E$718&lt;=500,IF(LEN(INDEX('Our policies'!$H$4:$H$503,_calc!$E$718))=0,"",INDEX('Our policies'!$H$4:$H$503,_calc!$E$718)),""))</f>
        <v/>
      </c>
      <c r="K716" s="46">
        <f>IF(_calc!$E$718="","",IF(_calc!$E$718&lt;=500,IF(LEN(INDEX('Our policies'!$P$4:$P$503,_calc!$E$718))=0,"",INDEX('Our policies'!$P$4:$P$503,_calc!$E$718)),IF(LEN(INDEX('Vendor COIs'!$N$4:$N$503,(_calc!$E$718-500)))=0,"",INDEX('Vendor COIs'!$N$4:$N$503,(_calc!$E$718-500)))))</f>
        <v/>
      </c>
    </row>
    <row r="717">
      <c r="A717" s="46">
        <f>IF(_calc!$E$719="","",IF(_calc!$E$719&lt;=500,IF(LEN(INDEX('Our policies'!$A$4:$A$503,_calc!$E$719))=0,"",INDEX('Our policies'!$A$4:$A$503,_calc!$E$719)),"COI – "&amp;IF(LEN(INDEX('Vendor COIs'!$A$4:$A$503,(_calc!$E$719-500)))=0,"",INDEX('Vendor COIs'!$A$4:$A$503,(_calc!$E$719-500)))&amp;" – "&amp;IF(LEN(INDEX('Vendor COIs'!$B$4:$B$503,(_calc!$E$719-500)))=0,"",INDEX('Vendor COIs'!$B$4:$B$503,(_calc!$E$719-500)))))</f>
        <v/>
      </c>
      <c r="B717" s="46">
        <f>IF(_calc!$E$719="","",IF(_calc!$E$719&lt;=500,IF(ISNUMBER(INDEX('Our policies'!$J$4:$J$503,_calc!$E$719)),TEXT(INDEX('Our policies'!$J$4:$J$503,_calc!$E$719),"yyyy-mm-dd"),""),IF(ISNUMBER(INDEX('Vendor COIs'!$H$4:$H$503,(_calc!$E$719-500))),TEXT(INDEX('Vendor COIs'!$H$4:$H$503,(_calc!$E$719-500)),"yyyy-mm-dd"),"")))</f>
        <v/>
      </c>
      <c r="C717" s="46">
        <f>IF(_calc!$E$719="","",IF(_calc!$E$719&lt;=500,"Insurance","Certificate of insurance"))</f>
        <v/>
      </c>
      <c r="D717" s="46">
        <f>IF(_calc!$E$719="","",IF(_calc!$E$719&lt;=500,IF(ISNUMBER(INDEX('Our policies'!$I$4:$I$503,_calc!$E$719)),TEXT(INDEX('Our policies'!$I$4:$I$503,_calc!$E$719),"yyyy-mm-dd"),""),""))</f>
        <v/>
      </c>
      <c r="E717" s="46">
        <f>IF(_calc!$E$719="","",IF(_calc!$E$719&lt;=500,IF(LEN(INDEX('Our policies'!$Q$4:$Q$503,_calc!$E$719))=0,"",INDEX('Our policies'!$Q$4:$Q$503,_calc!$E$719)),"Medium"))</f>
        <v/>
      </c>
      <c r="F717" s="46">
        <f>IF(_calc!$E$719="","",IF(_calc!$E$719&lt;=500,TRIM(IF(LEN(IF(LEN(INDEX('Our policies'!$B$4:$B$503,_calc!$E$719))=0,"",INDEX('Our policies'!$B$4:$B$503,_calc!$E$719)))=0,"","Cover: "&amp;IF(LEN(INDEX('Our policies'!$B$4:$B$503,_calc!$E$719))=0,"",INDEX('Our policies'!$B$4:$B$503,_calc!$E$719))&amp;". ")&amp;IF(LEN(IF(LEN(INDEX('Our policies'!$C$4:$C$503,_calc!$E$719))=0,"",INDEX('Our policies'!$C$4:$C$503,_calc!$E$719)))=0,"","Insurer: "&amp;IF(LEN(INDEX('Our policies'!$C$4:$C$503,_calc!$E$719))=0,"",INDEX('Our policies'!$C$4:$C$503,_calc!$E$719))&amp;". ")&amp;IF(LEN(IF(LEN(INDEX('Our policies'!$D$4:$D$503,_calc!$E$719))=0,"",INDEX('Our policies'!$D$4:$D$503,_calc!$E$719)))=0,"","Broker: "&amp;IF(LEN(INDEX('Our policies'!$D$4:$D$503,_calc!$E$719))=0,"",INDEX('Our policies'!$D$4:$D$503,_calc!$E$719))&amp;". ")&amp;IF(LEN(IF(LEN(INDEX('Our policies'!$E$4:$E$503,_calc!$E$719))=0,"",INDEX('Our policies'!$E$4:$E$503,_calc!$E$719)))=0,"","Policy no.: "&amp;IF(LEN(INDEX('Our policies'!$E$4:$E$503,_calc!$E$719))=0,"",INDEX('Our policies'!$E$4:$E$503,_calc!$E$719))&amp;". ")&amp;IF(LEN(IF(LEN(INDEX('Our policies'!$S$4:$S$503,_calc!$E$719))=0,"",INDEX('Our policies'!$S$4:$S$503,_calc!$E$719)))=0,"",IF(LEN(INDEX('Our policies'!$S$4:$S$503,_calc!$E$719))=0,"",INDEX('Our policies'!$S$4:$S$503,_calc!$E$719)))),TRIM(IF(LEN(IF(LEN(INDEX('Vendor COIs'!$C$4:$C$503,(_calc!$E$719-500)))=0,"",INDEX('Vendor COIs'!$C$4:$C$503,(_calc!$E$719-500))))=0,"","Insurer: "&amp;IF(LEN(INDEX('Vendor COIs'!$C$4:$C$503,(_calc!$E$719-500)))=0,"",INDEX('Vendor COIs'!$C$4:$C$503,(_calc!$E$719-500)))&amp;". ")&amp;IF(LEN(IF(LEN(INDEX('Vendor COIs'!$D$4:$D$503,(_calc!$E$719-500)))=0,"",INDEX('Vendor COIs'!$D$4:$D$503,(_calc!$E$719-500))))=0,"","Policy no.: "&amp;IF(LEN(INDEX('Vendor COIs'!$D$4:$D$503,(_calc!$E$719-500)))=0,"",INDEX('Vendor COIs'!$D$4:$D$503,(_calc!$E$719-500)))&amp;". ")&amp;IF(LEN(IF(LEN(INDEX('Vendor COIs'!$F$4:$F$503,(_calc!$E$719-500)))=0,"",INDEX('Vendor COIs'!$F$4:$F$503,(_calc!$E$719-500))))=0,"","Meets minimum: "&amp;IF(LEN(INDEX('Vendor COIs'!$F$4:$F$503,(_calc!$E$719-500)))=0,"",INDEX('Vendor COIs'!$F$4:$F$503,(_calc!$E$719-500)))&amp;". ")&amp;IF(LEN(IF(LEN(INDEX('Vendor COIs'!$G$4:$G$503,(_calc!$E$719-500)))=0,"",INDEX('Vendor COIs'!$G$4:$G$503,(_calc!$E$719-500))))=0,"","Additional insured: "&amp;IF(LEN(INDEX('Vendor COIs'!$G$4:$G$503,(_calc!$E$719-500)))=0,"",INDEX('Vendor COIs'!$G$4:$G$503,(_calc!$E$719-500)))&amp;". ")&amp;IF(LEN(IF(LEN(INDEX('Vendor COIs'!$M$4:$M$503,(_calc!$E$719-500)))=0,"",INDEX('Vendor COIs'!$M$4:$M$503,(_calc!$E$719-500))))=0,"","Vendor contact: "&amp;IF(LEN(INDEX('Vendor COIs'!$M$4:$M$503,(_calc!$E$719-500)))=0,"",INDEX('Vendor COIs'!$M$4:$M$503,(_calc!$E$719-500)))&amp;". ")&amp;IF(LEN(IF(LEN(INDEX('Vendor COIs'!$P$4:$P$503,(_calc!$E$719-500)))=0,"",INDEX('Vendor COIs'!$P$4:$P$503,(_calc!$E$719-500))))=0,"",IF(LEN(INDEX('Vendor COIs'!$P$4:$P$503,(_calc!$E$719-500)))=0,"",INDEX('Vendor COIs'!$P$4:$P$503,(_calc!$E$719-500)))))))</f>
        <v/>
      </c>
      <c r="G717" s="46">
        <f>IF(_calc!$E$719="","",IF(_calc!$E$719&lt;=500,IF(LEN(INDEX('Our policies'!$R$4:$R$503,_calc!$E$719))=0,"",INDEX('Our policies'!$R$4:$R$503,_calc!$E$719)),IF(LEN(INDEX('Vendor COIs'!$O$4:$O$503,(_calc!$E$719-500)))=0,"",INDEX('Vendor COIs'!$O$4:$O$503,(_calc!$E$719-500)))))</f>
        <v/>
      </c>
      <c r="H717" s="46">
        <f>IF(_calc!$E$719="","",IF(_calc!$E$719&lt;=500,IF(LEN(INDEX('Our policies'!$G$4:$G$503,_calc!$E$719))=0,"",INDEX('Our policies'!$G$4:$G$503,_calc!$E$719)),""))</f>
        <v/>
      </c>
      <c r="I717" s="46">
        <f>IF(_calc!$E$719="","",IF(_calc!$E$719&lt;=500,IF(LEN(INDEX('Our policies'!$H$4:$H$503,_calc!$E$719))=0,"",INDEX('Our policies'!$H$4:$H$503,_calc!$E$719)),""))</f>
        <v/>
      </c>
      <c r="K717" s="46">
        <f>IF(_calc!$E$719="","",IF(_calc!$E$719&lt;=500,IF(LEN(INDEX('Our policies'!$P$4:$P$503,_calc!$E$719))=0,"",INDEX('Our policies'!$P$4:$P$503,_calc!$E$719)),IF(LEN(INDEX('Vendor COIs'!$N$4:$N$503,(_calc!$E$719-500)))=0,"",INDEX('Vendor COIs'!$N$4:$N$503,(_calc!$E$719-500)))))</f>
        <v/>
      </c>
    </row>
    <row r="718">
      <c r="A718" s="46">
        <f>IF(_calc!$E$720="","",IF(_calc!$E$720&lt;=500,IF(LEN(INDEX('Our policies'!$A$4:$A$503,_calc!$E$720))=0,"",INDEX('Our policies'!$A$4:$A$503,_calc!$E$720)),"COI – "&amp;IF(LEN(INDEX('Vendor COIs'!$A$4:$A$503,(_calc!$E$720-500)))=0,"",INDEX('Vendor COIs'!$A$4:$A$503,(_calc!$E$720-500)))&amp;" – "&amp;IF(LEN(INDEX('Vendor COIs'!$B$4:$B$503,(_calc!$E$720-500)))=0,"",INDEX('Vendor COIs'!$B$4:$B$503,(_calc!$E$720-500)))))</f>
        <v/>
      </c>
      <c r="B718" s="46">
        <f>IF(_calc!$E$720="","",IF(_calc!$E$720&lt;=500,IF(ISNUMBER(INDEX('Our policies'!$J$4:$J$503,_calc!$E$720)),TEXT(INDEX('Our policies'!$J$4:$J$503,_calc!$E$720),"yyyy-mm-dd"),""),IF(ISNUMBER(INDEX('Vendor COIs'!$H$4:$H$503,(_calc!$E$720-500))),TEXT(INDEX('Vendor COIs'!$H$4:$H$503,(_calc!$E$720-500)),"yyyy-mm-dd"),"")))</f>
        <v/>
      </c>
      <c r="C718" s="46">
        <f>IF(_calc!$E$720="","",IF(_calc!$E$720&lt;=500,"Insurance","Certificate of insurance"))</f>
        <v/>
      </c>
      <c r="D718" s="46">
        <f>IF(_calc!$E$720="","",IF(_calc!$E$720&lt;=500,IF(ISNUMBER(INDEX('Our policies'!$I$4:$I$503,_calc!$E$720)),TEXT(INDEX('Our policies'!$I$4:$I$503,_calc!$E$720),"yyyy-mm-dd"),""),""))</f>
        <v/>
      </c>
      <c r="E718" s="46">
        <f>IF(_calc!$E$720="","",IF(_calc!$E$720&lt;=500,IF(LEN(INDEX('Our policies'!$Q$4:$Q$503,_calc!$E$720))=0,"",INDEX('Our policies'!$Q$4:$Q$503,_calc!$E$720)),"Medium"))</f>
        <v/>
      </c>
      <c r="F718" s="46">
        <f>IF(_calc!$E$720="","",IF(_calc!$E$720&lt;=500,TRIM(IF(LEN(IF(LEN(INDEX('Our policies'!$B$4:$B$503,_calc!$E$720))=0,"",INDEX('Our policies'!$B$4:$B$503,_calc!$E$720)))=0,"","Cover: "&amp;IF(LEN(INDEX('Our policies'!$B$4:$B$503,_calc!$E$720))=0,"",INDEX('Our policies'!$B$4:$B$503,_calc!$E$720))&amp;". ")&amp;IF(LEN(IF(LEN(INDEX('Our policies'!$C$4:$C$503,_calc!$E$720))=0,"",INDEX('Our policies'!$C$4:$C$503,_calc!$E$720)))=0,"","Insurer: "&amp;IF(LEN(INDEX('Our policies'!$C$4:$C$503,_calc!$E$720))=0,"",INDEX('Our policies'!$C$4:$C$503,_calc!$E$720))&amp;". ")&amp;IF(LEN(IF(LEN(INDEX('Our policies'!$D$4:$D$503,_calc!$E$720))=0,"",INDEX('Our policies'!$D$4:$D$503,_calc!$E$720)))=0,"","Broker: "&amp;IF(LEN(INDEX('Our policies'!$D$4:$D$503,_calc!$E$720))=0,"",INDEX('Our policies'!$D$4:$D$503,_calc!$E$720))&amp;". ")&amp;IF(LEN(IF(LEN(INDEX('Our policies'!$E$4:$E$503,_calc!$E$720))=0,"",INDEX('Our policies'!$E$4:$E$503,_calc!$E$720)))=0,"","Policy no.: "&amp;IF(LEN(INDEX('Our policies'!$E$4:$E$503,_calc!$E$720))=0,"",INDEX('Our policies'!$E$4:$E$503,_calc!$E$720))&amp;". ")&amp;IF(LEN(IF(LEN(INDEX('Our policies'!$S$4:$S$503,_calc!$E$720))=0,"",INDEX('Our policies'!$S$4:$S$503,_calc!$E$720)))=0,"",IF(LEN(INDEX('Our policies'!$S$4:$S$503,_calc!$E$720))=0,"",INDEX('Our policies'!$S$4:$S$503,_calc!$E$720)))),TRIM(IF(LEN(IF(LEN(INDEX('Vendor COIs'!$C$4:$C$503,(_calc!$E$720-500)))=0,"",INDEX('Vendor COIs'!$C$4:$C$503,(_calc!$E$720-500))))=0,"","Insurer: "&amp;IF(LEN(INDEX('Vendor COIs'!$C$4:$C$503,(_calc!$E$720-500)))=0,"",INDEX('Vendor COIs'!$C$4:$C$503,(_calc!$E$720-500)))&amp;". ")&amp;IF(LEN(IF(LEN(INDEX('Vendor COIs'!$D$4:$D$503,(_calc!$E$720-500)))=0,"",INDEX('Vendor COIs'!$D$4:$D$503,(_calc!$E$720-500))))=0,"","Policy no.: "&amp;IF(LEN(INDEX('Vendor COIs'!$D$4:$D$503,(_calc!$E$720-500)))=0,"",INDEX('Vendor COIs'!$D$4:$D$503,(_calc!$E$720-500)))&amp;". ")&amp;IF(LEN(IF(LEN(INDEX('Vendor COIs'!$F$4:$F$503,(_calc!$E$720-500)))=0,"",INDEX('Vendor COIs'!$F$4:$F$503,(_calc!$E$720-500))))=0,"","Meets minimum: "&amp;IF(LEN(INDEX('Vendor COIs'!$F$4:$F$503,(_calc!$E$720-500)))=0,"",INDEX('Vendor COIs'!$F$4:$F$503,(_calc!$E$720-500)))&amp;". ")&amp;IF(LEN(IF(LEN(INDEX('Vendor COIs'!$G$4:$G$503,(_calc!$E$720-500)))=0,"",INDEX('Vendor COIs'!$G$4:$G$503,(_calc!$E$720-500))))=0,"","Additional insured: "&amp;IF(LEN(INDEX('Vendor COIs'!$G$4:$G$503,(_calc!$E$720-500)))=0,"",INDEX('Vendor COIs'!$G$4:$G$503,(_calc!$E$720-500)))&amp;". ")&amp;IF(LEN(IF(LEN(INDEX('Vendor COIs'!$M$4:$M$503,(_calc!$E$720-500)))=0,"",INDEX('Vendor COIs'!$M$4:$M$503,(_calc!$E$720-500))))=0,"","Vendor contact: "&amp;IF(LEN(INDEX('Vendor COIs'!$M$4:$M$503,(_calc!$E$720-500)))=0,"",INDEX('Vendor COIs'!$M$4:$M$503,(_calc!$E$720-500)))&amp;". ")&amp;IF(LEN(IF(LEN(INDEX('Vendor COIs'!$P$4:$P$503,(_calc!$E$720-500)))=0,"",INDEX('Vendor COIs'!$P$4:$P$503,(_calc!$E$720-500))))=0,"",IF(LEN(INDEX('Vendor COIs'!$P$4:$P$503,(_calc!$E$720-500)))=0,"",INDEX('Vendor COIs'!$P$4:$P$503,(_calc!$E$720-500)))))))</f>
        <v/>
      </c>
      <c r="G718" s="46">
        <f>IF(_calc!$E$720="","",IF(_calc!$E$720&lt;=500,IF(LEN(INDEX('Our policies'!$R$4:$R$503,_calc!$E$720))=0,"",INDEX('Our policies'!$R$4:$R$503,_calc!$E$720)),IF(LEN(INDEX('Vendor COIs'!$O$4:$O$503,(_calc!$E$720-500)))=0,"",INDEX('Vendor COIs'!$O$4:$O$503,(_calc!$E$720-500)))))</f>
        <v/>
      </c>
      <c r="H718" s="46">
        <f>IF(_calc!$E$720="","",IF(_calc!$E$720&lt;=500,IF(LEN(INDEX('Our policies'!$G$4:$G$503,_calc!$E$720))=0,"",INDEX('Our policies'!$G$4:$G$503,_calc!$E$720)),""))</f>
        <v/>
      </c>
      <c r="I718" s="46">
        <f>IF(_calc!$E$720="","",IF(_calc!$E$720&lt;=500,IF(LEN(INDEX('Our policies'!$H$4:$H$503,_calc!$E$720))=0,"",INDEX('Our policies'!$H$4:$H$503,_calc!$E$720)),""))</f>
        <v/>
      </c>
      <c r="K718" s="46">
        <f>IF(_calc!$E$720="","",IF(_calc!$E$720&lt;=500,IF(LEN(INDEX('Our policies'!$P$4:$P$503,_calc!$E$720))=0,"",INDEX('Our policies'!$P$4:$P$503,_calc!$E$720)),IF(LEN(INDEX('Vendor COIs'!$N$4:$N$503,(_calc!$E$720-500)))=0,"",INDEX('Vendor COIs'!$N$4:$N$503,(_calc!$E$720-500)))))</f>
        <v/>
      </c>
    </row>
    <row r="719">
      <c r="A719" s="46">
        <f>IF(_calc!$E$721="","",IF(_calc!$E$721&lt;=500,IF(LEN(INDEX('Our policies'!$A$4:$A$503,_calc!$E$721))=0,"",INDEX('Our policies'!$A$4:$A$503,_calc!$E$721)),"COI – "&amp;IF(LEN(INDEX('Vendor COIs'!$A$4:$A$503,(_calc!$E$721-500)))=0,"",INDEX('Vendor COIs'!$A$4:$A$503,(_calc!$E$721-500)))&amp;" – "&amp;IF(LEN(INDEX('Vendor COIs'!$B$4:$B$503,(_calc!$E$721-500)))=0,"",INDEX('Vendor COIs'!$B$4:$B$503,(_calc!$E$721-500)))))</f>
        <v/>
      </c>
      <c r="B719" s="46">
        <f>IF(_calc!$E$721="","",IF(_calc!$E$721&lt;=500,IF(ISNUMBER(INDEX('Our policies'!$J$4:$J$503,_calc!$E$721)),TEXT(INDEX('Our policies'!$J$4:$J$503,_calc!$E$721),"yyyy-mm-dd"),""),IF(ISNUMBER(INDEX('Vendor COIs'!$H$4:$H$503,(_calc!$E$721-500))),TEXT(INDEX('Vendor COIs'!$H$4:$H$503,(_calc!$E$721-500)),"yyyy-mm-dd"),"")))</f>
        <v/>
      </c>
      <c r="C719" s="46">
        <f>IF(_calc!$E$721="","",IF(_calc!$E$721&lt;=500,"Insurance","Certificate of insurance"))</f>
        <v/>
      </c>
      <c r="D719" s="46">
        <f>IF(_calc!$E$721="","",IF(_calc!$E$721&lt;=500,IF(ISNUMBER(INDEX('Our policies'!$I$4:$I$503,_calc!$E$721)),TEXT(INDEX('Our policies'!$I$4:$I$503,_calc!$E$721),"yyyy-mm-dd"),""),""))</f>
        <v/>
      </c>
      <c r="E719" s="46">
        <f>IF(_calc!$E$721="","",IF(_calc!$E$721&lt;=500,IF(LEN(INDEX('Our policies'!$Q$4:$Q$503,_calc!$E$721))=0,"",INDEX('Our policies'!$Q$4:$Q$503,_calc!$E$721)),"Medium"))</f>
        <v/>
      </c>
      <c r="F719" s="46">
        <f>IF(_calc!$E$721="","",IF(_calc!$E$721&lt;=500,TRIM(IF(LEN(IF(LEN(INDEX('Our policies'!$B$4:$B$503,_calc!$E$721))=0,"",INDEX('Our policies'!$B$4:$B$503,_calc!$E$721)))=0,"","Cover: "&amp;IF(LEN(INDEX('Our policies'!$B$4:$B$503,_calc!$E$721))=0,"",INDEX('Our policies'!$B$4:$B$503,_calc!$E$721))&amp;". ")&amp;IF(LEN(IF(LEN(INDEX('Our policies'!$C$4:$C$503,_calc!$E$721))=0,"",INDEX('Our policies'!$C$4:$C$503,_calc!$E$721)))=0,"","Insurer: "&amp;IF(LEN(INDEX('Our policies'!$C$4:$C$503,_calc!$E$721))=0,"",INDEX('Our policies'!$C$4:$C$503,_calc!$E$721))&amp;". ")&amp;IF(LEN(IF(LEN(INDEX('Our policies'!$D$4:$D$503,_calc!$E$721))=0,"",INDEX('Our policies'!$D$4:$D$503,_calc!$E$721)))=0,"","Broker: "&amp;IF(LEN(INDEX('Our policies'!$D$4:$D$503,_calc!$E$721))=0,"",INDEX('Our policies'!$D$4:$D$503,_calc!$E$721))&amp;". ")&amp;IF(LEN(IF(LEN(INDEX('Our policies'!$E$4:$E$503,_calc!$E$721))=0,"",INDEX('Our policies'!$E$4:$E$503,_calc!$E$721)))=0,"","Policy no.: "&amp;IF(LEN(INDEX('Our policies'!$E$4:$E$503,_calc!$E$721))=0,"",INDEX('Our policies'!$E$4:$E$503,_calc!$E$721))&amp;". ")&amp;IF(LEN(IF(LEN(INDEX('Our policies'!$S$4:$S$503,_calc!$E$721))=0,"",INDEX('Our policies'!$S$4:$S$503,_calc!$E$721)))=0,"",IF(LEN(INDEX('Our policies'!$S$4:$S$503,_calc!$E$721))=0,"",INDEX('Our policies'!$S$4:$S$503,_calc!$E$721)))),TRIM(IF(LEN(IF(LEN(INDEX('Vendor COIs'!$C$4:$C$503,(_calc!$E$721-500)))=0,"",INDEX('Vendor COIs'!$C$4:$C$503,(_calc!$E$721-500))))=0,"","Insurer: "&amp;IF(LEN(INDEX('Vendor COIs'!$C$4:$C$503,(_calc!$E$721-500)))=0,"",INDEX('Vendor COIs'!$C$4:$C$503,(_calc!$E$721-500)))&amp;". ")&amp;IF(LEN(IF(LEN(INDEX('Vendor COIs'!$D$4:$D$503,(_calc!$E$721-500)))=0,"",INDEX('Vendor COIs'!$D$4:$D$503,(_calc!$E$721-500))))=0,"","Policy no.: "&amp;IF(LEN(INDEX('Vendor COIs'!$D$4:$D$503,(_calc!$E$721-500)))=0,"",INDEX('Vendor COIs'!$D$4:$D$503,(_calc!$E$721-500)))&amp;". ")&amp;IF(LEN(IF(LEN(INDEX('Vendor COIs'!$F$4:$F$503,(_calc!$E$721-500)))=0,"",INDEX('Vendor COIs'!$F$4:$F$503,(_calc!$E$721-500))))=0,"","Meets minimum: "&amp;IF(LEN(INDEX('Vendor COIs'!$F$4:$F$503,(_calc!$E$721-500)))=0,"",INDEX('Vendor COIs'!$F$4:$F$503,(_calc!$E$721-500)))&amp;". ")&amp;IF(LEN(IF(LEN(INDEX('Vendor COIs'!$G$4:$G$503,(_calc!$E$721-500)))=0,"",INDEX('Vendor COIs'!$G$4:$G$503,(_calc!$E$721-500))))=0,"","Additional insured: "&amp;IF(LEN(INDEX('Vendor COIs'!$G$4:$G$503,(_calc!$E$721-500)))=0,"",INDEX('Vendor COIs'!$G$4:$G$503,(_calc!$E$721-500)))&amp;". ")&amp;IF(LEN(IF(LEN(INDEX('Vendor COIs'!$M$4:$M$503,(_calc!$E$721-500)))=0,"",INDEX('Vendor COIs'!$M$4:$M$503,(_calc!$E$721-500))))=0,"","Vendor contact: "&amp;IF(LEN(INDEX('Vendor COIs'!$M$4:$M$503,(_calc!$E$721-500)))=0,"",INDEX('Vendor COIs'!$M$4:$M$503,(_calc!$E$721-500)))&amp;". ")&amp;IF(LEN(IF(LEN(INDEX('Vendor COIs'!$P$4:$P$503,(_calc!$E$721-500)))=0,"",INDEX('Vendor COIs'!$P$4:$P$503,(_calc!$E$721-500))))=0,"",IF(LEN(INDEX('Vendor COIs'!$P$4:$P$503,(_calc!$E$721-500)))=0,"",INDEX('Vendor COIs'!$P$4:$P$503,(_calc!$E$721-500)))))))</f>
        <v/>
      </c>
      <c r="G719" s="46">
        <f>IF(_calc!$E$721="","",IF(_calc!$E$721&lt;=500,IF(LEN(INDEX('Our policies'!$R$4:$R$503,_calc!$E$721))=0,"",INDEX('Our policies'!$R$4:$R$503,_calc!$E$721)),IF(LEN(INDEX('Vendor COIs'!$O$4:$O$503,(_calc!$E$721-500)))=0,"",INDEX('Vendor COIs'!$O$4:$O$503,(_calc!$E$721-500)))))</f>
        <v/>
      </c>
      <c r="H719" s="46">
        <f>IF(_calc!$E$721="","",IF(_calc!$E$721&lt;=500,IF(LEN(INDEX('Our policies'!$G$4:$G$503,_calc!$E$721))=0,"",INDEX('Our policies'!$G$4:$G$503,_calc!$E$721)),""))</f>
        <v/>
      </c>
      <c r="I719" s="46">
        <f>IF(_calc!$E$721="","",IF(_calc!$E$721&lt;=500,IF(LEN(INDEX('Our policies'!$H$4:$H$503,_calc!$E$721))=0,"",INDEX('Our policies'!$H$4:$H$503,_calc!$E$721)),""))</f>
        <v/>
      </c>
      <c r="K719" s="46">
        <f>IF(_calc!$E$721="","",IF(_calc!$E$721&lt;=500,IF(LEN(INDEX('Our policies'!$P$4:$P$503,_calc!$E$721))=0,"",INDEX('Our policies'!$P$4:$P$503,_calc!$E$721)),IF(LEN(INDEX('Vendor COIs'!$N$4:$N$503,(_calc!$E$721-500)))=0,"",INDEX('Vendor COIs'!$N$4:$N$503,(_calc!$E$721-500)))))</f>
        <v/>
      </c>
    </row>
    <row r="720">
      <c r="A720" s="46">
        <f>IF(_calc!$E$722="","",IF(_calc!$E$722&lt;=500,IF(LEN(INDEX('Our policies'!$A$4:$A$503,_calc!$E$722))=0,"",INDEX('Our policies'!$A$4:$A$503,_calc!$E$722)),"COI – "&amp;IF(LEN(INDEX('Vendor COIs'!$A$4:$A$503,(_calc!$E$722-500)))=0,"",INDEX('Vendor COIs'!$A$4:$A$503,(_calc!$E$722-500)))&amp;" – "&amp;IF(LEN(INDEX('Vendor COIs'!$B$4:$B$503,(_calc!$E$722-500)))=0,"",INDEX('Vendor COIs'!$B$4:$B$503,(_calc!$E$722-500)))))</f>
        <v/>
      </c>
      <c r="B720" s="46">
        <f>IF(_calc!$E$722="","",IF(_calc!$E$722&lt;=500,IF(ISNUMBER(INDEX('Our policies'!$J$4:$J$503,_calc!$E$722)),TEXT(INDEX('Our policies'!$J$4:$J$503,_calc!$E$722),"yyyy-mm-dd"),""),IF(ISNUMBER(INDEX('Vendor COIs'!$H$4:$H$503,(_calc!$E$722-500))),TEXT(INDEX('Vendor COIs'!$H$4:$H$503,(_calc!$E$722-500)),"yyyy-mm-dd"),"")))</f>
        <v/>
      </c>
      <c r="C720" s="46">
        <f>IF(_calc!$E$722="","",IF(_calc!$E$722&lt;=500,"Insurance","Certificate of insurance"))</f>
        <v/>
      </c>
      <c r="D720" s="46">
        <f>IF(_calc!$E$722="","",IF(_calc!$E$722&lt;=500,IF(ISNUMBER(INDEX('Our policies'!$I$4:$I$503,_calc!$E$722)),TEXT(INDEX('Our policies'!$I$4:$I$503,_calc!$E$722),"yyyy-mm-dd"),""),""))</f>
        <v/>
      </c>
      <c r="E720" s="46">
        <f>IF(_calc!$E$722="","",IF(_calc!$E$722&lt;=500,IF(LEN(INDEX('Our policies'!$Q$4:$Q$503,_calc!$E$722))=0,"",INDEX('Our policies'!$Q$4:$Q$503,_calc!$E$722)),"Medium"))</f>
        <v/>
      </c>
      <c r="F720" s="46">
        <f>IF(_calc!$E$722="","",IF(_calc!$E$722&lt;=500,TRIM(IF(LEN(IF(LEN(INDEX('Our policies'!$B$4:$B$503,_calc!$E$722))=0,"",INDEX('Our policies'!$B$4:$B$503,_calc!$E$722)))=0,"","Cover: "&amp;IF(LEN(INDEX('Our policies'!$B$4:$B$503,_calc!$E$722))=0,"",INDEX('Our policies'!$B$4:$B$503,_calc!$E$722))&amp;". ")&amp;IF(LEN(IF(LEN(INDEX('Our policies'!$C$4:$C$503,_calc!$E$722))=0,"",INDEX('Our policies'!$C$4:$C$503,_calc!$E$722)))=0,"","Insurer: "&amp;IF(LEN(INDEX('Our policies'!$C$4:$C$503,_calc!$E$722))=0,"",INDEX('Our policies'!$C$4:$C$503,_calc!$E$722))&amp;". ")&amp;IF(LEN(IF(LEN(INDEX('Our policies'!$D$4:$D$503,_calc!$E$722))=0,"",INDEX('Our policies'!$D$4:$D$503,_calc!$E$722)))=0,"","Broker: "&amp;IF(LEN(INDEX('Our policies'!$D$4:$D$503,_calc!$E$722))=0,"",INDEX('Our policies'!$D$4:$D$503,_calc!$E$722))&amp;". ")&amp;IF(LEN(IF(LEN(INDEX('Our policies'!$E$4:$E$503,_calc!$E$722))=0,"",INDEX('Our policies'!$E$4:$E$503,_calc!$E$722)))=0,"","Policy no.: "&amp;IF(LEN(INDEX('Our policies'!$E$4:$E$503,_calc!$E$722))=0,"",INDEX('Our policies'!$E$4:$E$503,_calc!$E$722))&amp;". ")&amp;IF(LEN(IF(LEN(INDEX('Our policies'!$S$4:$S$503,_calc!$E$722))=0,"",INDEX('Our policies'!$S$4:$S$503,_calc!$E$722)))=0,"",IF(LEN(INDEX('Our policies'!$S$4:$S$503,_calc!$E$722))=0,"",INDEX('Our policies'!$S$4:$S$503,_calc!$E$722)))),TRIM(IF(LEN(IF(LEN(INDEX('Vendor COIs'!$C$4:$C$503,(_calc!$E$722-500)))=0,"",INDEX('Vendor COIs'!$C$4:$C$503,(_calc!$E$722-500))))=0,"","Insurer: "&amp;IF(LEN(INDEX('Vendor COIs'!$C$4:$C$503,(_calc!$E$722-500)))=0,"",INDEX('Vendor COIs'!$C$4:$C$503,(_calc!$E$722-500)))&amp;". ")&amp;IF(LEN(IF(LEN(INDEX('Vendor COIs'!$D$4:$D$503,(_calc!$E$722-500)))=0,"",INDEX('Vendor COIs'!$D$4:$D$503,(_calc!$E$722-500))))=0,"","Policy no.: "&amp;IF(LEN(INDEX('Vendor COIs'!$D$4:$D$503,(_calc!$E$722-500)))=0,"",INDEX('Vendor COIs'!$D$4:$D$503,(_calc!$E$722-500)))&amp;". ")&amp;IF(LEN(IF(LEN(INDEX('Vendor COIs'!$F$4:$F$503,(_calc!$E$722-500)))=0,"",INDEX('Vendor COIs'!$F$4:$F$503,(_calc!$E$722-500))))=0,"","Meets minimum: "&amp;IF(LEN(INDEX('Vendor COIs'!$F$4:$F$503,(_calc!$E$722-500)))=0,"",INDEX('Vendor COIs'!$F$4:$F$503,(_calc!$E$722-500)))&amp;". ")&amp;IF(LEN(IF(LEN(INDEX('Vendor COIs'!$G$4:$G$503,(_calc!$E$722-500)))=0,"",INDEX('Vendor COIs'!$G$4:$G$503,(_calc!$E$722-500))))=0,"","Additional insured: "&amp;IF(LEN(INDEX('Vendor COIs'!$G$4:$G$503,(_calc!$E$722-500)))=0,"",INDEX('Vendor COIs'!$G$4:$G$503,(_calc!$E$722-500)))&amp;". ")&amp;IF(LEN(IF(LEN(INDEX('Vendor COIs'!$M$4:$M$503,(_calc!$E$722-500)))=0,"",INDEX('Vendor COIs'!$M$4:$M$503,(_calc!$E$722-500))))=0,"","Vendor contact: "&amp;IF(LEN(INDEX('Vendor COIs'!$M$4:$M$503,(_calc!$E$722-500)))=0,"",INDEX('Vendor COIs'!$M$4:$M$503,(_calc!$E$722-500)))&amp;". ")&amp;IF(LEN(IF(LEN(INDEX('Vendor COIs'!$P$4:$P$503,(_calc!$E$722-500)))=0,"",INDEX('Vendor COIs'!$P$4:$P$503,(_calc!$E$722-500))))=0,"",IF(LEN(INDEX('Vendor COIs'!$P$4:$P$503,(_calc!$E$722-500)))=0,"",INDEX('Vendor COIs'!$P$4:$P$503,(_calc!$E$722-500)))))))</f>
        <v/>
      </c>
      <c r="G720" s="46">
        <f>IF(_calc!$E$722="","",IF(_calc!$E$722&lt;=500,IF(LEN(INDEX('Our policies'!$R$4:$R$503,_calc!$E$722))=0,"",INDEX('Our policies'!$R$4:$R$503,_calc!$E$722)),IF(LEN(INDEX('Vendor COIs'!$O$4:$O$503,(_calc!$E$722-500)))=0,"",INDEX('Vendor COIs'!$O$4:$O$503,(_calc!$E$722-500)))))</f>
        <v/>
      </c>
      <c r="H720" s="46">
        <f>IF(_calc!$E$722="","",IF(_calc!$E$722&lt;=500,IF(LEN(INDEX('Our policies'!$G$4:$G$503,_calc!$E$722))=0,"",INDEX('Our policies'!$G$4:$G$503,_calc!$E$722)),""))</f>
        <v/>
      </c>
      <c r="I720" s="46">
        <f>IF(_calc!$E$722="","",IF(_calc!$E$722&lt;=500,IF(LEN(INDEX('Our policies'!$H$4:$H$503,_calc!$E$722))=0,"",INDEX('Our policies'!$H$4:$H$503,_calc!$E$722)),""))</f>
        <v/>
      </c>
      <c r="K720" s="46">
        <f>IF(_calc!$E$722="","",IF(_calc!$E$722&lt;=500,IF(LEN(INDEX('Our policies'!$P$4:$P$503,_calc!$E$722))=0,"",INDEX('Our policies'!$P$4:$P$503,_calc!$E$722)),IF(LEN(INDEX('Vendor COIs'!$N$4:$N$503,(_calc!$E$722-500)))=0,"",INDEX('Vendor COIs'!$N$4:$N$503,(_calc!$E$722-500)))))</f>
        <v/>
      </c>
    </row>
    <row r="721">
      <c r="A721" s="46">
        <f>IF(_calc!$E$723="","",IF(_calc!$E$723&lt;=500,IF(LEN(INDEX('Our policies'!$A$4:$A$503,_calc!$E$723))=0,"",INDEX('Our policies'!$A$4:$A$503,_calc!$E$723)),"COI – "&amp;IF(LEN(INDEX('Vendor COIs'!$A$4:$A$503,(_calc!$E$723-500)))=0,"",INDEX('Vendor COIs'!$A$4:$A$503,(_calc!$E$723-500)))&amp;" – "&amp;IF(LEN(INDEX('Vendor COIs'!$B$4:$B$503,(_calc!$E$723-500)))=0,"",INDEX('Vendor COIs'!$B$4:$B$503,(_calc!$E$723-500)))))</f>
        <v/>
      </c>
      <c r="B721" s="46">
        <f>IF(_calc!$E$723="","",IF(_calc!$E$723&lt;=500,IF(ISNUMBER(INDEX('Our policies'!$J$4:$J$503,_calc!$E$723)),TEXT(INDEX('Our policies'!$J$4:$J$503,_calc!$E$723),"yyyy-mm-dd"),""),IF(ISNUMBER(INDEX('Vendor COIs'!$H$4:$H$503,(_calc!$E$723-500))),TEXT(INDEX('Vendor COIs'!$H$4:$H$503,(_calc!$E$723-500)),"yyyy-mm-dd"),"")))</f>
        <v/>
      </c>
      <c r="C721" s="46">
        <f>IF(_calc!$E$723="","",IF(_calc!$E$723&lt;=500,"Insurance","Certificate of insurance"))</f>
        <v/>
      </c>
      <c r="D721" s="46">
        <f>IF(_calc!$E$723="","",IF(_calc!$E$723&lt;=500,IF(ISNUMBER(INDEX('Our policies'!$I$4:$I$503,_calc!$E$723)),TEXT(INDEX('Our policies'!$I$4:$I$503,_calc!$E$723),"yyyy-mm-dd"),""),""))</f>
        <v/>
      </c>
      <c r="E721" s="46">
        <f>IF(_calc!$E$723="","",IF(_calc!$E$723&lt;=500,IF(LEN(INDEX('Our policies'!$Q$4:$Q$503,_calc!$E$723))=0,"",INDEX('Our policies'!$Q$4:$Q$503,_calc!$E$723)),"Medium"))</f>
        <v/>
      </c>
      <c r="F721" s="46">
        <f>IF(_calc!$E$723="","",IF(_calc!$E$723&lt;=500,TRIM(IF(LEN(IF(LEN(INDEX('Our policies'!$B$4:$B$503,_calc!$E$723))=0,"",INDEX('Our policies'!$B$4:$B$503,_calc!$E$723)))=0,"","Cover: "&amp;IF(LEN(INDEX('Our policies'!$B$4:$B$503,_calc!$E$723))=0,"",INDEX('Our policies'!$B$4:$B$503,_calc!$E$723))&amp;". ")&amp;IF(LEN(IF(LEN(INDEX('Our policies'!$C$4:$C$503,_calc!$E$723))=0,"",INDEX('Our policies'!$C$4:$C$503,_calc!$E$723)))=0,"","Insurer: "&amp;IF(LEN(INDEX('Our policies'!$C$4:$C$503,_calc!$E$723))=0,"",INDEX('Our policies'!$C$4:$C$503,_calc!$E$723))&amp;". ")&amp;IF(LEN(IF(LEN(INDEX('Our policies'!$D$4:$D$503,_calc!$E$723))=0,"",INDEX('Our policies'!$D$4:$D$503,_calc!$E$723)))=0,"","Broker: "&amp;IF(LEN(INDEX('Our policies'!$D$4:$D$503,_calc!$E$723))=0,"",INDEX('Our policies'!$D$4:$D$503,_calc!$E$723))&amp;". ")&amp;IF(LEN(IF(LEN(INDEX('Our policies'!$E$4:$E$503,_calc!$E$723))=0,"",INDEX('Our policies'!$E$4:$E$503,_calc!$E$723)))=0,"","Policy no.: "&amp;IF(LEN(INDEX('Our policies'!$E$4:$E$503,_calc!$E$723))=0,"",INDEX('Our policies'!$E$4:$E$503,_calc!$E$723))&amp;". ")&amp;IF(LEN(IF(LEN(INDEX('Our policies'!$S$4:$S$503,_calc!$E$723))=0,"",INDEX('Our policies'!$S$4:$S$503,_calc!$E$723)))=0,"",IF(LEN(INDEX('Our policies'!$S$4:$S$503,_calc!$E$723))=0,"",INDEX('Our policies'!$S$4:$S$503,_calc!$E$723)))),TRIM(IF(LEN(IF(LEN(INDEX('Vendor COIs'!$C$4:$C$503,(_calc!$E$723-500)))=0,"",INDEX('Vendor COIs'!$C$4:$C$503,(_calc!$E$723-500))))=0,"","Insurer: "&amp;IF(LEN(INDEX('Vendor COIs'!$C$4:$C$503,(_calc!$E$723-500)))=0,"",INDEX('Vendor COIs'!$C$4:$C$503,(_calc!$E$723-500)))&amp;". ")&amp;IF(LEN(IF(LEN(INDEX('Vendor COIs'!$D$4:$D$503,(_calc!$E$723-500)))=0,"",INDEX('Vendor COIs'!$D$4:$D$503,(_calc!$E$723-500))))=0,"","Policy no.: "&amp;IF(LEN(INDEX('Vendor COIs'!$D$4:$D$503,(_calc!$E$723-500)))=0,"",INDEX('Vendor COIs'!$D$4:$D$503,(_calc!$E$723-500)))&amp;". ")&amp;IF(LEN(IF(LEN(INDEX('Vendor COIs'!$F$4:$F$503,(_calc!$E$723-500)))=0,"",INDEX('Vendor COIs'!$F$4:$F$503,(_calc!$E$723-500))))=0,"","Meets minimum: "&amp;IF(LEN(INDEX('Vendor COIs'!$F$4:$F$503,(_calc!$E$723-500)))=0,"",INDEX('Vendor COIs'!$F$4:$F$503,(_calc!$E$723-500)))&amp;". ")&amp;IF(LEN(IF(LEN(INDEX('Vendor COIs'!$G$4:$G$503,(_calc!$E$723-500)))=0,"",INDEX('Vendor COIs'!$G$4:$G$503,(_calc!$E$723-500))))=0,"","Additional insured: "&amp;IF(LEN(INDEX('Vendor COIs'!$G$4:$G$503,(_calc!$E$723-500)))=0,"",INDEX('Vendor COIs'!$G$4:$G$503,(_calc!$E$723-500)))&amp;". ")&amp;IF(LEN(IF(LEN(INDEX('Vendor COIs'!$M$4:$M$503,(_calc!$E$723-500)))=0,"",INDEX('Vendor COIs'!$M$4:$M$503,(_calc!$E$723-500))))=0,"","Vendor contact: "&amp;IF(LEN(INDEX('Vendor COIs'!$M$4:$M$503,(_calc!$E$723-500)))=0,"",INDEX('Vendor COIs'!$M$4:$M$503,(_calc!$E$723-500)))&amp;". ")&amp;IF(LEN(IF(LEN(INDEX('Vendor COIs'!$P$4:$P$503,(_calc!$E$723-500)))=0,"",INDEX('Vendor COIs'!$P$4:$P$503,(_calc!$E$723-500))))=0,"",IF(LEN(INDEX('Vendor COIs'!$P$4:$P$503,(_calc!$E$723-500)))=0,"",INDEX('Vendor COIs'!$P$4:$P$503,(_calc!$E$723-500)))))))</f>
        <v/>
      </c>
      <c r="G721" s="46">
        <f>IF(_calc!$E$723="","",IF(_calc!$E$723&lt;=500,IF(LEN(INDEX('Our policies'!$R$4:$R$503,_calc!$E$723))=0,"",INDEX('Our policies'!$R$4:$R$503,_calc!$E$723)),IF(LEN(INDEX('Vendor COIs'!$O$4:$O$503,(_calc!$E$723-500)))=0,"",INDEX('Vendor COIs'!$O$4:$O$503,(_calc!$E$723-500)))))</f>
        <v/>
      </c>
      <c r="H721" s="46">
        <f>IF(_calc!$E$723="","",IF(_calc!$E$723&lt;=500,IF(LEN(INDEX('Our policies'!$G$4:$G$503,_calc!$E$723))=0,"",INDEX('Our policies'!$G$4:$G$503,_calc!$E$723)),""))</f>
        <v/>
      </c>
      <c r="I721" s="46">
        <f>IF(_calc!$E$723="","",IF(_calc!$E$723&lt;=500,IF(LEN(INDEX('Our policies'!$H$4:$H$503,_calc!$E$723))=0,"",INDEX('Our policies'!$H$4:$H$503,_calc!$E$723)),""))</f>
        <v/>
      </c>
      <c r="K721" s="46">
        <f>IF(_calc!$E$723="","",IF(_calc!$E$723&lt;=500,IF(LEN(INDEX('Our policies'!$P$4:$P$503,_calc!$E$723))=0,"",INDEX('Our policies'!$P$4:$P$503,_calc!$E$723)),IF(LEN(INDEX('Vendor COIs'!$N$4:$N$503,(_calc!$E$723-500)))=0,"",INDEX('Vendor COIs'!$N$4:$N$503,(_calc!$E$723-500)))))</f>
        <v/>
      </c>
    </row>
    <row r="722">
      <c r="A722" s="46">
        <f>IF(_calc!$E$724="","",IF(_calc!$E$724&lt;=500,IF(LEN(INDEX('Our policies'!$A$4:$A$503,_calc!$E$724))=0,"",INDEX('Our policies'!$A$4:$A$503,_calc!$E$724)),"COI – "&amp;IF(LEN(INDEX('Vendor COIs'!$A$4:$A$503,(_calc!$E$724-500)))=0,"",INDEX('Vendor COIs'!$A$4:$A$503,(_calc!$E$724-500)))&amp;" – "&amp;IF(LEN(INDEX('Vendor COIs'!$B$4:$B$503,(_calc!$E$724-500)))=0,"",INDEX('Vendor COIs'!$B$4:$B$503,(_calc!$E$724-500)))))</f>
        <v/>
      </c>
      <c r="B722" s="46">
        <f>IF(_calc!$E$724="","",IF(_calc!$E$724&lt;=500,IF(ISNUMBER(INDEX('Our policies'!$J$4:$J$503,_calc!$E$724)),TEXT(INDEX('Our policies'!$J$4:$J$503,_calc!$E$724),"yyyy-mm-dd"),""),IF(ISNUMBER(INDEX('Vendor COIs'!$H$4:$H$503,(_calc!$E$724-500))),TEXT(INDEX('Vendor COIs'!$H$4:$H$503,(_calc!$E$724-500)),"yyyy-mm-dd"),"")))</f>
        <v/>
      </c>
      <c r="C722" s="46">
        <f>IF(_calc!$E$724="","",IF(_calc!$E$724&lt;=500,"Insurance","Certificate of insurance"))</f>
        <v/>
      </c>
      <c r="D722" s="46">
        <f>IF(_calc!$E$724="","",IF(_calc!$E$724&lt;=500,IF(ISNUMBER(INDEX('Our policies'!$I$4:$I$503,_calc!$E$724)),TEXT(INDEX('Our policies'!$I$4:$I$503,_calc!$E$724),"yyyy-mm-dd"),""),""))</f>
        <v/>
      </c>
      <c r="E722" s="46">
        <f>IF(_calc!$E$724="","",IF(_calc!$E$724&lt;=500,IF(LEN(INDEX('Our policies'!$Q$4:$Q$503,_calc!$E$724))=0,"",INDEX('Our policies'!$Q$4:$Q$503,_calc!$E$724)),"Medium"))</f>
        <v/>
      </c>
      <c r="F722" s="46">
        <f>IF(_calc!$E$724="","",IF(_calc!$E$724&lt;=500,TRIM(IF(LEN(IF(LEN(INDEX('Our policies'!$B$4:$B$503,_calc!$E$724))=0,"",INDEX('Our policies'!$B$4:$B$503,_calc!$E$724)))=0,"","Cover: "&amp;IF(LEN(INDEX('Our policies'!$B$4:$B$503,_calc!$E$724))=0,"",INDEX('Our policies'!$B$4:$B$503,_calc!$E$724))&amp;". ")&amp;IF(LEN(IF(LEN(INDEX('Our policies'!$C$4:$C$503,_calc!$E$724))=0,"",INDEX('Our policies'!$C$4:$C$503,_calc!$E$724)))=0,"","Insurer: "&amp;IF(LEN(INDEX('Our policies'!$C$4:$C$503,_calc!$E$724))=0,"",INDEX('Our policies'!$C$4:$C$503,_calc!$E$724))&amp;". ")&amp;IF(LEN(IF(LEN(INDEX('Our policies'!$D$4:$D$503,_calc!$E$724))=0,"",INDEX('Our policies'!$D$4:$D$503,_calc!$E$724)))=0,"","Broker: "&amp;IF(LEN(INDEX('Our policies'!$D$4:$D$503,_calc!$E$724))=0,"",INDEX('Our policies'!$D$4:$D$503,_calc!$E$724))&amp;". ")&amp;IF(LEN(IF(LEN(INDEX('Our policies'!$E$4:$E$503,_calc!$E$724))=0,"",INDEX('Our policies'!$E$4:$E$503,_calc!$E$724)))=0,"","Policy no.: "&amp;IF(LEN(INDEX('Our policies'!$E$4:$E$503,_calc!$E$724))=0,"",INDEX('Our policies'!$E$4:$E$503,_calc!$E$724))&amp;". ")&amp;IF(LEN(IF(LEN(INDEX('Our policies'!$S$4:$S$503,_calc!$E$724))=0,"",INDEX('Our policies'!$S$4:$S$503,_calc!$E$724)))=0,"",IF(LEN(INDEX('Our policies'!$S$4:$S$503,_calc!$E$724))=0,"",INDEX('Our policies'!$S$4:$S$503,_calc!$E$724)))),TRIM(IF(LEN(IF(LEN(INDEX('Vendor COIs'!$C$4:$C$503,(_calc!$E$724-500)))=0,"",INDEX('Vendor COIs'!$C$4:$C$503,(_calc!$E$724-500))))=0,"","Insurer: "&amp;IF(LEN(INDEX('Vendor COIs'!$C$4:$C$503,(_calc!$E$724-500)))=0,"",INDEX('Vendor COIs'!$C$4:$C$503,(_calc!$E$724-500)))&amp;". ")&amp;IF(LEN(IF(LEN(INDEX('Vendor COIs'!$D$4:$D$503,(_calc!$E$724-500)))=0,"",INDEX('Vendor COIs'!$D$4:$D$503,(_calc!$E$724-500))))=0,"","Policy no.: "&amp;IF(LEN(INDEX('Vendor COIs'!$D$4:$D$503,(_calc!$E$724-500)))=0,"",INDEX('Vendor COIs'!$D$4:$D$503,(_calc!$E$724-500)))&amp;". ")&amp;IF(LEN(IF(LEN(INDEX('Vendor COIs'!$F$4:$F$503,(_calc!$E$724-500)))=0,"",INDEX('Vendor COIs'!$F$4:$F$503,(_calc!$E$724-500))))=0,"","Meets minimum: "&amp;IF(LEN(INDEX('Vendor COIs'!$F$4:$F$503,(_calc!$E$724-500)))=0,"",INDEX('Vendor COIs'!$F$4:$F$503,(_calc!$E$724-500)))&amp;". ")&amp;IF(LEN(IF(LEN(INDEX('Vendor COIs'!$G$4:$G$503,(_calc!$E$724-500)))=0,"",INDEX('Vendor COIs'!$G$4:$G$503,(_calc!$E$724-500))))=0,"","Additional insured: "&amp;IF(LEN(INDEX('Vendor COIs'!$G$4:$G$503,(_calc!$E$724-500)))=0,"",INDEX('Vendor COIs'!$G$4:$G$503,(_calc!$E$724-500)))&amp;". ")&amp;IF(LEN(IF(LEN(INDEX('Vendor COIs'!$M$4:$M$503,(_calc!$E$724-500)))=0,"",INDEX('Vendor COIs'!$M$4:$M$503,(_calc!$E$724-500))))=0,"","Vendor contact: "&amp;IF(LEN(INDEX('Vendor COIs'!$M$4:$M$503,(_calc!$E$724-500)))=0,"",INDEX('Vendor COIs'!$M$4:$M$503,(_calc!$E$724-500)))&amp;". ")&amp;IF(LEN(IF(LEN(INDEX('Vendor COIs'!$P$4:$P$503,(_calc!$E$724-500)))=0,"",INDEX('Vendor COIs'!$P$4:$P$503,(_calc!$E$724-500))))=0,"",IF(LEN(INDEX('Vendor COIs'!$P$4:$P$503,(_calc!$E$724-500)))=0,"",INDEX('Vendor COIs'!$P$4:$P$503,(_calc!$E$724-500)))))))</f>
        <v/>
      </c>
      <c r="G722" s="46">
        <f>IF(_calc!$E$724="","",IF(_calc!$E$724&lt;=500,IF(LEN(INDEX('Our policies'!$R$4:$R$503,_calc!$E$724))=0,"",INDEX('Our policies'!$R$4:$R$503,_calc!$E$724)),IF(LEN(INDEX('Vendor COIs'!$O$4:$O$503,(_calc!$E$724-500)))=0,"",INDEX('Vendor COIs'!$O$4:$O$503,(_calc!$E$724-500)))))</f>
        <v/>
      </c>
      <c r="H722" s="46">
        <f>IF(_calc!$E$724="","",IF(_calc!$E$724&lt;=500,IF(LEN(INDEX('Our policies'!$G$4:$G$503,_calc!$E$724))=0,"",INDEX('Our policies'!$G$4:$G$503,_calc!$E$724)),""))</f>
        <v/>
      </c>
      <c r="I722" s="46">
        <f>IF(_calc!$E$724="","",IF(_calc!$E$724&lt;=500,IF(LEN(INDEX('Our policies'!$H$4:$H$503,_calc!$E$724))=0,"",INDEX('Our policies'!$H$4:$H$503,_calc!$E$724)),""))</f>
        <v/>
      </c>
      <c r="K722" s="46">
        <f>IF(_calc!$E$724="","",IF(_calc!$E$724&lt;=500,IF(LEN(INDEX('Our policies'!$P$4:$P$503,_calc!$E$724))=0,"",INDEX('Our policies'!$P$4:$P$503,_calc!$E$724)),IF(LEN(INDEX('Vendor COIs'!$N$4:$N$503,(_calc!$E$724-500)))=0,"",INDEX('Vendor COIs'!$N$4:$N$503,(_calc!$E$724-500)))))</f>
        <v/>
      </c>
    </row>
    <row r="723">
      <c r="A723" s="46">
        <f>IF(_calc!$E$725="","",IF(_calc!$E$725&lt;=500,IF(LEN(INDEX('Our policies'!$A$4:$A$503,_calc!$E$725))=0,"",INDEX('Our policies'!$A$4:$A$503,_calc!$E$725)),"COI – "&amp;IF(LEN(INDEX('Vendor COIs'!$A$4:$A$503,(_calc!$E$725-500)))=0,"",INDEX('Vendor COIs'!$A$4:$A$503,(_calc!$E$725-500)))&amp;" – "&amp;IF(LEN(INDEX('Vendor COIs'!$B$4:$B$503,(_calc!$E$725-500)))=0,"",INDEX('Vendor COIs'!$B$4:$B$503,(_calc!$E$725-500)))))</f>
        <v/>
      </c>
      <c r="B723" s="46">
        <f>IF(_calc!$E$725="","",IF(_calc!$E$725&lt;=500,IF(ISNUMBER(INDEX('Our policies'!$J$4:$J$503,_calc!$E$725)),TEXT(INDEX('Our policies'!$J$4:$J$503,_calc!$E$725),"yyyy-mm-dd"),""),IF(ISNUMBER(INDEX('Vendor COIs'!$H$4:$H$503,(_calc!$E$725-500))),TEXT(INDEX('Vendor COIs'!$H$4:$H$503,(_calc!$E$725-500)),"yyyy-mm-dd"),"")))</f>
        <v/>
      </c>
      <c r="C723" s="46">
        <f>IF(_calc!$E$725="","",IF(_calc!$E$725&lt;=500,"Insurance","Certificate of insurance"))</f>
        <v/>
      </c>
      <c r="D723" s="46">
        <f>IF(_calc!$E$725="","",IF(_calc!$E$725&lt;=500,IF(ISNUMBER(INDEX('Our policies'!$I$4:$I$503,_calc!$E$725)),TEXT(INDEX('Our policies'!$I$4:$I$503,_calc!$E$725),"yyyy-mm-dd"),""),""))</f>
        <v/>
      </c>
      <c r="E723" s="46">
        <f>IF(_calc!$E$725="","",IF(_calc!$E$725&lt;=500,IF(LEN(INDEX('Our policies'!$Q$4:$Q$503,_calc!$E$725))=0,"",INDEX('Our policies'!$Q$4:$Q$503,_calc!$E$725)),"Medium"))</f>
        <v/>
      </c>
      <c r="F723" s="46">
        <f>IF(_calc!$E$725="","",IF(_calc!$E$725&lt;=500,TRIM(IF(LEN(IF(LEN(INDEX('Our policies'!$B$4:$B$503,_calc!$E$725))=0,"",INDEX('Our policies'!$B$4:$B$503,_calc!$E$725)))=0,"","Cover: "&amp;IF(LEN(INDEX('Our policies'!$B$4:$B$503,_calc!$E$725))=0,"",INDEX('Our policies'!$B$4:$B$503,_calc!$E$725))&amp;". ")&amp;IF(LEN(IF(LEN(INDEX('Our policies'!$C$4:$C$503,_calc!$E$725))=0,"",INDEX('Our policies'!$C$4:$C$503,_calc!$E$725)))=0,"","Insurer: "&amp;IF(LEN(INDEX('Our policies'!$C$4:$C$503,_calc!$E$725))=0,"",INDEX('Our policies'!$C$4:$C$503,_calc!$E$725))&amp;". ")&amp;IF(LEN(IF(LEN(INDEX('Our policies'!$D$4:$D$503,_calc!$E$725))=0,"",INDEX('Our policies'!$D$4:$D$503,_calc!$E$725)))=0,"","Broker: "&amp;IF(LEN(INDEX('Our policies'!$D$4:$D$503,_calc!$E$725))=0,"",INDEX('Our policies'!$D$4:$D$503,_calc!$E$725))&amp;". ")&amp;IF(LEN(IF(LEN(INDEX('Our policies'!$E$4:$E$503,_calc!$E$725))=0,"",INDEX('Our policies'!$E$4:$E$503,_calc!$E$725)))=0,"","Policy no.: "&amp;IF(LEN(INDEX('Our policies'!$E$4:$E$503,_calc!$E$725))=0,"",INDEX('Our policies'!$E$4:$E$503,_calc!$E$725))&amp;". ")&amp;IF(LEN(IF(LEN(INDEX('Our policies'!$S$4:$S$503,_calc!$E$725))=0,"",INDEX('Our policies'!$S$4:$S$503,_calc!$E$725)))=0,"",IF(LEN(INDEX('Our policies'!$S$4:$S$503,_calc!$E$725))=0,"",INDEX('Our policies'!$S$4:$S$503,_calc!$E$725)))),TRIM(IF(LEN(IF(LEN(INDEX('Vendor COIs'!$C$4:$C$503,(_calc!$E$725-500)))=0,"",INDEX('Vendor COIs'!$C$4:$C$503,(_calc!$E$725-500))))=0,"","Insurer: "&amp;IF(LEN(INDEX('Vendor COIs'!$C$4:$C$503,(_calc!$E$725-500)))=0,"",INDEX('Vendor COIs'!$C$4:$C$503,(_calc!$E$725-500)))&amp;". ")&amp;IF(LEN(IF(LEN(INDEX('Vendor COIs'!$D$4:$D$503,(_calc!$E$725-500)))=0,"",INDEX('Vendor COIs'!$D$4:$D$503,(_calc!$E$725-500))))=0,"","Policy no.: "&amp;IF(LEN(INDEX('Vendor COIs'!$D$4:$D$503,(_calc!$E$725-500)))=0,"",INDEX('Vendor COIs'!$D$4:$D$503,(_calc!$E$725-500)))&amp;". ")&amp;IF(LEN(IF(LEN(INDEX('Vendor COIs'!$F$4:$F$503,(_calc!$E$725-500)))=0,"",INDEX('Vendor COIs'!$F$4:$F$503,(_calc!$E$725-500))))=0,"","Meets minimum: "&amp;IF(LEN(INDEX('Vendor COIs'!$F$4:$F$503,(_calc!$E$725-500)))=0,"",INDEX('Vendor COIs'!$F$4:$F$503,(_calc!$E$725-500)))&amp;". ")&amp;IF(LEN(IF(LEN(INDEX('Vendor COIs'!$G$4:$G$503,(_calc!$E$725-500)))=0,"",INDEX('Vendor COIs'!$G$4:$G$503,(_calc!$E$725-500))))=0,"","Additional insured: "&amp;IF(LEN(INDEX('Vendor COIs'!$G$4:$G$503,(_calc!$E$725-500)))=0,"",INDEX('Vendor COIs'!$G$4:$G$503,(_calc!$E$725-500)))&amp;". ")&amp;IF(LEN(IF(LEN(INDEX('Vendor COIs'!$M$4:$M$503,(_calc!$E$725-500)))=0,"",INDEX('Vendor COIs'!$M$4:$M$503,(_calc!$E$725-500))))=0,"","Vendor contact: "&amp;IF(LEN(INDEX('Vendor COIs'!$M$4:$M$503,(_calc!$E$725-500)))=0,"",INDEX('Vendor COIs'!$M$4:$M$503,(_calc!$E$725-500)))&amp;". ")&amp;IF(LEN(IF(LEN(INDEX('Vendor COIs'!$P$4:$P$503,(_calc!$E$725-500)))=0,"",INDEX('Vendor COIs'!$P$4:$P$503,(_calc!$E$725-500))))=0,"",IF(LEN(INDEX('Vendor COIs'!$P$4:$P$503,(_calc!$E$725-500)))=0,"",INDEX('Vendor COIs'!$P$4:$P$503,(_calc!$E$725-500)))))))</f>
        <v/>
      </c>
      <c r="G723" s="46">
        <f>IF(_calc!$E$725="","",IF(_calc!$E$725&lt;=500,IF(LEN(INDEX('Our policies'!$R$4:$R$503,_calc!$E$725))=0,"",INDEX('Our policies'!$R$4:$R$503,_calc!$E$725)),IF(LEN(INDEX('Vendor COIs'!$O$4:$O$503,(_calc!$E$725-500)))=0,"",INDEX('Vendor COIs'!$O$4:$O$503,(_calc!$E$725-500)))))</f>
        <v/>
      </c>
      <c r="H723" s="46">
        <f>IF(_calc!$E$725="","",IF(_calc!$E$725&lt;=500,IF(LEN(INDEX('Our policies'!$G$4:$G$503,_calc!$E$725))=0,"",INDEX('Our policies'!$G$4:$G$503,_calc!$E$725)),""))</f>
        <v/>
      </c>
      <c r="I723" s="46">
        <f>IF(_calc!$E$725="","",IF(_calc!$E$725&lt;=500,IF(LEN(INDEX('Our policies'!$H$4:$H$503,_calc!$E$725))=0,"",INDEX('Our policies'!$H$4:$H$503,_calc!$E$725)),""))</f>
        <v/>
      </c>
      <c r="K723" s="46">
        <f>IF(_calc!$E$725="","",IF(_calc!$E$725&lt;=500,IF(LEN(INDEX('Our policies'!$P$4:$P$503,_calc!$E$725))=0,"",INDEX('Our policies'!$P$4:$P$503,_calc!$E$725)),IF(LEN(INDEX('Vendor COIs'!$N$4:$N$503,(_calc!$E$725-500)))=0,"",INDEX('Vendor COIs'!$N$4:$N$503,(_calc!$E$725-500)))))</f>
        <v/>
      </c>
    </row>
    <row r="724">
      <c r="A724" s="46">
        <f>IF(_calc!$E$726="","",IF(_calc!$E$726&lt;=500,IF(LEN(INDEX('Our policies'!$A$4:$A$503,_calc!$E$726))=0,"",INDEX('Our policies'!$A$4:$A$503,_calc!$E$726)),"COI – "&amp;IF(LEN(INDEX('Vendor COIs'!$A$4:$A$503,(_calc!$E$726-500)))=0,"",INDEX('Vendor COIs'!$A$4:$A$503,(_calc!$E$726-500)))&amp;" – "&amp;IF(LEN(INDEX('Vendor COIs'!$B$4:$B$503,(_calc!$E$726-500)))=0,"",INDEX('Vendor COIs'!$B$4:$B$503,(_calc!$E$726-500)))))</f>
        <v/>
      </c>
      <c r="B724" s="46">
        <f>IF(_calc!$E$726="","",IF(_calc!$E$726&lt;=500,IF(ISNUMBER(INDEX('Our policies'!$J$4:$J$503,_calc!$E$726)),TEXT(INDEX('Our policies'!$J$4:$J$503,_calc!$E$726),"yyyy-mm-dd"),""),IF(ISNUMBER(INDEX('Vendor COIs'!$H$4:$H$503,(_calc!$E$726-500))),TEXT(INDEX('Vendor COIs'!$H$4:$H$503,(_calc!$E$726-500)),"yyyy-mm-dd"),"")))</f>
        <v/>
      </c>
      <c r="C724" s="46">
        <f>IF(_calc!$E$726="","",IF(_calc!$E$726&lt;=500,"Insurance","Certificate of insurance"))</f>
        <v/>
      </c>
      <c r="D724" s="46">
        <f>IF(_calc!$E$726="","",IF(_calc!$E$726&lt;=500,IF(ISNUMBER(INDEX('Our policies'!$I$4:$I$503,_calc!$E$726)),TEXT(INDEX('Our policies'!$I$4:$I$503,_calc!$E$726),"yyyy-mm-dd"),""),""))</f>
        <v/>
      </c>
      <c r="E724" s="46">
        <f>IF(_calc!$E$726="","",IF(_calc!$E$726&lt;=500,IF(LEN(INDEX('Our policies'!$Q$4:$Q$503,_calc!$E$726))=0,"",INDEX('Our policies'!$Q$4:$Q$503,_calc!$E$726)),"Medium"))</f>
        <v/>
      </c>
      <c r="F724" s="46">
        <f>IF(_calc!$E$726="","",IF(_calc!$E$726&lt;=500,TRIM(IF(LEN(IF(LEN(INDEX('Our policies'!$B$4:$B$503,_calc!$E$726))=0,"",INDEX('Our policies'!$B$4:$B$503,_calc!$E$726)))=0,"","Cover: "&amp;IF(LEN(INDEX('Our policies'!$B$4:$B$503,_calc!$E$726))=0,"",INDEX('Our policies'!$B$4:$B$503,_calc!$E$726))&amp;". ")&amp;IF(LEN(IF(LEN(INDEX('Our policies'!$C$4:$C$503,_calc!$E$726))=0,"",INDEX('Our policies'!$C$4:$C$503,_calc!$E$726)))=0,"","Insurer: "&amp;IF(LEN(INDEX('Our policies'!$C$4:$C$503,_calc!$E$726))=0,"",INDEX('Our policies'!$C$4:$C$503,_calc!$E$726))&amp;". ")&amp;IF(LEN(IF(LEN(INDEX('Our policies'!$D$4:$D$503,_calc!$E$726))=0,"",INDEX('Our policies'!$D$4:$D$503,_calc!$E$726)))=0,"","Broker: "&amp;IF(LEN(INDEX('Our policies'!$D$4:$D$503,_calc!$E$726))=0,"",INDEX('Our policies'!$D$4:$D$503,_calc!$E$726))&amp;". ")&amp;IF(LEN(IF(LEN(INDEX('Our policies'!$E$4:$E$503,_calc!$E$726))=0,"",INDEX('Our policies'!$E$4:$E$503,_calc!$E$726)))=0,"","Policy no.: "&amp;IF(LEN(INDEX('Our policies'!$E$4:$E$503,_calc!$E$726))=0,"",INDEX('Our policies'!$E$4:$E$503,_calc!$E$726))&amp;". ")&amp;IF(LEN(IF(LEN(INDEX('Our policies'!$S$4:$S$503,_calc!$E$726))=0,"",INDEX('Our policies'!$S$4:$S$503,_calc!$E$726)))=0,"",IF(LEN(INDEX('Our policies'!$S$4:$S$503,_calc!$E$726))=0,"",INDEX('Our policies'!$S$4:$S$503,_calc!$E$726)))),TRIM(IF(LEN(IF(LEN(INDEX('Vendor COIs'!$C$4:$C$503,(_calc!$E$726-500)))=0,"",INDEX('Vendor COIs'!$C$4:$C$503,(_calc!$E$726-500))))=0,"","Insurer: "&amp;IF(LEN(INDEX('Vendor COIs'!$C$4:$C$503,(_calc!$E$726-500)))=0,"",INDEX('Vendor COIs'!$C$4:$C$503,(_calc!$E$726-500)))&amp;". ")&amp;IF(LEN(IF(LEN(INDEX('Vendor COIs'!$D$4:$D$503,(_calc!$E$726-500)))=0,"",INDEX('Vendor COIs'!$D$4:$D$503,(_calc!$E$726-500))))=0,"","Policy no.: "&amp;IF(LEN(INDEX('Vendor COIs'!$D$4:$D$503,(_calc!$E$726-500)))=0,"",INDEX('Vendor COIs'!$D$4:$D$503,(_calc!$E$726-500)))&amp;". ")&amp;IF(LEN(IF(LEN(INDEX('Vendor COIs'!$F$4:$F$503,(_calc!$E$726-500)))=0,"",INDEX('Vendor COIs'!$F$4:$F$503,(_calc!$E$726-500))))=0,"","Meets minimum: "&amp;IF(LEN(INDEX('Vendor COIs'!$F$4:$F$503,(_calc!$E$726-500)))=0,"",INDEX('Vendor COIs'!$F$4:$F$503,(_calc!$E$726-500)))&amp;". ")&amp;IF(LEN(IF(LEN(INDEX('Vendor COIs'!$G$4:$G$503,(_calc!$E$726-500)))=0,"",INDEX('Vendor COIs'!$G$4:$G$503,(_calc!$E$726-500))))=0,"","Additional insured: "&amp;IF(LEN(INDEX('Vendor COIs'!$G$4:$G$503,(_calc!$E$726-500)))=0,"",INDEX('Vendor COIs'!$G$4:$G$503,(_calc!$E$726-500)))&amp;". ")&amp;IF(LEN(IF(LEN(INDEX('Vendor COIs'!$M$4:$M$503,(_calc!$E$726-500)))=0,"",INDEX('Vendor COIs'!$M$4:$M$503,(_calc!$E$726-500))))=0,"","Vendor contact: "&amp;IF(LEN(INDEX('Vendor COIs'!$M$4:$M$503,(_calc!$E$726-500)))=0,"",INDEX('Vendor COIs'!$M$4:$M$503,(_calc!$E$726-500)))&amp;". ")&amp;IF(LEN(IF(LEN(INDEX('Vendor COIs'!$P$4:$P$503,(_calc!$E$726-500)))=0,"",INDEX('Vendor COIs'!$P$4:$P$503,(_calc!$E$726-500))))=0,"",IF(LEN(INDEX('Vendor COIs'!$P$4:$P$503,(_calc!$E$726-500)))=0,"",INDEX('Vendor COIs'!$P$4:$P$503,(_calc!$E$726-500)))))))</f>
        <v/>
      </c>
      <c r="G724" s="46">
        <f>IF(_calc!$E$726="","",IF(_calc!$E$726&lt;=500,IF(LEN(INDEX('Our policies'!$R$4:$R$503,_calc!$E$726))=0,"",INDEX('Our policies'!$R$4:$R$503,_calc!$E$726)),IF(LEN(INDEX('Vendor COIs'!$O$4:$O$503,(_calc!$E$726-500)))=0,"",INDEX('Vendor COIs'!$O$4:$O$503,(_calc!$E$726-500)))))</f>
        <v/>
      </c>
      <c r="H724" s="46">
        <f>IF(_calc!$E$726="","",IF(_calc!$E$726&lt;=500,IF(LEN(INDEX('Our policies'!$G$4:$G$503,_calc!$E$726))=0,"",INDEX('Our policies'!$G$4:$G$503,_calc!$E$726)),""))</f>
        <v/>
      </c>
      <c r="I724" s="46">
        <f>IF(_calc!$E$726="","",IF(_calc!$E$726&lt;=500,IF(LEN(INDEX('Our policies'!$H$4:$H$503,_calc!$E$726))=0,"",INDEX('Our policies'!$H$4:$H$503,_calc!$E$726)),""))</f>
        <v/>
      </c>
      <c r="K724" s="46">
        <f>IF(_calc!$E$726="","",IF(_calc!$E$726&lt;=500,IF(LEN(INDEX('Our policies'!$P$4:$P$503,_calc!$E$726))=0,"",INDEX('Our policies'!$P$4:$P$503,_calc!$E$726)),IF(LEN(INDEX('Vendor COIs'!$N$4:$N$503,(_calc!$E$726-500)))=0,"",INDEX('Vendor COIs'!$N$4:$N$503,(_calc!$E$726-500)))))</f>
        <v/>
      </c>
    </row>
    <row r="725">
      <c r="A725" s="46">
        <f>IF(_calc!$E$727="","",IF(_calc!$E$727&lt;=500,IF(LEN(INDEX('Our policies'!$A$4:$A$503,_calc!$E$727))=0,"",INDEX('Our policies'!$A$4:$A$503,_calc!$E$727)),"COI – "&amp;IF(LEN(INDEX('Vendor COIs'!$A$4:$A$503,(_calc!$E$727-500)))=0,"",INDEX('Vendor COIs'!$A$4:$A$503,(_calc!$E$727-500)))&amp;" – "&amp;IF(LEN(INDEX('Vendor COIs'!$B$4:$B$503,(_calc!$E$727-500)))=0,"",INDEX('Vendor COIs'!$B$4:$B$503,(_calc!$E$727-500)))))</f>
        <v/>
      </c>
      <c r="B725" s="46">
        <f>IF(_calc!$E$727="","",IF(_calc!$E$727&lt;=500,IF(ISNUMBER(INDEX('Our policies'!$J$4:$J$503,_calc!$E$727)),TEXT(INDEX('Our policies'!$J$4:$J$503,_calc!$E$727),"yyyy-mm-dd"),""),IF(ISNUMBER(INDEX('Vendor COIs'!$H$4:$H$503,(_calc!$E$727-500))),TEXT(INDEX('Vendor COIs'!$H$4:$H$503,(_calc!$E$727-500)),"yyyy-mm-dd"),"")))</f>
        <v/>
      </c>
      <c r="C725" s="46">
        <f>IF(_calc!$E$727="","",IF(_calc!$E$727&lt;=500,"Insurance","Certificate of insurance"))</f>
        <v/>
      </c>
      <c r="D725" s="46">
        <f>IF(_calc!$E$727="","",IF(_calc!$E$727&lt;=500,IF(ISNUMBER(INDEX('Our policies'!$I$4:$I$503,_calc!$E$727)),TEXT(INDEX('Our policies'!$I$4:$I$503,_calc!$E$727),"yyyy-mm-dd"),""),""))</f>
        <v/>
      </c>
      <c r="E725" s="46">
        <f>IF(_calc!$E$727="","",IF(_calc!$E$727&lt;=500,IF(LEN(INDEX('Our policies'!$Q$4:$Q$503,_calc!$E$727))=0,"",INDEX('Our policies'!$Q$4:$Q$503,_calc!$E$727)),"Medium"))</f>
        <v/>
      </c>
      <c r="F725" s="46">
        <f>IF(_calc!$E$727="","",IF(_calc!$E$727&lt;=500,TRIM(IF(LEN(IF(LEN(INDEX('Our policies'!$B$4:$B$503,_calc!$E$727))=0,"",INDEX('Our policies'!$B$4:$B$503,_calc!$E$727)))=0,"","Cover: "&amp;IF(LEN(INDEX('Our policies'!$B$4:$B$503,_calc!$E$727))=0,"",INDEX('Our policies'!$B$4:$B$503,_calc!$E$727))&amp;". ")&amp;IF(LEN(IF(LEN(INDEX('Our policies'!$C$4:$C$503,_calc!$E$727))=0,"",INDEX('Our policies'!$C$4:$C$503,_calc!$E$727)))=0,"","Insurer: "&amp;IF(LEN(INDEX('Our policies'!$C$4:$C$503,_calc!$E$727))=0,"",INDEX('Our policies'!$C$4:$C$503,_calc!$E$727))&amp;". ")&amp;IF(LEN(IF(LEN(INDEX('Our policies'!$D$4:$D$503,_calc!$E$727))=0,"",INDEX('Our policies'!$D$4:$D$503,_calc!$E$727)))=0,"","Broker: "&amp;IF(LEN(INDEX('Our policies'!$D$4:$D$503,_calc!$E$727))=0,"",INDEX('Our policies'!$D$4:$D$503,_calc!$E$727))&amp;". ")&amp;IF(LEN(IF(LEN(INDEX('Our policies'!$E$4:$E$503,_calc!$E$727))=0,"",INDEX('Our policies'!$E$4:$E$503,_calc!$E$727)))=0,"","Policy no.: "&amp;IF(LEN(INDEX('Our policies'!$E$4:$E$503,_calc!$E$727))=0,"",INDEX('Our policies'!$E$4:$E$503,_calc!$E$727))&amp;". ")&amp;IF(LEN(IF(LEN(INDEX('Our policies'!$S$4:$S$503,_calc!$E$727))=0,"",INDEX('Our policies'!$S$4:$S$503,_calc!$E$727)))=0,"",IF(LEN(INDEX('Our policies'!$S$4:$S$503,_calc!$E$727))=0,"",INDEX('Our policies'!$S$4:$S$503,_calc!$E$727)))),TRIM(IF(LEN(IF(LEN(INDEX('Vendor COIs'!$C$4:$C$503,(_calc!$E$727-500)))=0,"",INDEX('Vendor COIs'!$C$4:$C$503,(_calc!$E$727-500))))=0,"","Insurer: "&amp;IF(LEN(INDEX('Vendor COIs'!$C$4:$C$503,(_calc!$E$727-500)))=0,"",INDEX('Vendor COIs'!$C$4:$C$503,(_calc!$E$727-500)))&amp;". ")&amp;IF(LEN(IF(LEN(INDEX('Vendor COIs'!$D$4:$D$503,(_calc!$E$727-500)))=0,"",INDEX('Vendor COIs'!$D$4:$D$503,(_calc!$E$727-500))))=0,"","Policy no.: "&amp;IF(LEN(INDEX('Vendor COIs'!$D$4:$D$503,(_calc!$E$727-500)))=0,"",INDEX('Vendor COIs'!$D$4:$D$503,(_calc!$E$727-500)))&amp;". ")&amp;IF(LEN(IF(LEN(INDEX('Vendor COIs'!$F$4:$F$503,(_calc!$E$727-500)))=0,"",INDEX('Vendor COIs'!$F$4:$F$503,(_calc!$E$727-500))))=0,"","Meets minimum: "&amp;IF(LEN(INDEX('Vendor COIs'!$F$4:$F$503,(_calc!$E$727-500)))=0,"",INDEX('Vendor COIs'!$F$4:$F$503,(_calc!$E$727-500)))&amp;". ")&amp;IF(LEN(IF(LEN(INDEX('Vendor COIs'!$G$4:$G$503,(_calc!$E$727-500)))=0,"",INDEX('Vendor COIs'!$G$4:$G$503,(_calc!$E$727-500))))=0,"","Additional insured: "&amp;IF(LEN(INDEX('Vendor COIs'!$G$4:$G$503,(_calc!$E$727-500)))=0,"",INDEX('Vendor COIs'!$G$4:$G$503,(_calc!$E$727-500)))&amp;". ")&amp;IF(LEN(IF(LEN(INDEX('Vendor COIs'!$M$4:$M$503,(_calc!$E$727-500)))=0,"",INDEX('Vendor COIs'!$M$4:$M$503,(_calc!$E$727-500))))=0,"","Vendor contact: "&amp;IF(LEN(INDEX('Vendor COIs'!$M$4:$M$503,(_calc!$E$727-500)))=0,"",INDEX('Vendor COIs'!$M$4:$M$503,(_calc!$E$727-500)))&amp;". ")&amp;IF(LEN(IF(LEN(INDEX('Vendor COIs'!$P$4:$P$503,(_calc!$E$727-500)))=0,"",INDEX('Vendor COIs'!$P$4:$P$503,(_calc!$E$727-500))))=0,"",IF(LEN(INDEX('Vendor COIs'!$P$4:$P$503,(_calc!$E$727-500)))=0,"",INDEX('Vendor COIs'!$P$4:$P$503,(_calc!$E$727-500)))))))</f>
        <v/>
      </c>
      <c r="G725" s="46">
        <f>IF(_calc!$E$727="","",IF(_calc!$E$727&lt;=500,IF(LEN(INDEX('Our policies'!$R$4:$R$503,_calc!$E$727))=0,"",INDEX('Our policies'!$R$4:$R$503,_calc!$E$727)),IF(LEN(INDEX('Vendor COIs'!$O$4:$O$503,(_calc!$E$727-500)))=0,"",INDEX('Vendor COIs'!$O$4:$O$503,(_calc!$E$727-500)))))</f>
        <v/>
      </c>
      <c r="H725" s="46">
        <f>IF(_calc!$E$727="","",IF(_calc!$E$727&lt;=500,IF(LEN(INDEX('Our policies'!$G$4:$G$503,_calc!$E$727))=0,"",INDEX('Our policies'!$G$4:$G$503,_calc!$E$727)),""))</f>
        <v/>
      </c>
      <c r="I725" s="46">
        <f>IF(_calc!$E$727="","",IF(_calc!$E$727&lt;=500,IF(LEN(INDEX('Our policies'!$H$4:$H$503,_calc!$E$727))=0,"",INDEX('Our policies'!$H$4:$H$503,_calc!$E$727)),""))</f>
        <v/>
      </c>
      <c r="K725" s="46">
        <f>IF(_calc!$E$727="","",IF(_calc!$E$727&lt;=500,IF(LEN(INDEX('Our policies'!$P$4:$P$503,_calc!$E$727))=0,"",INDEX('Our policies'!$P$4:$P$503,_calc!$E$727)),IF(LEN(INDEX('Vendor COIs'!$N$4:$N$503,(_calc!$E$727-500)))=0,"",INDEX('Vendor COIs'!$N$4:$N$503,(_calc!$E$727-500)))))</f>
        <v/>
      </c>
    </row>
    <row r="726">
      <c r="A726" s="46">
        <f>IF(_calc!$E$728="","",IF(_calc!$E$728&lt;=500,IF(LEN(INDEX('Our policies'!$A$4:$A$503,_calc!$E$728))=0,"",INDEX('Our policies'!$A$4:$A$503,_calc!$E$728)),"COI – "&amp;IF(LEN(INDEX('Vendor COIs'!$A$4:$A$503,(_calc!$E$728-500)))=0,"",INDEX('Vendor COIs'!$A$4:$A$503,(_calc!$E$728-500)))&amp;" – "&amp;IF(LEN(INDEX('Vendor COIs'!$B$4:$B$503,(_calc!$E$728-500)))=0,"",INDEX('Vendor COIs'!$B$4:$B$503,(_calc!$E$728-500)))))</f>
        <v/>
      </c>
      <c r="B726" s="46">
        <f>IF(_calc!$E$728="","",IF(_calc!$E$728&lt;=500,IF(ISNUMBER(INDEX('Our policies'!$J$4:$J$503,_calc!$E$728)),TEXT(INDEX('Our policies'!$J$4:$J$503,_calc!$E$728),"yyyy-mm-dd"),""),IF(ISNUMBER(INDEX('Vendor COIs'!$H$4:$H$503,(_calc!$E$728-500))),TEXT(INDEX('Vendor COIs'!$H$4:$H$503,(_calc!$E$728-500)),"yyyy-mm-dd"),"")))</f>
        <v/>
      </c>
      <c r="C726" s="46">
        <f>IF(_calc!$E$728="","",IF(_calc!$E$728&lt;=500,"Insurance","Certificate of insurance"))</f>
        <v/>
      </c>
      <c r="D726" s="46">
        <f>IF(_calc!$E$728="","",IF(_calc!$E$728&lt;=500,IF(ISNUMBER(INDEX('Our policies'!$I$4:$I$503,_calc!$E$728)),TEXT(INDEX('Our policies'!$I$4:$I$503,_calc!$E$728),"yyyy-mm-dd"),""),""))</f>
        <v/>
      </c>
      <c r="E726" s="46">
        <f>IF(_calc!$E$728="","",IF(_calc!$E$728&lt;=500,IF(LEN(INDEX('Our policies'!$Q$4:$Q$503,_calc!$E$728))=0,"",INDEX('Our policies'!$Q$4:$Q$503,_calc!$E$728)),"Medium"))</f>
        <v/>
      </c>
      <c r="F726" s="46">
        <f>IF(_calc!$E$728="","",IF(_calc!$E$728&lt;=500,TRIM(IF(LEN(IF(LEN(INDEX('Our policies'!$B$4:$B$503,_calc!$E$728))=0,"",INDEX('Our policies'!$B$4:$B$503,_calc!$E$728)))=0,"","Cover: "&amp;IF(LEN(INDEX('Our policies'!$B$4:$B$503,_calc!$E$728))=0,"",INDEX('Our policies'!$B$4:$B$503,_calc!$E$728))&amp;". ")&amp;IF(LEN(IF(LEN(INDEX('Our policies'!$C$4:$C$503,_calc!$E$728))=0,"",INDEX('Our policies'!$C$4:$C$503,_calc!$E$728)))=0,"","Insurer: "&amp;IF(LEN(INDEX('Our policies'!$C$4:$C$503,_calc!$E$728))=0,"",INDEX('Our policies'!$C$4:$C$503,_calc!$E$728))&amp;". ")&amp;IF(LEN(IF(LEN(INDEX('Our policies'!$D$4:$D$503,_calc!$E$728))=0,"",INDEX('Our policies'!$D$4:$D$503,_calc!$E$728)))=0,"","Broker: "&amp;IF(LEN(INDEX('Our policies'!$D$4:$D$503,_calc!$E$728))=0,"",INDEX('Our policies'!$D$4:$D$503,_calc!$E$728))&amp;". ")&amp;IF(LEN(IF(LEN(INDEX('Our policies'!$E$4:$E$503,_calc!$E$728))=0,"",INDEX('Our policies'!$E$4:$E$503,_calc!$E$728)))=0,"","Policy no.: "&amp;IF(LEN(INDEX('Our policies'!$E$4:$E$503,_calc!$E$728))=0,"",INDEX('Our policies'!$E$4:$E$503,_calc!$E$728))&amp;". ")&amp;IF(LEN(IF(LEN(INDEX('Our policies'!$S$4:$S$503,_calc!$E$728))=0,"",INDEX('Our policies'!$S$4:$S$503,_calc!$E$728)))=0,"",IF(LEN(INDEX('Our policies'!$S$4:$S$503,_calc!$E$728))=0,"",INDEX('Our policies'!$S$4:$S$503,_calc!$E$728)))),TRIM(IF(LEN(IF(LEN(INDEX('Vendor COIs'!$C$4:$C$503,(_calc!$E$728-500)))=0,"",INDEX('Vendor COIs'!$C$4:$C$503,(_calc!$E$728-500))))=0,"","Insurer: "&amp;IF(LEN(INDEX('Vendor COIs'!$C$4:$C$503,(_calc!$E$728-500)))=0,"",INDEX('Vendor COIs'!$C$4:$C$503,(_calc!$E$728-500)))&amp;". ")&amp;IF(LEN(IF(LEN(INDEX('Vendor COIs'!$D$4:$D$503,(_calc!$E$728-500)))=0,"",INDEX('Vendor COIs'!$D$4:$D$503,(_calc!$E$728-500))))=0,"","Policy no.: "&amp;IF(LEN(INDEX('Vendor COIs'!$D$4:$D$503,(_calc!$E$728-500)))=0,"",INDEX('Vendor COIs'!$D$4:$D$503,(_calc!$E$728-500)))&amp;". ")&amp;IF(LEN(IF(LEN(INDEX('Vendor COIs'!$F$4:$F$503,(_calc!$E$728-500)))=0,"",INDEX('Vendor COIs'!$F$4:$F$503,(_calc!$E$728-500))))=0,"","Meets minimum: "&amp;IF(LEN(INDEX('Vendor COIs'!$F$4:$F$503,(_calc!$E$728-500)))=0,"",INDEX('Vendor COIs'!$F$4:$F$503,(_calc!$E$728-500)))&amp;". ")&amp;IF(LEN(IF(LEN(INDEX('Vendor COIs'!$G$4:$G$503,(_calc!$E$728-500)))=0,"",INDEX('Vendor COIs'!$G$4:$G$503,(_calc!$E$728-500))))=0,"","Additional insured: "&amp;IF(LEN(INDEX('Vendor COIs'!$G$4:$G$503,(_calc!$E$728-500)))=0,"",INDEX('Vendor COIs'!$G$4:$G$503,(_calc!$E$728-500)))&amp;". ")&amp;IF(LEN(IF(LEN(INDEX('Vendor COIs'!$M$4:$M$503,(_calc!$E$728-500)))=0,"",INDEX('Vendor COIs'!$M$4:$M$503,(_calc!$E$728-500))))=0,"","Vendor contact: "&amp;IF(LEN(INDEX('Vendor COIs'!$M$4:$M$503,(_calc!$E$728-500)))=0,"",INDEX('Vendor COIs'!$M$4:$M$503,(_calc!$E$728-500)))&amp;". ")&amp;IF(LEN(IF(LEN(INDEX('Vendor COIs'!$P$4:$P$503,(_calc!$E$728-500)))=0,"",INDEX('Vendor COIs'!$P$4:$P$503,(_calc!$E$728-500))))=0,"",IF(LEN(INDEX('Vendor COIs'!$P$4:$P$503,(_calc!$E$728-500)))=0,"",INDEX('Vendor COIs'!$P$4:$P$503,(_calc!$E$728-500)))))))</f>
        <v/>
      </c>
      <c r="G726" s="46">
        <f>IF(_calc!$E$728="","",IF(_calc!$E$728&lt;=500,IF(LEN(INDEX('Our policies'!$R$4:$R$503,_calc!$E$728))=0,"",INDEX('Our policies'!$R$4:$R$503,_calc!$E$728)),IF(LEN(INDEX('Vendor COIs'!$O$4:$O$503,(_calc!$E$728-500)))=0,"",INDEX('Vendor COIs'!$O$4:$O$503,(_calc!$E$728-500)))))</f>
        <v/>
      </c>
      <c r="H726" s="46">
        <f>IF(_calc!$E$728="","",IF(_calc!$E$728&lt;=500,IF(LEN(INDEX('Our policies'!$G$4:$G$503,_calc!$E$728))=0,"",INDEX('Our policies'!$G$4:$G$503,_calc!$E$728)),""))</f>
        <v/>
      </c>
      <c r="I726" s="46">
        <f>IF(_calc!$E$728="","",IF(_calc!$E$728&lt;=500,IF(LEN(INDEX('Our policies'!$H$4:$H$503,_calc!$E$728))=0,"",INDEX('Our policies'!$H$4:$H$503,_calc!$E$728)),""))</f>
        <v/>
      </c>
      <c r="K726" s="46">
        <f>IF(_calc!$E$728="","",IF(_calc!$E$728&lt;=500,IF(LEN(INDEX('Our policies'!$P$4:$P$503,_calc!$E$728))=0,"",INDEX('Our policies'!$P$4:$P$503,_calc!$E$728)),IF(LEN(INDEX('Vendor COIs'!$N$4:$N$503,(_calc!$E$728-500)))=0,"",INDEX('Vendor COIs'!$N$4:$N$503,(_calc!$E$728-500)))))</f>
        <v/>
      </c>
    </row>
    <row r="727">
      <c r="A727" s="46">
        <f>IF(_calc!$E$729="","",IF(_calc!$E$729&lt;=500,IF(LEN(INDEX('Our policies'!$A$4:$A$503,_calc!$E$729))=0,"",INDEX('Our policies'!$A$4:$A$503,_calc!$E$729)),"COI – "&amp;IF(LEN(INDEX('Vendor COIs'!$A$4:$A$503,(_calc!$E$729-500)))=0,"",INDEX('Vendor COIs'!$A$4:$A$503,(_calc!$E$729-500)))&amp;" – "&amp;IF(LEN(INDEX('Vendor COIs'!$B$4:$B$503,(_calc!$E$729-500)))=0,"",INDEX('Vendor COIs'!$B$4:$B$503,(_calc!$E$729-500)))))</f>
        <v/>
      </c>
      <c r="B727" s="46">
        <f>IF(_calc!$E$729="","",IF(_calc!$E$729&lt;=500,IF(ISNUMBER(INDEX('Our policies'!$J$4:$J$503,_calc!$E$729)),TEXT(INDEX('Our policies'!$J$4:$J$503,_calc!$E$729),"yyyy-mm-dd"),""),IF(ISNUMBER(INDEX('Vendor COIs'!$H$4:$H$503,(_calc!$E$729-500))),TEXT(INDEX('Vendor COIs'!$H$4:$H$503,(_calc!$E$729-500)),"yyyy-mm-dd"),"")))</f>
        <v/>
      </c>
      <c r="C727" s="46">
        <f>IF(_calc!$E$729="","",IF(_calc!$E$729&lt;=500,"Insurance","Certificate of insurance"))</f>
        <v/>
      </c>
      <c r="D727" s="46">
        <f>IF(_calc!$E$729="","",IF(_calc!$E$729&lt;=500,IF(ISNUMBER(INDEX('Our policies'!$I$4:$I$503,_calc!$E$729)),TEXT(INDEX('Our policies'!$I$4:$I$503,_calc!$E$729),"yyyy-mm-dd"),""),""))</f>
        <v/>
      </c>
      <c r="E727" s="46">
        <f>IF(_calc!$E$729="","",IF(_calc!$E$729&lt;=500,IF(LEN(INDEX('Our policies'!$Q$4:$Q$503,_calc!$E$729))=0,"",INDEX('Our policies'!$Q$4:$Q$503,_calc!$E$729)),"Medium"))</f>
        <v/>
      </c>
      <c r="F727" s="46">
        <f>IF(_calc!$E$729="","",IF(_calc!$E$729&lt;=500,TRIM(IF(LEN(IF(LEN(INDEX('Our policies'!$B$4:$B$503,_calc!$E$729))=0,"",INDEX('Our policies'!$B$4:$B$503,_calc!$E$729)))=0,"","Cover: "&amp;IF(LEN(INDEX('Our policies'!$B$4:$B$503,_calc!$E$729))=0,"",INDEX('Our policies'!$B$4:$B$503,_calc!$E$729))&amp;". ")&amp;IF(LEN(IF(LEN(INDEX('Our policies'!$C$4:$C$503,_calc!$E$729))=0,"",INDEX('Our policies'!$C$4:$C$503,_calc!$E$729)))=0,"","Insurer: "&amp;IF(LEN(INDEX('Our policies'!$C$4:$C$503,_calc!$E$729))=0,"",INDEX('Our policies'!$C$4:$C$503,_calc!$E$729))&amp;". ")&amp;IF(LEN(IF(LEN(INDEX('Our policies'!$D$4:$D$503,_calc!$E$729))=0,"",INDEX('Our policies'!$D$4:$D$503,_calc!$E$729)))=0,"","Broker: "&amp;IF(LEN(INDEX('Our policies'!$D$4:$D$503,_calc!$E$729))=0,"",INDEX('Our policies'!$D$4:$D$503,_calc!$E$729))&amp;". ")&amp;IF(LEN(IF(LEN(INDEX('Our policies'!$E$4:$E$503,_calc!$E$729))=0,"",INDEX('Our policies'!$E$4:$E$503,_calc!$E$729)))=0,"","Policy no.: "&amp;IF(LEN(INDEX('Our policies'!$E$4:$E$503,_calc!$E$729))=0,"",INDEX('Our policies'!$E$4:$E$503,_calc!$E$729))&amp;". ")&amp;IF(LEN(IF(LEN(INDEX('Our policies'!$S$4:$S$503,_calc!$E$729))=0,"",INDEX('Our policies'!$S$4:$S$503,_calc!$E$729)))=0,"",IF(LEN(INDEX('Our policies'!$S$4:$S$503,_calc!$E$729))=0,"",INDEX('Our policies'!$S$4:$S$503,_calc!$E$729)))),TRIM(IF(LEN(IF(LEN(INDEX('Vendor COIs'!$C$4:$C$503,(_calc!$E$729-500)))=0,"",INDEX('Vendor COIs'!$C$4:$C$503,(_calc!$E$729-500))))=0,"","Insurer: "&amp;IF(LEN(INDEX('Vendor COIs'!$C$4:$C$503,(_calc!$E$729-500)))=0,"",INDEX('Vendor COIs'!$C$4:$C$503,(_calc!$E$729-500)))&amp;". ")&amp;IF(LEN(IF(LEN(INDEX('Vendor COIs'!$D$4:$D$503,(_calc!$E$729-500)))=0,"",INDEX('Vendor COIs'!$D$4:$D$503,(_calc!$E$729-500))))=0,"","Policy no.: "&amp;IF(LEN(INDEX('Vendor COIs'!$D$4:$D$503,(_calc!$E$729-500)))=0,"",INDEX('Vendor COIs'!$D$4:$D$503,(_calc!$E$729-500)))&amp;". ")&amp;IF(LEN(IF(LEN(INDEX('Vendor COIs'!$F$4:$F$503,(_calc!$E$729-500)))=0,"",INDEX('Vendor COIs'!$F$4:$F$503,(_calc!$E$729-500))))=0,"","Meets minimum: "&amp;IF(LEN(INDEX('Vendor COIs'!$F$4:$F$503,(_calc!$E$729-500)))=0,"",INDEX('Vendor COIs'!$F$4:$F$503,(_calc!$E$729-500)))&amp;". ")&amp;IF(LEN(IF(LEN(INDEX('Vendor COIs'!$G$4:$G$503,(_calc!$E$729-500)))=0,"",INDEX('Vendor COIs'!$G$4:$G$503,(_calc!$E$729-500))))=0,"","Additional insured: "&amp;IF(LEN(INDEX('Vendor COIs'!$G$4:$G$503,(_calc!$E$729-500)))=0,"",INDEX('Vendor COIs'!$G$4:$G$503,(_calc!$E$729-500)))&amp;". ")&amp;IF(LEN(IF(LEN(INDEX('Vendor COIs'!$M$4:$M$503,(_calc!$E$729-500)))=0,"",INDEX('Vendor COIs'!$M$4:$M$503,(_calc!$E$729-500))))=0,"","Vendor contact: "&amp;IF(LEN(INDEX('Vendor COIs'!$M$4:$M$503,(_calc!$E$729-500)))=0,"",INDEX('Vendor COIs'!$M$4:$M$503,(_calc!$E$729-500)))&amp;". ")&amp;IF(LEN(IF(LEN(INDEX('Vendor COIs'!$P$4:$P$503,(_calc!$E$729-500)))=0,"",INDEX('Vendor COIs'!$P$4:$P$503,(_calc!$E$729-500))))=0,"",IF(LEN(INDEX('Vendor COIs'!$P$4:$P$503,(_calc!$E$729-500)))=0,"",INDEX('Vendor COIs'!$P$4:$P$503,(_calc!$E$729-500)))))))</f>
        <v/>
      </c>
      <c r="G727" s="46">
        <f>IF(_calc!$E$729="","",IF(_calc!$E$729&lt;=500,IF(LEN(INDEX('Our policies'!$R$4:$R$503,_calc!$E$729))=0,"",INDEX('Our policies'!$R$4:$R$503,_calc!$E$729)),IF(LEN(INDEX('Vendor COIs'!$O$4:$O$503,(_calc!$E$729-500)))=0,"",INDEX('Vendor COIs'!$O$4:$O$503,(_calc!$E$729-500)))))</f>
        <v/>
      </c>
      <c r="H727" s="46">
        <f>IF(_calc!$E$729="","",IF(_calc!$E$729&lt;=500,IF(LEN(INDEX('Our policies'!$G$4:$G$503,_calc!$E$729))=0,"",INDEX('Our policies'!$G$4:$G$503,_calc!$E$729)),""))</f>
        <v/>
      </c>
      <c r="I727" s="46">
        <f>IF(_calc!$E$729="","",IF(_calc!$E$729&lt;=500,IF(LEN(INDEX('Our policies'!$H$4:$H$503,_calc!$E$729))=0,"",INDEX('Our policies'!$H$4:$H$503,_calc!$E$729)),""))</f>
        <v/>
      </c>
      <c r="K727" s="46">
        <f>IF(_calc!$E$729="","",IF(_calc!$E$729&lt;=500,IF(LEN(INDEX('Our policies'!$P$4:$P$503,_calc!$E$729))=0,"",INDEX('Our policies'!$P$4:$P$503,_calc!$E$729)),IF(LEN(INDEX('Vendor COIs'!$N$4:$N$503,(_calc!$E$729-500)))=0,"",INDEX('Vendor COIs'!$N$4:$N$503,(_calc!$E$729-500)))))</f>
        <v/>
      </c>
    </row>
    <row r="728">
      <c r="A728" s="46">
        <f>IF(_calc!$E$730="","",IF(_calc!$E$730&lt;=500,IF(LEN(INDEX('Our policies'!$A$4:$A$503,_calc!$E$730))=0,"",INDEX('Our policies'!$A$4:$A$503,_calc!$E$730)),"COI – "&amp;IF(LEN(INDEX('Vendor COIs'!$A$4:$A$503,(_calc!$E$730-500)))=0,"",INDEX('Vendor COIs'!$A$4:$A$503,(_calc!$E$730-500)))&amp;" – "&amp;IF(LEN(INDEX('Vendor COIs'!$B$4:$B$503,(_calc!$E$730-500)))=0,"",INDEX('Vendor COIs'!$B$4:$B$503,(_calc!$E$730-500)))))</f>
        <v/>
      </c>
      <c r="B728" s="46">
        <f>IF(_calc!$E$730="","",IF(_calc!$E$730&lt;=500,IF(ISNUMBER(INDEX('Our policies'!$J$4:$J$503,_calc!$E$730)),TEXT(INDEX('Our policies'!$J$4:$J$503,_calc!$E$730),"yyyy-mm-dd"),""),IF(ISNUMBER(INDEX('Vendor COIs'!$H$4:$H$503,(_calc!$E$730-500))),TEXT(INDEX('Vendor COIs'!$H$4:$H$503,(_calc!$E$730-500)),"yyyy-mm-dd"),"")))</f>
        <v/>
      </c>
      <c r="C728" s="46">
        <f>IF(_calc!$E$730="","",IF(_calc!$E$730&lt;=500,"Insurance","Certificate of insurance"))</f>
        <v/>
      </c>
      <c r="D728" s="46">
        <f>IF(_calc!$E$730="","",IF(_calc!$E$730&lt;=500,IF(ISNUMBER(INDEX('Our policies'!$I$4:$I$503,_calc!$E$730)),TEXT(INDEX('Our policies'!$I$4:$I$503,_calc!$E$730),"yyyy-mm-dd"),""),""))</f>
        <v/>
      </c>
      <c r="E728" s="46">
        <f>IF(_calc!$E$730="","",IF(_calc!$E$730&lt;=500,IF(LEN(INDEX('Our policies'!$Q$4:$Q$503,_calc!$E$730))=0,"",INDEX('Our policies'!$Q$4:$Q$503,_calc!$E$730)),"Medium"))</f>
        <v/>
      </c>
      <c r="F728" s="46">
        <f>IF(_calc!$E$730="","",IF(_calc!$E$730&lt;=500,TRIM(IF(LEN(IF(LEN(INDEX('Our policies'!$B$4:$B$503,_calc!$E$730))=0,"",INDEX('Our policies'!$B$4:$B$503,_calc!$E$730)))=0,"","Cover: "&amp;IF(LEN(INDEX('Our policies'!$B$4:$B$503,_calc!$E$730))=0,"",INDEX('Our policies'!$B$4:$B$503,_calc!$E$730))&amp;". ")&amp;IF(LEN(IF(LEN(INDEX('Our policies'!$C$4:$C$503,_calc!$E$730))=0,"",INDEX('Our policies'!$C$4:$C$503,_calc!$E$730)))=0,"","Insurer: "&amp;IF(LEN(INDEX('Our policies'!$C$4:$C$503,_calc!$E$730))=0,"",INDEX('Our policies'!$C$4:$C$503,_calc!$E$730))&amp;". ")&amp;IF(LEN(IF(LEN(INDEX('Our policies'!$D$4:$D$503,_calc!$E$730))=0,"",INDEX('Our policies'!$D$4:$D$503,_calc!$E$730)))=0,"","Broker: "&amp;IF(LEN(INDEX('Our policies'!$D$4:$D$503,_calc!$E$730))=0,"",INDEX('Our policies'!$D$4:$D$503,_calc!$E$730))&amp;". ")&amp;IF(LEN(IF(LEN(INDEX('Our policies'!$E$4:$E$503,_calc!$E$730))=0,"",INDEX('Our policies'!$E$4:$E$503,_calc!$E$730)))=0,"","Policy no.: "&amp;IF(LEN(INDEX('Our policies'!$E$4:$E$503,_calc!$E$730))=0,"",INDEX('Our policies'!$E$4:$E$503,_calc!$E$730))&amp;". ")&amp;IF(LEN(IF(LEN(INDEX('Our policies'!$S$4:$S$503,_calc!$E$730))=0,"",INDEX('Our policies'!$S$4:$S$503,_calc!$E$730)))=0,"",IF(LEN(INDEX('Our policies'!$S$4:$S$503,_calc!$E$730))=0,"",INDEX('Our policies'!$S$4:$S$503,_calc!$E$730)))),TRIM(IF(LEN(IF(LEN(INDEX('Vendor COIs'!$C$4:$C$503,(_calc!$E$730-500)))=0,"",INDEX('Vendor COIs'!$C$4:$C$503,(_calc!$E$730-500))))=0,"","Insurer: "&amp;IF(LEN(INDEX('Vendor COIs'!$C$4:$C$503,(_calc!$E$730-500)))=0,"",INDEX('Vendor COIs'!$C$4:$C$503,(_calc!$E$730-500)))&amp;". ")&amp;IF(LEN(IF(LEN(INDEX('Vendor COIs'!$D$4:$D$503,(_calc!$E$730-500)))=0,"",INDEX('Vendor COIs'!$D$4:$D$503,(_calc!$E$730-500))))=0,"","Policy no.: "&amp;IF(LEN(INDEX('Vendor COIs'!$D$4:$D$503,(_calc!$E$730-500)))=0,"",INDEX('Vendor COIs'!$D$4:$D$503,(_calc!$E$730-500)))&amp;". ")&amp;IF(LEN(IF(LEN(INDEX('Vendor COIs'!$F$4:$F$503,(_calc!$E$730-500)))=0,"",INDEX('Vendor COIs'!$F$4:$F$503,(_calc!$E$730-500))))=0,"","Meets minimum: "&amp;IF(LEN(INDEX('Vendor COIs'!$F$4:$F$503,(_calc!$E$730-500)))=0,"",INDEX('Vendor COIs'!$F$4:$F$503,(_calc!$E$730-500)))&amp;". ")&amp;IF(LEN(IF(LEN(INDEX('Vendor COIs'!$G$4:$G$503,(_calc!$E$730-500)))=0,"",INDEX('Vendor COIs'!$G$4:$G$503,(_calc!$E$730-500))))=0,"","Additional insured: "&amp;IF(LEN(INDEX('Vendor COIs'!$G$4:$G$503,(_calc!$E$730-500)))=0,"",INDEX('Vendor COIs'!$G$4:$G$503,(_calc!$E$730-500)))&amp;". ")&amp;IF(LEN(IF(LEN(INDEX('Vendor COIs'!$M$4:$M$503,(_calc!$E$730-500)))=0,"",INDEX('Vendor COIs'!$M$4:$M$503,(_calc!$E$730-500))))=0,"","Vendor contact: "&amp;IF(LEN(INDEX('Vendor COIs'!$M$4:$M$503,(_calc!$E$730-500)))=0,"",INDEX('Vendor COIs'!$M$4:$M$503,(_calc!$E$730-500)))&amp;". ")&amp;IF(LEN(IF(LEN(INDEX('Vendor COIs'!$P$4:$P$503,(_calc!$E$730-500)))=0,"",INDEX('Vendor COIs'!$P$4:$P$503,(_calc!$E$730-500))))=0,"",IF(LEN(INDEX('Vendor COIs'!$P$4:$P$503,(_calc!$E$730-500)))=0,"",INDEX('Vendor COIs'!$P$4:$P$503,(_calc!$E$730-500)))))))</f>
        <v/>
      </c>
      <c r="G728" s="46">
        <f>IF(_calc!$E$730="","",IF(_calc!$E$730&lt;=500,IF(LEN(INDEX('Our policies'!$R$4:$R$503,_calc!$E$730))=0,"",INDEX('Our policies'!$R$4:$R$503,_calc!$E$730)),IF(LEN(INDEX('Vendor COIs'!$O$4:$O$503,(_calc!$E$730-500)))=0,"",INDEX('Vendor COIs'!$O$4:$O$503,(_calc!$E$730-500)))))</f>
        <v/>
      </c>
      <c r="H728" s="46">
        <f>IF(_calc!$E$730="","",IF(_calc!$E$730&lt;=500,IF(LEN(INDEX('Our policies'!$G$4:$G$503,_calc!$E$730))=0,"",INDEX('Our policies'!$G$4:$G$503,_calc!$E$730)),""))</f>
        <v/>
      </c>
      <c r="I728" s="46">
        <f>IF(_calc!$E$730="","",IF(_calc!$E$730&lt;=500,IF(LEN(INDEX('Our policies'!$H$4:$H$503,_calc!$E$730))=0,"",INDEX('Our policies'!$H$4:$H$503,_calc!$E$730)),""))</f>
        <v/>
      </c>
      <c r="K728" s="46">
        <f>IF(_calc!$E$730="","",IF(_calc!$E$730&lt;=500,IF(LEN(INDEX('Our policies'!$P$4:$P$503,_calc!$E$730))=0,"",INDEX('Our policies'!$P$4:$P$503,_calc!$E$730)),IF(LEN(INDEX('Vendor COIs'!$N$4:$N$503,(_calc!$E$730-500)))=0,"",INDEX('Vendor COIs'!$N$4:$N$503,(_calc!$E$730-500)))))</f>
        <v/>
      </c>
    </row>
    <row r="729">
      <c r="A729" s="46">
        <f>IF(_calc!$E$731="","",IF(_calc!$E$731&lt;=500,IF(LEN(INDEX('Our policies'!$A$4:$A$503,_calc!$E$731))=0,"",INDEX('Our policies'!$A$4:$A$503,_calc!$E$731)),"COI – "&amp;IF(LEN(INDEX('Vendor COIs'!$A$4:$A$503,(_calc!$E$731-500)))=0,"",INDEX('Vendor COIs'!$A$4:$A$503,(_calc!$E$731-500)))&amp;" – "&amp;IF(LEN(INDEX('Vendor COIs'!$B$4:$B$503,(_calc!$E$731-500)))=0,"",INDEX('Vendor COIs'!$B$4:$B$503,(_calc!$E$731-500)))))</f>
        <v/>
      </c>
      <c r="B729" s="46">
        <f>IF(_calc!$E$731="","",IF(_calc!$E$731&lt;=500,IF(ISNUMBER(INDEX('Our policies'!$J$4:$J$503,_calc!$E$731)),TEXT(INDEX('Our policies'!$J$4:$J$503,_calc!$E$731),"yyyy-mm-dd"),""),IF(ISNUMBER(INDEX('Vendor COIs'!$H$4:$H$503,(_calc!$E$731-500))),TEXT(INDEX('Vendor COIs'!$H$4:$H$503,(_calc!$E$731-500)),"yyyy-mm-dd"),"")))</f>
        <v/>
      </c>
      <c r="C729" s="46">
        <f>IF(_calc!$E$731="","",IF(_calc!$E$731&lt;=500,"Insurance","Certificate of insurance"))</f>
        <v/>
      </c>
      <c r="D729" s="46">
        <f>IF(_calc!$E$731="","",IF(_calc!$E$731&lt;=500,IF(ISNUMBER(INDEX('Our policies'!$I$4:$I$503,_calc!$E$731)),TEXT(INDEX('Our policies'!$I$4:$I$503,_calc!$E$731),"yyyy-mm-dd"),""),""))</f>
        <v/>
      </c>
      <c r="E729" s="46">
        <f>IF(_calc!$E$731="","",IF(_calc!$E$731&lt;=500,IF(LEN(INDEX('Our policies'!$Q$4:$Q$503,_calc!$E$731))=0,"",INDEX('Our policies'!$Q$4:$Q$503,_calc!$E$731)),"Medium"))</f>
        <v/>
      </c>
      <c r="F729" s="46">
        <f>IF(_calc!$E$731="","",IF(_calc!$E$731&lt;=500,TRIM(IF(LEN(IF(LEN(INDEX('Our policies'!$B$4:$B$503,_calc!$E$731))=0,"",INDEX('Our policies'!$B$4:$B$503,_calc!$E$731)))=0,"","Cover: "&amp;IF(LEN(INDEX('Our policies'!$B$4:$B$503,_calc!$E$731))=0,"",INDEX('Our policies'!$B$4:$B$503,_calc!$E$731))&amp;". ")&amp;IF(LEN(IF(LEN(INDEX('Our policies'!$C$4:$C$503,_calc!$E$731))=0,"",INDEX('Our policies'!$C$4:$C$503,_calc!$E$731)))=0,"","Insurer: "&amp;IF(LEN(INDEX('Our policies'!$C$4:$C$503,_calc!$E$731))=0,"",INDEX('Our policies'!$C$4:$C$503,_calc!$E$731))&amp;". ")&amp;IF(LEN(IF(LEN(INDEX('Our policies'!$D$4:$D$503,_calc!$E$731))=0,"",INDEX('Our policies'!$D$4:$D$503,_calc!$E$731)))=0,"","Broker: "&amp;IF(LEN(INDEX('Our policies'!$D$4:$D$503,_calc!$E$731))=0,"",INDEX('Our policies'!$D$4:$D$503,_calc!$E$731))&amp;". ")&amp;IF(LEN(IF(LEN(INDEX('Our policies'!$E$4:$E$503,_calc!$E$731))=0,"",INDEX('Our policies'!$E$4:$E$503,_calc!$E$731)))=0,"","Policy no.: "&amp;IF(LEN(INDEX('Our policies'!$E$4:$E$503,_calc!$E$731))=0,"",INDEX('Our policies'!$E$4:$E$503,_calc!$E$731))&amp;". ")&amp;IF(LEN(IF(LEN(INDEX('Our policies'!$S$4:$S$503,_calc!$E$731))=0,"",INDEX('Our policies'!$S$4:$S$503,_calc!$E$731)))=0,"",IF(LEN(INDEX('Our policies'!$S$4:$S$503,_calc!$E$731))=0,"",INDEX('Our policies'!$S$4:$S$503,_calc!$E$731)))),TRIM(IF(LEN(IF(LEN(INDEX('Vendor COIs'!$C$4:$C$503,(_calc!$E$731-500)))=0,"",INDEX('Vendor COIs'!$C$4:$C$503,(_calc!$E$731-500))))=0,"","Insurer: "&amp;IF(LEN(INDEX('Vendor COIs'!$C$4:$C$503,(_calc!$E$731-500)))=0,"",INDEX('Vendor COIs'!$C$4:$C$503,(_calc!$E$731-500)))&amp;". ")&amp;IF(LEN(IF(LEN(INDEX('Vendor COIs'!$D$4:$D$503,(_calc!$E$731-500)))=0,"",INDEX('Vendor COIs'!$D$4:$D$503,(_calc!$E$731-500))))=0,"","Policy no.: "&amp;IF(LEN(INDEX('Vendor COIs'!$D$4:$D$503,(_calc!$E$731-500)))=0,"",INDEX('Vendor COIs'!$D$4:$D$503,(_calc!$E$731-500)))&amp;". ")&amp;IF(LEN(IF(LEN(INDEX('Vendor COIs'!$F$4:$F$503,(_calc!$E$731-500)))=0,"",INDEX('Vendor COIs'!$F$4:$F$503,(_calc!$E$731-500))))=0,"","Meets minimum: "&amp;IF(LEN(INDEX('Vendor COIs'!$F$4:$F$503,(_calc!$E$731-500)))=0,"",INDEX('Vendor COIs'!$F$4:$F$503,(_calc!$E$731-500)))&amp;". ")&amp;IF(LEN(IF(LEN(INDEX('Vendor COIs'!$G$4:$G$503,(_calc!$E$731-500)))=0,"",INDEX('Vendor COIs'!$G$4:$G$503,(_calc!$E$731-500))))=0,"","Additional insured: "&amp;IF(LEN(INDEX('Vendor COIs'!$G$4:$G$503,(_calc!$E$731-500)))=0,"",INDEX('Vendor COIs'!$G$4:$G$503,(_calc!$E$731-500)))&amp;". ")&amp;IF(LEN(IF(LEN(INDEX('Vendor COIs'!$M$4:$M$503,(_calc!$E$731-500)))=0,"",INDEX('Vendor COIs'!$M$4:$M$503,(_calc!$E$731-500))))=0,"","Vendor contact: "&amp;IF(LEN(INDEX('Vendor COIs'!$M$4:$M$503,(_calc!$E$731-500)))=0,"",INDEX('Vendor COIs'!$M$4:$M$503,(_calc!$E$731-500)))&amp;". ")&amp;IF(LEN(IF(LEN(INDEX('Vendor COIs'!$P$4:$P$503,(_calc!$E$731-500)))=0,"",INDEX('Vendor COIs'!$P$4:$P$503,(_calc!$E$731-500))))=0,"",IF(LEN(INDEX('Vendor COIs'!$P$4:$P$503,(_calc!$E$731-500)))=0,"",INDEX('Vendor COIs'!$P$4:$P$503,(_calc!$E$731-500)))))))</f>
        <v/>
      </c>
      <c r="G729" s="46">
        <f>IF(_calc!$E$731="","",IF(_calc!$E$731&lt;=500,IF(LEN(INDEX('Our policies'!$R$4:$R$503,_calc!$E$731))=0,"",INDEX('Our policies'!$R$4:$R$503,_calc!$E$731)),IF(LEN(INDEX('Vendor COIs'!$O$4:$O$503,(_calc!$E$731-500)))=0,"",INDEX('Vendor COIs'!$O$4:$O$503,(_calc!$E$731-500)))))</f>
        <v/>
      </c>
      <c r="H729" s="46">
        <f>IF(_calc!$E$731="","",IF(_calc!$E$731&lt;=500,IF(LEN(INDEX('Our policies'!$G$4:$G$503,_calc!$E$731))=0,"",INDEX('Our policies'!$G$4:$G$503,_calc!$E$731)),""))</f>
        <v/>
      </c>
      <c r="I729" s="46">
        <f>IF(_calc!$E$731="","",IF(_calc!$E$731&lt;=500,IF(LEN(INDEX('Our policies'!$H$4:$H$503,_calc!$E$731))=0,"",INDEX('Our policies'!$H$4:$H$503,_calc!$E$731)),""))</f>
        <v/>
      </c>
      <c r="K729" s="46">
        <f>IF(_calc!$E$731="","",IF(_calc!$E$731&lt;=500,IF(LEN(INDEX('Our policies'!$P$4:$P$503,_calc!$E$731))=0,"",INDEX('Our policies'!$P$4:$P$503,_calc!$E$731)),IF(LEN(INDEX('Vendor COIs'!$N$4:$N$503,(_calc!$E$731-500)))=0,"",INDEX('Vendor COIs'!$N$4:$N$503,(_calc!$E$731-500)))))</f>
        <v/>
      </c>
    </row>
    <row r="730">
      <c r="A730" s="46">
        <f>IF(_calc!$E$732="","",IF(_calc!$E$732&lt;=500,IF(LEN(INDEX('Our policies'!$A$4:$A$503,_calc!$E$732))=0,"",INDEX('Our policies'!$A$4:$A$503,_calc!$E$732)),"COI – "&amp;IF(LEN(INDEX('Vendor COIs'!$A$4:$A$503,(_calc!$E$732-500)))=0,"",INDEX('Vendor COIs'!$A$4:$A$503,(_calc!$E$732-500)))&amp;" – "&amp;IF(LEN(INDEX('Vendor COIs'!$B$4:$B$503,(_calc!$E$732-500)))=0,"",INDEX('Vendor COIs'!$B$4:$B$503,(_calc!$E$732-500)))))</f>
        <v/>
      </c>
      <c r="B730" s="46">
        <f>IF(_calc!$E$732="","",IF(_calc!$E$732&lt;=500,IF(ISNUMBER(INDEX('Our policies'!$J$4:$J$503,_calc!$E$732)),TEXT(INDEX('Our policies'!$J$4:$J$503,_calc!$E$732),"yyyy-mm-dd"),""),IF(ISNUMBER(INDEX('Vendor COIs'!$H$4:$H$503,(_calc!$E$732-500))),TEXT(INDEX('Vendor COIs'!$H$4:$H$503,(_calc!$E$732-500)),"yyyy-mm-dd"),"")))</f>
        <v/>
      </c>
      <c r="C730" s="46">
        <f>IF(_calc!$E$732="","",IF(_calc!$E$732&lt;=500,"Insurance","Certificate of insurance"))</f>
        <v/>
      </c>
      <c r="D730" s="46">
        <f>IF(_calc!$E$732="","",IF(_calc!$E$732&lt;=500,IF(ISNUMBER(INDEX('Our policies'!$I$4:$I$503,_calc!$E$732)),TEXT(INDEX('Our policies'!$I$4:$I$503,_calc!$E$732),"yyyy-mm-dd"),""),""))</f>
        <v/>
      </c>
      <c r="E730" s="46">
        <f>IF(_calc!$E$732="","",IF(_calc!$E$732&lt;=500,IF(LEN(INDEX('Our policies'!$Q$4:$Q$503,_calc!$E$732))=0,"",INDEX('Our policies'!$Q$4:$Q$503,_calc!$E$732)),"Medium"))</f>
        <v/>
      </c>
      <c r="F730" s="46">
        <f>IF(_calc!$E$732="","",IF(_calc!$E$732&lt;=500,TRIM(IF(LEN(IF(LEN(INDEX('Our policies'!$B$4:$B$503,_calc!$E$732))=0,"",INDEX('Our policies'!$B$4:$B$503,_calc!$E$732)))=0,"","Cover: "&amp;IF(LEN(INDEX('Our policies'!$B$4:$B$503,_calc!$E$732))=0,"",INDEX('Our policies'!$B$4:$B$503,_calc!$E$732))&amp;". ")&amp;IF(LEN(IF(LEN(INDEX('Our policies'!$C$4:$C$503,_calc!$E$732))=0,"",INDEX('Our policies'!$C$4:$C$503,_calc!$E$732)))=0,"","Insurer: "&amp;IF(LEN(INDEX('Our policies'!$C$4:$C$503,_calc!$E$732))=0,"",INDEX('Our policies'!$C$4:$C$503,_calc!$E$732))&amp;". ")&amp;IF(LEN(IF(LEN(INDEX('Our policies'!$D$4:$D$503,_calc!$E$732))=0,"",INDEX('Our policies'!$D$4:$D$503,_calc!$E$732)))=0,"","Broker: "&amp;IF(LEN(INDEX('Our policies'!$D$4:$D$503,_calc!$E$732))=0,"",INDEX('Our policies'!$D$4:$D$503,_calc!$E$732))&amp;". ")&amp;IF(LEN(IF(LEN(INDEX('Our policies'!$E$4:$E$503,_calc!$E$732))=0,"",INDEX('Our policies'!$E$4:$E$503,_calc!$E$732)))=0,"","Policy no.: "&amp;IF(LEN(INDEX('Our policies'!$E$4:$E$503,_calc!$E$732))=0,"",INDEX('Our policies'!$E$4:$E$503,_calc!$E$732))&amp;". ")&amp;IF(LEN(IF(LEN(INDEX('Our policies'!$S$4:$S$503,_calc!$E$732))=0,"",INDEX('Our policies'!$S$4:$S$503,_calc!$E$732)))=0,"",IF(LEN(INDEX('Our policies'!$S$4:$S$503,_calc!$E$732))=0,"",INDEX('Our policies'!$S$4:$S$503,_calc!$E$732)))),TRIM(IF(LEN(IF(LEN(INDEX('Vendor COIs'!$C$4:$C$503,(_calc!$E$732-500)))=0,"",INDEX('Vendor COIs'!$C$4:$C$503,(_calc!$E$732-500))))=0,"","Insurer: "&amp;IF(LEN(INDEX('Vendor COIs'!$C$4:$C$503,(_calc!$E$732-500)))=0,"",INDEX('Vendor COIs'!$C$4:$C$503,(_calc!$E$732-500)))&amp;". ")&amp;IF(LEN(IF(LEN(INDEX('Vendor COIs'!$D$4:$D$503,(_calc!$E$732-500)))=0,"",INDEX('Vendor COIs'!$D$4:$D$503,(_calc!$E$732-500))))=0,"","Policy no.: "&amp;IF(LEN(INDEX('Vendor COIs'!$D$4:$D$503,(_calc!$E$732-500)))=0,"",INDEX('Vendor COIs'!$D$4:$D$503,(_calc!$E$732-500)))&amp;". ")&amp;IF(LEN(IF(LEN(INDEX('Vendor COIs'!$F$4:$F$503,(_calc!$E$732-500)))=0,"",INDEX('Vendor COIs'!$F$4:$F$503,(_calc!$E$732-500))))=0,"","Meets minimum: "&amp;IF(LEN(INDEX('Vendor COIs'!$F$4:$F$503,(_calc!$E$732-500)))=0,"",INDEX('Vendor COIs'!$F$4:$F$503,(_calc!$E$732-500)))&amp;". ")&amp;IF(LEN(IF(LEN(INDEX('Vendor COIs'!$G$4:$G$503,(_calc!$E$732-500)))=0,"",INDEX('Vendor COIs'!$G$4:$G$503,(_calc!$E$732-500))))=0,"","Additional insured: "&amp;IF(LEN(INDEX('Vendor COIs'!$G$4:$G$503,(_calc!$E$732-500)))=0,"",INDEX('Vendor COIs'!$G$4:$G$503,(_calc!$E$732-500)))&amp;". ")&amp;IF(LEN(IF(LEN(INDEX('Vendor COIs'!$M$4:$M$503,(_calc!$E$732-500)))=0,"",INDEX('Vendor COIs'!$M$4:$M$503,(_calc!$E$732-500))))=0,"","Vendor contact: "&amp;IF(LEN(INDEX('Vendor COIs'!$M$4:$M$503,(_calc!$E$732-500)))=0,"",INDEX('Vendor COIs'!$M$4:$M$503,(_calc!$E$732-500)))&amp;". ")&amp;IF(LEN(IF(LEN(INDEX('Vendor COIs'!$P$4:$P$503,(_calc!$E$732-500)))=0,"",INDEX('Vendor COIs'!$P$4:$P$503,(_calc!$E$732-500))))=0,"",IF(LEN(INDEX('Vendor COIs'!$P$4:$P$503,(_calc!$E$732-500)))=0,"",INDEX('Vendor COIs'!$P$4:$P$503,(_calc!$E$732-500)))))))</f>
        <v/>
      </c>
      <c r="G730" s="46">
        <f>IF(_calc!$E$732="","",IF(_calc!$E$732&lt;=500,IF(LEN(INDEX('Our policies'!$R$4:$R$503,_calc!$E$732))=0,"",INDEX('Our policies'!$R$4:$R$503,_calc!$E$732)),IF(LEN(INDEX('Vendor COIs'!$O$4:$O$503,(_calc!$E$732-500)))=0,"",INDEX('Vendor COIs'!$O$4:$O$503,(_calc!$E$732-500)))))</f>
        <v/>
      </c>
      <c r="H730" s="46">
        <f>IF(_calc!$E$732="","",IF(_calc!$E$732&lt;=500,IF(LEN(INDEX('Our policies'!$G$4:$G$503,_calc!$E$732))=0,"",INDEX('Our policies'!$G$4:$G$503,_calc!$E$732)),""))</f>
        <v/>
      </c>
      <c r="I730" s="46">
        <f>IF(_calc!$E$732="","",IF(_calc!$E$732&lt;=500,IF(LEN(INDEX('Our policies'!$H$4:$H$503,_calc!$E$732))=0,"",INDEX('Our policies'!$H$4:$H$503,_calc!$E$732)),""))</f>
        <v/>
      </c>
      <c r="K730" s="46">
        <f>IF(_calc!$E$732="","",IF(_calc!$E$732&lt;=500,IF(LEN(INDEX('Our policies'!$P$4:$P$503,_calc!$E$732))=0,"",INDEX('Our policies'!$P$4:$P$503,_calc!$E$732)),IF(LEN(INDEX('Vendor COIs'!$N$4:$N$503,(_calc!$E$732-500)))=0,"",INDEX('Vendor COIs'!$N$4:$N$503,(_calc!$E$732-500)))))</f>
        <v/>
      </c>
    </row>
    <row r="731">
      <c r="A731" s="46">
        <f>IF(_calc!$E$733="","",IF(_calc!$E$733&lt;=500,IF(LEN(INDEX('Our policies'!$A$4:$A$503,_calc!$E$733))=0,"",INDEX('Our policies'!$A$4:$A$503,_calc!$E$733)),"COI – "&amp;IF(LEN(INDEX('Vendor COIs'!$A$4:$A$503,(_calc!$E$733-500)))=0,"",INDEX('Vendor COIs'!$A$4:$A$503,(_calc!$E$733-500)))&amp;" – "&amp;IF(LEN(INDEX('Vendor COIs'!$B$4:$B$503,(_calc!$E$733-500)))=0,"",INDEX('Vendor COIs'!$B$4:$B$503,(_calc!$E$733-500)))))</f>
        <v/>
      </c>
      <c r="B731" s="46">
        <f>IF(_calc!$E$733="","",IF(_calc!$E$733&lt;=500,IF(ISNUMBER(INDEX('Our policies'!$J$4:$J$503,_calc!$E$733)),TEXT(INDEX('Our policies'!$J$4:$J$503,_calc!$E$733),"yyyy-mm-dd"),""),IF(ISNUMBER(INDEX('Vendor COIs'!$H$4:$H$503,(_calc!$E$733-500))),TEXT(INDEX('Vendor COIs'!$H$4:$H$503,(_calc!$E$733-500)),"yyyy-mm-dd"),"")))</f>
        <v/>
      </c>
      <c r="C731" s="46">
        <f>IF(_calc!$E$733="","",IF(_calc!$E$733&lt;=500,"Insurance","Certificate of insurance"))</f>
        <v/>
      </c>
      <c r="D731" s="46">
        <f>IF(_calc!$E$733="","",IF(_calc!$E$733&lt;=500,IF(ISNUMBER(INDEX('Our policies'!$I$4:$I$503,_calc!$E$733)),TEXT(INDEX('Our policies'!$I$4:$I$503,_calc!$E$733),"yyyy-mm-dd"),""),""))</f>
        <v/>
      </c>
      <c r="E731" s="46">
        <f>IF(_calc!$E$733="","",IF(_calc!$E$733&lt;=500,IF(LEN(INDEX('Our policies'!$Q$4:$Q$503,_calc!$E$733))=0,"",INDEX('Our policies'!$Q$4:$Q$503,_calc!$E$733)),"Medium"))</f>
        <v/>
      </c>
      <c r="F731" s="46">
        <f>IF(_calc!$E$733="","",IF(_calc!$E$733&lt;=500,TRIM(IF(LEN(IF(LEN(INDEX('Our policies'!$B$4:$B$503,_calc!$E$733))=0,"",INDEX('Our policies'!$B$4:$B$503,_calc!$E$733)))=0,"","Cover: "&amp;IF(LEN(INDEX('Our policies'!$B$4:$B$503,_calc!$E$733))=0,"",INDEX('Our policies'!$B$4:$B$503,_calc!$E$733))&amp;". ")&amp;IF(LEN(IF(LEN(INDEX('Our policies'!$C$4:$C$503,_calc!$E$733))=0,"",INDEX('Our policies'!$C$4:$C$503,_calc!$E$733)))=0,"","Insurer: "&amp;IF(LEN(INDEX('Our policies'!$C$4:$C$503,_calc!$E$733))=0,"",INDEX('Our policies'!$C$4:$C$503,_calc!$E$733))&amp;". ")&amp;IF(LEN(IF(LEN(INDEX('Our policies'!$D$4:$D$503,_calc!$E$733))=0,"",INDEX('Our policies'!$D$4:$D$503,_calc!$E$733)))=0,"","Broker: "&amp;IF(LEN(INDEX('Our policies'!$D$4:$D$503,_calc!$E$733))=0,"",INDEX('Our policies'!$D$4:$D$503,_calc!$E$733))&amp;". ")&amp;IF(LEN(IF(LEN(INDEX('Our policies'!$E$4:$E$503,_calc!$E$733))=0,"",INDEX('Our policies'!$E$4:$E$503,_calc!$E$733)))=0,"","Policy no.: "&amp;IF(LEN(INDEX('Our policies'!$E$4:$E$503,_calc!$E$733))=0,"",INDEX('Our policies'!$E$4:$E$503,_calc!$E$733))&amp;". ")&amp;IF(LEN(IF(LEN(INDEX('Our policies'!$S$4:$S$503,_calc!$E$733))=0,"",INDEX('Our policies'!$S$4:$S$503,_calc!$E$733)))=0,"",IF(LEN(INDEX('Our policies'!$S$4:$S$503,_calc!$E$733))=0,"",INDEX('Our policies'!$S$4:$S$503,_calc!$E$733)))),TRIM(IF(LEN(IF(LEN(INDEX('Vendor COIs'!$C$4:$C$503,(_calc!$E$733-500)))=0,"",INDEX('Vendor COIs'!$C$4:$C$503,(_calc!$E$733-500))))=0,"","Insurer: "&amp;IF(LEN(INDEX('Vendor COIs'!$C$4:$C$503,(_calc!$E$733-500)))=0,"",INDEX('Vendor COIs'!$C$4:$C$503,(_calc!$E$733-500)))&amp;". ")&amp;IF(LEN(IF(LEN(INDEX('Vendor COIs'!$D$4:$D$503,(_calc!$E$733-500)))=0,"",INDEX('Vendor COIs'!$D$4:$D$503,(_calc!$E$733-500))))=0,"","Policy no.: "&amp;IF(LEN(INDEX('Vendor COIs'!$D$4:$D$503,(_calc!$E$733-500)))=0,"",INDEX('Vendor COIs'!$D$4:$D$503,(_calc!$E$733-500)))&amp;". ")&amp;IF(LEN(IF(LEN(INDEX('Vendor COIs'!$F$4:$F$503,(_calc!$E$733-500)))=0,"",INDEX('Vendor COIs'!$F$4:$F$503,(_calc!$E$733-500))))=0,"","Meets minimum: "&amp;IF(LEN(INDEX('Vendor COIs'!$F$4:$F$503,(_calc!$E$733-500)))=0,"",INDEX('Vendor COIs'!$F$4:$F$503,(_calc!$E$733-500)))&amp;". ")&amp;IF(LEN(IF(LEN(INDEX('Vendor COIs'!$G$4:$G$503,(_calc!$E$733-500)))=0,"",INDEX('Vendor COIs'!$G$4:$G$503,(_calc!$E$733-500))))=0,"","Additional insured: "&amp;IF(LEN(INDEX('Vendor COIs'!$G$4:$G$503,(_calc!$E$733-500)))=0,"",INDEX('Vendor COIs'!$G$4:$G$503,(_calc!$E$733-500)))&amp;". ")&amp;IF(LEN(IF(LEN(INDEX('Vendor COIs'!$M$4:$M$503,(_calc!$E$733-500)))=0,"",INDEX('Vendor COIs'!$M$4:$M$503,(_calc!$E$733-500))))=0,"","Vendor contact: "&amp;IF(LEN(INDEX('Vendor COIs'!$M$4:$M$503,(_calc!$E$733-500)))=0,"",INDEX('Vendor COIs'!$M$4:$M$503,(_calc!$E$733-500)))&amp;". ")&amp;IF(LEN(IF(LEN(INDEX('Vendor COIs'!$P$4:$P$503,(_calc!$E$733-500)))=0,"",INDEX('Vendor COIs'!$P$4:$P$503,(_calc!$E$733-500))))=0,"",IF(LEN(INDEX('Vendor COIs'!$P$4:$P$503,(_calc!$E$733-500)))=0,"",INDEX('Vendor COIs'!$P$4:$P$503,(_calc!$E$733-500)))))))</f>
        <v/>
      </c>
      <c r="G731" s="46">
        <f>IF(_calc!$E$733="","",IF(_calc!$E$733&lt;=500,IF(LEN(INDEX('Our policies'!$R$4:$R$503,_calc!$E$733))=0,"",INDEX('Our policies'!$R$4:$R$503,_calc!$E$733)),IF(LEN(INDEX('Vendor COIs'!$O$4:$O$503,(_calc!$E$733-500)))=0,"",INDEX('Vendor COIs'!$O$4:$O$503,(_calc!$E$733-500)))))</f>
        <v/>
      </c>
      <c r="H731" s="46">
        <f>IF(_calc!$E$733="","",IF(_calc!$E$733&lt;=500,IF(LEN(INDEX('Our policies'!$G$4:$G$503,_calc!$E$733))=0,"",INDEX('Our policies'!$G$4:$G$503,_calc!$E$733)),""))</f>
        <v/>
      </c>
      <c r="I731" s="46">
        <f>IF(_calc!$E$733="","",IF(_calc!$E$733&lt;=500,IF(LEN(INDEX('Our policies'!$H$4:$H$503,_calc!$E$733))=0,"",INDEX('Our policies'!$H$4:$H$503,_calc!$E$733)),""))</f>
        <v/>
      </c>
      <c r="K731" s="46">
        <f>IF(_calc!$E$733="","",IF(_calc!$E$733&lt;=500,IF(LEN(INDEX('Our policies'!$P$4:$P$503,_calc!$E$733))=0,"",INDEX('Our policies'!$P$4:$P$503,_calc!$E$733)),IF(LEN(INDEX('Vendor COIs'!$N$4:$N$503,(_calc!$E$733-500)))=0,"",INDEX('Vendor COIs'!$N$4:$N$503,(_calc!$E$733-500)))))</f>
        <v/>
      </c>
    </row>
    <row r="732">
      <c r="A732" s="46">
        <f>IF(_calc!$E$734="","",IF(_calc!$E$734&lt;=500,IF(LEN(INDEX('Our policies'!$A$4:$A$503,_calc!$E$734))=0,"",INDEX('Our policies'!$A$4:$A$503,_calc!$E$734)),"COI – "&amp;IF(LEN(INDEX('Vendor COIs'!$A$4:$A$503,(_calc!$E$734-500)))=0,"",INDEX('Vendor COIs'!$A$4:$A$503,(_calc!$E$734-500)))&amp;" – "&amp;IF(LEN(INDEX('Vendor COIs'!$B$4:$B$503,(_calc!$E$734-500)))=0,"",INDEX('Vendor COIs'!$B$4:$B$503,(_calc!$E$734-500)))))</f>
        <v/>
      </c>
      <c r="B732" s="46">
        <f>IF(_calc!$E$734="","",IF(_calc!$E$734&lt;=500,IF(ISNUMBER(INDEX('Our policies'!$J$4:$J$503,_calc!$E$734)),TEXT(INDEX('Our policies'!$J$4:$J$503,_calc!$E$734),"yyyy-mm-dd"),""),IF(ISNUMBER(INDEX('Vendor COIs'!$H$4:$H$503,(_calc!$E$734-500))),TEXT(INDEX('Vendor COIs'!$H$4:$H$503,(_calc!$E$734-500)),"yyyy-mm-dd"),"")))</f>
        <v/>
      </c>
      <c r="C732" s="46">
        <f>IF(_calc!$E$734="","",IF(_calc!$E$734&lt;=500,"Insurance","Certificate of insurance"))</f>
        <v/>
      </c>
      <c r="D732" s="46">
        <f>IF(_calc!$E$734="","",IF(_calc!$E$734&lt;=500,IF(ISNUMBER(INDEX('Our policies'!$I$4:$I$503,_calc!$E$734)),TEXT(INDEX('Our policies'!$I$4:$I$503,_calc!$E$734),"yyyy-mm-dd"),""),""))</f>
        <v/>
      </c>
      <c r="E732" s="46">
        <f>IF(_calc!$E$734="","",IF(_calc!$E$734&lt;=500,IF(LEN(INDEX('Our policies'!$Q$4:$Q$503,_calc!$E$734))=0,"",INDEX('Our policies'!$Q$4:$Q$503,_calc!$E$734)),"Medium"))</f>
        <v/>
      </c>
      <c r="F732" s="46">
        <f>IF(_calc!$E$734="","",IF(_calc!$E$734&lt;=500,TRIM(IF(LEN(IF(LEN(INDEX('Our policies'!$B$4:$B$503,_calc!$E$734))=0,"",INDEX('Our policies'!$B$4:$B$503,_calc!$E$734)))=0,"","Cover: "&amp;IF(LEN(INDEX('Our policies'!$B$4:$B$503,_calc!$E$734))=0,"",INDEX('Our policies'!$B$4:$B$503,_calc!$E$734))&amp;". ")&amp;IF(LEN(IF(LEN(INDEX('Our policies'!$C$4:$C$503,_calc!$E$734))=0,"",INDEX('Our policies'!$C$4:$C$503,_calc!$E$734)))=0,"","Insurer: "&amp;IF(LEN(INDEX('Our policies'!$C$4:$C$503,_calc!$E$734))=0,"",INDEX('Our policies'!$C$4:$C$503,_calc!$E$734))&amp;". ")&amp;IF(LEN(IF(LEN(INDEX('Our policies'!$D$4:$D$503,_calc!$E$734))=0,"",INDEX('Our policies'!$D$4:$D$503,_calc!$E$734)))=0,"","Broker: "&amp;IF(LEN(INDEX('Our policies'!$D$4:$D$503,_calc!$E$734))=0,"",INDEX('Our policies'!$D$4:$D$503,_calc!$E$734))&amp;". ")&amp;IF(LEN(IF(LEN(INDEX('Our policies'!$E$4:$E$503,_calc!$E$734))=0,"",INDEX('Our policies'!$E$4:$E$503,_calc!$E$734)))=0,"","Policy no.: "&amp;IF(LEN(INDEX('Our policies'!$E$4:$E$503,_calc!$E$734))=0,"",INDEX('Our policies'!$E$4:$E$503,_calc!$E$734))&amp;". ")&amp;IF(LEN(IF(LEN(INDEX('Our policies'!$S$4:$S$503,_calc!$E$734))=0,"",INDEX('Our policies'!$S$4:$S$503,_calc!$E$734)))=0,"",IF(LEN(INDEX('Our policies'!$S$4:$S$503,_calc!$E$734))=0,"",INDEX('Our policies'!$S$4:$S$503,_calc!$E$734)))),TRIM(IF(LEN(IF(LEN(INDEX('Vendor COIs'!$C$4:$C$503,(_calc!$E$734-500)))=0,"",INDEX('Vendor COIs'!$C$4:$C$503,(_calc!$E$734-500))))=0,"","Insurer: "&amp;IF(LEN(INDEX('Vendor COIs'!$C$4:$C$503,(_calc!$E$734-500)))=0,"",INDEX('Vendor COIs'!$C$4:$C$503,(_calc!$E$734-500)))&amp;". ")&amp;IF(LEN(IF(LEN(INDEX('Vendor COIs'!$D$4:$D$503,(_calc!$E$734-500)))=0,"",INDEX('Vendor COIs'!$D$4:$D$503,(_calc!$E$734-500))))=0,"","Policy no.: "&amp;IF(LEN(INDEX('Vendor COIs'!$D$4:$D$503,(_calc!$E$734-500)))=0,"",INDEX('Vendor COIs'!$D$4:$D$503,(_calc!$E$734-500)))&amp;". ")&amp;IF(LEN(IF(LEN(INDEX('Vendor COIs'!$F$4:$F$503,(_calc!$E$734-500)))=0,"",INDEX('Vendor COIs'!$F$4:$F$503,(_calc!$E$734-500))))=0,"","Meets minimum: "&amp;IF(LEN(INDEX('Vendor COIs'!$F$4:$F$503,(_calc!$E$734-500)))=0,"",INDEX('Vendor COIs'!$F$4:$F$503,(_calc!$E$734-500)))&amp;". ")&amp;IF(LEN(IF(LEN(INDEX('Vendor COIs'!$G$4:$G$503,(_calc!$E$734-500)))=0,"",INDEX('Vendor COIs'!$G$4:$G$503,(_calc!$E$734-500))))=0,"","Additional insured: "&amp;IF(LEN(INDEX('Vendor COIs'!$G$4:$G$503,(_calc!$E$734-500)))=0,"",INDEX('Vendor COIs'!$G$4:$G$503,(_calc!$E$734-500)))&amp;". ")&amp;IF(LEN(IF(LEN(INDEX('Vendor COIs'!$M$4:$M$503,(_calc!$E$734-500)))=0,"",INDEX('Vendor COIs'!$M$4:$M$503,(_calc!$E$734-500))))=0,"","Vendor contact: "&amp;IF(LEN(INDEX('Vendor COIs'!$M$4:$M$503,(_calc!$E$734-500)))=0,"",INDEX('Vendor COIs'!$M$4:$M$503,(_calc!$E$734-500)))&amp;". ")&amp;IF(LEN(IF(LEN(INDEX('Vendor COIs'!$P$4:$P$503,(_calc!$E$734-500)))=0,"",INDEX('Vendor COIs'!$P$4:$P$503,(_calc!$E$734-500))))=0,"",IF(LEN(INDEX('Vendor COIs'!$P$4:$P$503,(_calc!$E$734-500)))=0,"",INDEX('Vendor COIs'!$P$4:$P$503,(_calc!$E$734-500)))))))</f>
        <v/>
      </c>
      <c r="G732" s="46">
        <f>IF(_calc!$E$734="","",IF(_calc!$E$734&lt;=500,IF(LEN(INDEX('Our policies'!$R$4:$R$503,_calc!$E$734))=0,"",INDEX('Our policies'!$R$4:$R$503,_calc!$E$734)),IF(LEN(INDEX('Vendor COIs'!$O$4:$O$503,(_calc!$E$734-500)))=0,"",INDEX('Vendor COIs'!$O$4:$O$503,(_calc!$E$734-500)))))</f>
        <v/>
      </c>
      <c r="H732" s="46">
        <f>IF(_calc!$E$734="","",IF(_calc!$E$734&lt;=500,IF(LEN(INDEX('Our policies'!$G$4:$G$503,_calc!$E$734))=0,"",INDEX('Our policies'!$G$4:$G$503,_calc!$E$734)),""))</f>
        <v/>
      </c>
      <c r="I732" s="46">
        <f>IF(_calc!$E$734="","",IF(_calc!$E$734&lt;=500,IF(LEN(INDEX('Our policies'!$H$4:$H$503,_calc!$E$734))=0,"",INDEX('Our policies'!$H$4:$H$503,_calc!$E$734)),""))</f>
        <v/>
      </c>
      <c r="K732" s="46">
        <f>IF(_calc!$E$734="","",IF(_calc!$E$734&lt;=500,IF(LEN(INDEX('Our policies'!$P$4:$P$503,_calc!$E$734))=0,"",INDEX('Our policies'!$P$4:$P$503,_calc!$E$734)),IF(LEN(INDEX('Vendor COIs'!$N$4:$N$503,(_calc!$E$734-500)))=0,"",INDEX('Vendor COIs'!$N$4:$N$503,(_calc!$E$734-500)))))</f>
        <v/>
      </c>
    </row>
    <row r="733">
      <c r="A733" s="46">
        <f>IF(_calc!$E$735="","",IF(_calc!$E$735&lt;=500,IF(LEN(INDEX('Our policies'!$A$4:$A$503,_calc!$E$735))=0,"",INDEX('Our policies'!$A$4:$A$503,_calc!$E$735)),"COI – "&amp;IF(LEN(INDEX('Vendor COIs'!$A$4:$A$503,(_calc!$E$735-500)))=0,"",INDEX('Vendor COIs'!$A$4:$A$503,(_calc!$E$735-500)))&amp;" – "&amp;IF(LEN(INDEX('Vendor COIs'!$B$4:$B$503,(_calc!$E$735-500)))=0,"",INDEX('Vendor COIs'!$B$4:$B$503,(_calc!$E$735-500)))))</f>
        <v/>
      </c>
      <c r="B733" s="46">
        <f>IF(_calc!$E$735="","",IF(_calc!$E$735&lt;=500,IF(ISNUMBER(INDEX('Our policies'!$J$4:$J$503,_calc!$E$735)),TEXT(INDEX('Our policies'!$J$4:$J$503,_calc!$E$735),"yyyy-mm-dd"),""),IF(ISNUMBER(INDEX('Vendor COIs'!$H$4:$H$503,(_calc!$E$735-500))),TEXT(INDEX('Vendor COIs'!$H$4:$H$503,(_calc!$E$735-500)),"yyyy-mm-dd"),"")))</f>
        <v/>
      </c>
      <c r="C733" s="46">
        <f>IF(_calc!$E$735="","",IF(_calc!$E$735&lt;=500,"Insurance","Certificate of insurance"))</f>
        <v/>
      </c>
      <c r="D733" s="46">
        <f>IF(_calc!$E$735="","",IF(_calc!$E$735&lt;=500,IF(ISNUMBER(INDEX('Our policies'!$I$4:$I$503,_calc!$E$735)),TEXT(INDEX('Our policies'!$I$4:$I$503,_calc!$E$735),"yyyy-mm-dd"),""),""))</f>
        <v/>
      </c>
      <c r="E733" s="46">
        <f>IF(_calc!$E$735="","",IF(_calc!$E$735&lt;=500,IF(LEN(INDEX('Our policies'!$Q$4:$Q$503,_calc!$E$735))=0,"",INDEX('Our policies'!$Q$4:$Q$503,_calc!$E$735)),"Medium"))</f>
        <v/>
      </c>
      <c r="F733" s="46">
        <f>IF(_calc!$E$735="","",IF(_calc!$E$735&lt;=500,TRIM(IF(LEN(IF(LEN(INDEX('Our policies'!$B$4:$B$503,_calc!$E$735))=0,"",INDEX('Our policies'!$B$4:$B$503,_calc!$E$735)))=0,"","Cover: "&amp;IF(LEN(INDEX('Our policies'!$B$4:$B$503,_calc!$E$735))=0,"",INDEX('Our policies'!$B$4:$B$503,_calc!$E$735))&amp;". ")&amp;IF(LEN(IF(LEN(INDEX('Our policies'!$C$4:$C$503,_calc!$E$735))=0,"",INDEX('Our policies'!$C$4:$C$503,_calc!$E$735)))=0,"","Insurer: "&amp;IF(LEN(INDEX('Our policies'!$C$4:$C$503,_calc!$E$735))=0,"",INDEX('Our policies'!$C$4:$C$503,_calc!$E$735))&amp;". ")&amp;IF(LEN(IF(LEN(INDEX('Our policies'!$D$4:$D$503,_calc!$E$735))=0,"",INDEX('Our policies'!$D$4:$D$503,_calc!$E$735)))=0,"","Broker: "&amp;IF(LEN(INDEX('Our policies'!$D$4:$D$503,_calc!$E$735))=0,"",INDEX('Our policies'!$D$4:$D$503,_calc!$E$735))&amp;". ")&amp;IF(LEN(IF(LEN(INDEX('Our policies'!$E$4:$E$503,_calc!$E$735))=0,"",INDEX('Our policies'!$E$4:$E$503,_calc!$E$735)))=0,"","Policy no.: "&amp;IF(LEN(INDEX('Our policies'!$E$4:$E$503,_calc!$E$735))=0,"",INDEX('Our policies'!$E$4:$E$503,_calc!$E$735))&amp;". ")&amp;IF(LEN(IF(LEN(INDEX('Our policies'!$S$4:$S$503,_calc!$E$735))=0,"",INDEX('Our policies'!$S$4:$S$503,_calc!$E$735)))=0,"",IF(LEN(INDEX('Our policies'!$S$4:$S$503,_calc!$E$735))=0,"",INDEX('Our policies'!$S$4:$S$503,_calc!$E$735)))),TRIM(IF(LEN(IF(LEN(INDEX('Vendor COIs'!$C$4:$C$503,(_calc!$E$735-500)))=0,"",INDEX('Vendor COIs'!$C$4:$C$503,(_calc!$E$735-500))))=0,"","Insurer: "&amp;IF(LEN(INDEX('Vendor COIs'!$C$4:$C$503,(_calc!$E$735-500)))=0,"",INDEX('Vendor COIs'!$C$4:$C$503,(_calc!$E$735-500)))&amp;". ")&amp;IF(LEN(IF(LEN(INDEX('Vendor COIs'!$D$4:$D$503,(_calc!$E$735-500)))=0,"",INDEX('Vendor COIs'!$D$4:$D$503,(_calc!$E$735-500))))=0,"","Policy no.: "&amp;IF(LEN(INDEX('Vendor COIs'!$D$4:$D$503,(_calc!$E$735-500)))=0,"",INDEX('Vendor COIs'!$D$4:$D$503,(_calc!$E$735-500)))&amp;". ")&amp;IF(LEN(IF(LEN(INDEX('Vendor COIs'!$F$4:$F$503,(_calc!$E$735-500)))=0,"",INDEX('Vendor COIs'!$F$4:$F$503,(_calc!$E$735-500))))=0,"","Meets minimum: "&amp;IF(LEN(INDEX('Vendor COIs'!$F$4:$F$503,(_calc!$E$735-500)))=0,"",INDEX('Vendor COIs'!$F$4:$F$503,(_calc!$E$735-500)))&amp;". ")&amp;IF(LEN(IF(LEN(INDEX('Vendor COIs'!$G$4:$G$503,(_calc!$E$735-500)))=0,"",INDEX('Vendor COIs'!$G$4:$G$503,(_calc!$E$735-500))))=0,"","Additional insured: "&amp;IF(LEN(INDEX('Vendor COIs'!$G$4:$G$503,(_calc!$E$735-500)))=0,"",INDEX('Vendor COIs'!$G$4:$G$503,(_calc!$E$735-500)))&amp;". ")&amp;IF(LEN(IF(LEN(INDEX('Vendor COIs'!$M$4:$M$503,(_calc!$E$735-500)))=0,"",INDEX('Vendor COIs'!$M$4:$M$503,(_calc!$E$735-500))))=0,"","Vendor contact: "&amp;IF(LEN(INDEX('Vendor COIs'!$M$4:$M$503,(_calc!$E$735-500)))=0,"",INDEX('Vendor COIs'!$M$4:$M$503,(_calc!$E$735-500)))&amp;". ")&amp;IF(LEN(IF(LEN(INDEX('Vendor COIs'!$P$4:$P$503,(_calc!$E$735-500)))=0,"",INDEX('Vendor COIs'!$P$4:$P$503,(_calc!$E$735-500))))=0,"",IF(LEN(INDEX('Vendor COIs'!$P$4:$P$503,(_calc!$E$735-500)))=0,"",INDEX('Vendor COIs'!$P$4:$P$503,(_calc!$E$735-500)))))))</f>
        <v/>
      </c>
      <c r="G733" s="46">
        <f>IF(_calc!$E$735="","",IF(_calc!$E$735&lt;=500,IF(LEN(INDEX('Our policies'!$R$4:$R$503,_calc!$E$735))=0,"",INDEX('Our policies'!$R$4:$R$503,_calc!$E$735)),IF(LEN(INDEX('Vendor COIs'!$O$4:$O$503,(_calc!$E$735-500)))=0,"",INDEX('Vendor COIs'!$O$4:$O$503,(_calc!$E$735-500)))))</f>
        <v/>
      </c>
      <c r="H733" s="46">
        <f>IF(_calc!$E$735="","",IF(_calc!$E$735&lt;=500,IF(LEN(INDEX('Our policies'!$G$4:$G$503,_calc!$E$735))=0,"",INDEX('Our policies'!$G$4:$G$503,_calc!$E$735)),""))</f>
        <v/>
      </c>
      <c r="I733" s="46">
        <f>IF(_calc!$E$735="","",IF(_calc!$E$735&lt;=500,IF(LEN(INDEX('Our policies'!$H$4:$H$503,_calc!$E$735))=0,"",INDEX('Our policies'!$H$4:$H$503,_calc!$E$735)),""))</f>
        <v/>
      </c>
      <c r="K733" s="46">
        <f>IF(_calc!$E$735="","",IF(_calc!$E$735&lt;=500,IF(LEN(INDEX('Our policies'!$P$4:$P$503,_calc!$E$735))=0,"",INDEX('Our policies'!$P$4:$P$503,_calc!$E$735)),IF(LEN(INDEX('Vendor COIs'!$N$4:$N$503,(_calc!$E$735-500)))=0,"",INDEX('Vendor COIs'!$N$4:$N$503,(_calc!$E$735-500)))))</f>
        <v/>
      </c>
    </row>
    <row r="734">
      <c r="A734" s="46">
        <f>IF(_calc!$E$736="","",IF(_calc!$E$736&lt;=500,IF(LEN(INDEX('Our policies'!$A$4:$A$503,_calc!$E$736))=0,"",INDEX('Our policies'!$A$4:$A$503,_calc!$E$736)),"COI – "&amp;IF(LEN(INDEX('Vendor COIs'!$A$4:$A$503,(_calc!$E$736-500)))=0,"",INDEX('Vendor COIs'!$A$4:$A$503,(_calc!$E$736-500)))&amp;" – "&amp;IF(LEN(INDEX('Vendor COIs'!$B$4:$B$503,(_calc!$E$736-500)))=0,"",INDEX('Vendor COIs'!$B$4:$B$503,(_calc!$E$736-500)))))</f>
        <v/>
      </c>
      <c r="B734" s="46">
        <f>IF(_calc!$E$736="","",IF(_calc!$E$736&lt;=500,IF(ISNUMBER(INDEX('Our policies'!$J$4:$J$503,_calc!$E$736)),TEXT(INDEX('Our policies'!$J$4:$J$503,_calc!$E$736),"yyyy-mm-dd"),""),IF(ISNUMBER(INDEX('Vendor COIs'!$H$4:$H$503,(_calc!$E$736-500))),TEXT(INDEX('Vendor COIs'!$H$4:$H$503,(_calc!$E$736-500)),"yyyy-mm-dd"),"")))</f>
        <v/>
      </c>
      <c r="C734" s="46">
        <f>IF(_calc!$E$736="","",IF(_calc!$E$736&lt;=500,"Insurance","Certificate of insurance"))</f>
        <v/>
      </c>
      <c r="D734" s="46">
        <f>IF(_calc!$E$736="","",IF(_calc!$E$736&lt;=500,IF(ISNUMBER(INDEX('Our policies'!$I$4:$I$503,_calc!$E$736)),TEXT(INDEX('Our policies'!$I$4:$I$503,_calc!$E$736),"yyyy-mm-dd"),""),""))</f>
        <v/>
      </c>
      <c r="E734" s="46">
        <f>IF(_calc!$E$736="","",IF(_calc!$E$736&lt;=500,IF(LEN(INDEX('Our policies'!$Q$4:$Q$503,_calc!$E$736))=0,"",INDEX('Our policies'!$Q$4:$Q$503,_calc!$E$736)),"Medium"))</f>
        <v/>
      </c>
      <c r="F734" s="46">
        <f>IF(_calc!$E$736="","",IF(_calc!$E$736&lt;=500,TRIM(IF(LEN(IF(LEN(INDEX('Our policies'!$B$4:$B$503,_calc!$E$736))=0,"",INDEX('Our policies'!$B$4:$B$503,_calc!$E$736)))=0,"","Cover: "&amp;IF(LEN(INDEX('Our policies'!$B$4:$B$503,_calc!$E$736))=0,"",INDEX('Our policies'!$B$4:$B$503,_calc!$E$736))&amp;". ")&amp;IF(LEN(IF(LEN(INDEX('Our policies'!$C$4:$C$503,_calc!$E$736))=0,"",INDEX('Our policies'!$C$4:$C$503,_calc!$E$736)))=0,"","Insurer: "&amp;IF(LEN(INDEX('Our policies'!$C$4:$C$503,_calc!$E$736))=0,"",INDEX('Our policies'!$C$4:$C$503,_calc!$E$736))&amp;". ")&amp;IF(LEN(IF(LEN(INDEX('Our policies'!$D$4:$D$503,_calc!$E$736))=0,"",INDEX('Our policies'!$D$4:$D$503,_calc!$E$736)))=0,"","Broker: "&amp;IF(LEN(INDEX('Our policies'!$D$4:$D$503,_calc!$E$736))=0,"",INDEX('Our policies'!$D$4:$D$503,_calc!$E$736))&amp;". ")&amp;IF(LEN(IF(LEN(INDEX('Our policies'!$E$4:$E$503,_calc!$E$736))=0,"",INDEX('Our policies'!$E$4:$E$503,_calc!$E$736)))=0,"","Policy no.: "&amp;IF(LEN(INDEX('Our policies'!$E$4:$E$503,_calc!$E$736))=0,"",INDEX('Our policies'!$E$4:$E$503,_calc!$E$736))&amp;". ")&amp;IF(LEN(IF(LEN(INDEX('Our policies'!$S$4:$S$503,_calc!$E$736))=0,"",INDEX('Our policies'!$S$4:$S$503,_calc!$E$736)))=0,"",IF(LEN(INDEX('Our policies'!$S$4:$S$503,_calc!$E$736))=0,"",INDEX('Our policies'!$S$4:$S$503,_calc!$E$736)))),TRIM(IF(LEN(IF(LEN(INDEX('Vendor COIs'!$C$4:$C$503,(_calc!$E$736-500)))=0,"",INDEX('Vendor COIs'!$C$4:$C$503,(_calc!$E$736-500))))=0,"","Insurer: "&amp;IF(LEN(INDEX('Vendor COIs'!$C$4:$C$503,(_calc!$E$736-500)))=0,"",INDEX('Vendor COIs'!$C$4:$C$503,(_calc!$E$736-500)))&amp;". ")&amp;IF(LEN(IF(LEN(INDEX('Vendor COIs'!$D$4:$D$503,(_calc!$E$736-500)))=0,"",INDEX('Vendor COIs'!$D$4:$D$503,(_calc!$E$736-500))))=0,"","Policy no.: "&amp;IF(LEN(INDEX('Vendor COIs'!$D$4:$D$503,(_calc!$E$736-500)))=0,"",INDEX('Vendor COIs'!$D$4:$D$503,(_calc!$E$736-500)))&amp;". ")&amp;IF(LEN(IF(LEN(INDEX('Vendor COIs'!$F$4:$F$503,(_calc!$E$736-500)))=0,"",INDEX('Vendor COIs'!$F$4:$F$503,(_calc!$E$736-500))))=0,"","Meets minimum: "&amp;IF(LEN(INDEX('Vendor COIs'!$F$4:$F$503,(_calc!$E$736-500)))=0,"",INDEX('Vendor COIs'!$F$4:$F$503,(_calc!$E$736-500)))&amp;". ")&amp;IF(LEN(IF(LEN(INDEX('Vendor COIs'!$G$4:$G$503,(_calc!$E$736-500)))=0,"",INDEX('Vendor COIs'!$G$4:$G$503,(_calc!$E$736-500))))=0,"","Additional insured: "&amp;IF(LEN(INDEX('Vendor COIs'!$G$4:$G$503,(_calc!$E$736-500)))=0,"",INDEX('Vendor COIs'!$G$4:$G$503,(_calc!$E$736-500)))&amp;". ")&amp;IF(LEN(IF(LEN(INDEX('Vendor COIs'!$M$4:$M$503,(_calc!$E$736-500)))=0,"",INDEX('Vendor COIs'!$M$4:$M$503,(_calc!$E$736-500))))=0,"","Vendor contact: "&amp;IF(LEN(INDEX('Vendor COIs'!$M$4:$M$503,(_calc!$E$736-500)))=0,"",INDEX('Vendor COIs'!$M$4:$M$503,(_calc!$E$736-500)))&amp;". ")&amp;IF(LEN(IF(LEN(INDEX('Vendor COIs'!$P$4:$P$503,(_calc!$E$736-500)))=0,"",INDEX('Vendor COIs'!$P$4:$P$503,(_calc!$E$736-500))))=0,"",IF(LEN(INDEX('Vendor COIs'!$P$4:$P$503,(_calc!$E$736-500)))=0,"",INDEX('Vendor COIs'!$P$4:$P$503,(_calc!$E$736-500)))))))</f>
        <v/>
      </c>
      <c r="G734" s="46">
        <f>IF(_calc!$E$736="","",IF(_calc!$E$736&lt;=500,IF(LEN(INDEX('Our policies'!$R$4:$R$503,_calc!$E$736))=0,"",INDEX('Our policies'!$R$4:$R$503,_calc!$E$736)),IF(LEN(INDEX('Vendor COIs'!$O$4:$O$503,(_calc!$E$736-500)))=0,"",INDEX('Vendor COIs'!$O$4:$O$503,(_calc!$E$736-500)))))</f>
        <v/>
      </c>
      <c r="H734" s="46">
        <f>IF(_calc!$E$736="","",IF(_calc!$E$736&lt;=500,IF(LEN(INDEX('Our policies'!$G$4:$G$503,_calc!$E$736))=0,"",INDEX('Our policies'!$G$4:$G$503,_calc!$E$736)),""))</f>
        <v/>
      </c>
      <c r="I734" s="46">
        <f>IF(_calc!$E$736="","",IF(_calc!$E$736&lt;=500,IF(LEN(INDEX('Our policies'!$H$4:$H$503,_calc!$E$736))=0,"",INDEX('Our policies'!$H$4:$H$503,_calc!$E$736)),""))</f>
        <v/>
      </c>
      <c r="K734" s="46">
        <f>IF(_calc!$E$736="","",IF(_calc!$E$736&lt;=500,IF(LEN(INDEX('Our policies'!$P$4:$P$503,_calc!$E$736))=0,"",INDEX('Our policies'!$P$4:$P$503,_calc!$E$736)),IF(LEN(INDEX('Vendor COIs'!$N$4:$N$503,(_calc!$E$736-500)))=0,"",INDEX('Vendor COIs'!$N$4:$N$503,(_calc!$E$736-500)))))</f>
        <v/>
      </c>
    </row>
    <row r="735">
      <c r="A735" s="46">
        <f>IF(_calc!$E$737="","",IF(_calc!$E$737&lt;=500,IF(LEN(INDEX('Our policies'!$A$4:$A$503,_calc!$E$737))=0,"",INDEX('Our policies'!$A$4:$A$503,_calc!$E$737)),"COI – "&amp;IF(LEN(INDEX('Vendor COIs'!$A$4:$A$503,(_calc!$E$737-500)))=0,"",INDEX('Vendor COIs'!$A$4:$A$503,(_calc!$E$737-500)))&amp;" – "&amp;IF(LEN(INDEX('Vendor COIs'!$B$4:$B$503,(_calc!$E$737-500)))=0,"",INDEX('Vendor COIs'!$B$4:$B$503,(_calc!$E$737-500)))))</f>
        <v/>
      </c>
      <c r="B735" s="46">
        <f>IF(_calc!$E$737="","",IF(_calc!$E$737&lt;=500,IF(ISNUMBER(INDEX('Our policies'!$J$4:$J$503,_calc!$E$737)),TEXT(INDEX('Our policies'!$J$4:$J$503,_calc!$E$737),"yyyy-mm-dd"),""),IF(ISNUMBER(INDEX('Vendor COIs'!$H$4:$H$503,(_calc!$E$737-500))),TEXT(INDEX('Vendor COIs'!$H$4:$H$503,(_calc!$E$737-500)),"yyyy-mm-dd"),"")))</f>
        <v/>
      </c>
      <c r="C735" s="46">
        <f>IF(_calc!$E$737="","",IF(_calc!$E$737&lt;=500,"Insurance","Certificate of insurance"))</f>
        <v/>
      </c>
      <c r="D735" s="46">
        <f>IF(_calc!$E$737="","",IF(_calc!$E$737&lt;=500,IF(ISNUMBER(INDEX('Our policies'!$I$4:$I$503,_calc!$E$737)),TEXT(INDEX('Our policies'!$I$4:$I$503,_calc!$E$737),"yyyy-mm-dd"),""),""))</f>
        <v/>
      </c>
      <c r="E735" s="46">
        <f>IF(_calc!$E$737="","",IF(_calc!$E$737&lt;=500,IF(LEN(INDEX('Our policies'!$Q$4:$Q$503,_calc!$E$737))=0,"",INDEX('Our policies'!$Q$4:$Q$503,_calc!$E$737)),"Medium"))</f>
        <v/>
      </c>
      <c r="F735" s="46">
        <f>IF(_calc!$E$737="","",IF(_calc!$E$737&lt;=500,TRIM(IF(LEN(IF(LEN(INDEX('Our policies'!$B$4:$B$503,_calc!$E$737))=0,"",INDEX('Our policies'!$B$4:$B$503,_calc!$E$737)))=0,"","Cover: "&amp;IF(LEN(INDEX('Our policies'!$B$4:$B$503,_calc!$E$737))=0,"",INDEX('Our policies'!$B$4:$B$503,_calc!$E$737))&amp;". ")&amp;IF(LEN(IF(LEN(INDEX('Our policies'!$C$4:$C$503,_calc!$E$737))=0,"",INDEX('Our policies'!$C$4:$C$503,_calc!$E$737)))=0,"","Insurer: "&amp;IF(LEN(INDEX('Our policies'!$C$4:$C$503,_calc!$E$737))=0,"",INDEX('Our policies'!$C$4:$C$503,_calc!$E$737))&amp;". ")&amp;IF(LEN(IF(LEN(INDEX('Our policies'!$D$4:$D$503,_calc!$E$737))=0,"",INDEX('Our policies'!$D$4:$D$503,_calc!$E$737)))=0,"","Broker: "&amp;IF(LEN(INDEX('Our policies'!$D$4:$D$503,_calc!$E$737))=0,"",INDEX('Our policies'!$D$4:$D$503,_calc!$E$737))&amp;". ")&amp;IF(LEN(IF(LEN(INDEX('Our policies'!$E$4:$E$503,_calc!$E$737))=0,"",INDEX('Our policies'!$E$4:$E$503,_calc!$E$737)))=0,"","Policy no.: "&amp;IF(LEN(INDEX('Our policies'!$E$4:$E$503,_calc!$E$737))=0,"",INDEX('Our policies'!$E$4:$E$503,_calc!$E$737))&amp;". ")&amp;IF(LEN(IF(LEN(INDEX('Our policies'!$S$4:$S$503,_calc!$E$737))=0,"",INDEX('Our policies'!$S$4:$S$503,_calc!$E$737)))=0,"",IF(LEN(INDEX('Our policies'!$S$4:$S$503,_calc!$E$737))=0,"",INDEX('Our policies'!$S$4:$S$503,_calc!$E$737)))),TRIM(IF(LEN(IF(LEN(INDEX('Vendor COIs'!$C$4:$C$503,(_calc!$E$737-500)))=0,"",INDEX('Vendor COIs'!$C$4:$C$503,(_calc!$E$737-500))))=0,"","Insurer: "&amp;IF(LEN(INDEX('Vendor COIs'!$C$4:$C$503,(_calc!$E$737-500)))=0,"",INDEX('Vendor COIs'!$C$4:$C$503,(_calc!$E$737-500)))&amp;". ")&amp;IF(LEN(IF(LEN(INDEX('Vendor COIs'!$D$4:$D$503,(_calc!$E$737-500)))=0,"",INDEX('Vendor COIs'!$D$4:$D$503,(_calc!$E$737-500))))=0,"","Policy no.: "&amp;IF(LEN(INDEX('Vendor COIs'!$D$4:$D$503,(_calc!$E$737-500)))=0,"",INDEX('Vendor COIs'!$D$4:$D$503,(_calc!$E$737-500)))&amp;". ")&amp;IF(LEN(IF(LEN(INDEX('Vendor COIs'!$F$4:$F$503,(_calc!$E$737-500)))=0,"",INDEX('Vendor COIs'!$F$4:$F$503,(_calc!$E$737-500))))=0,"","Meets minimum: "&amp;IF(LEN(INDEX('Vendor COIs'!$F$4:$F$503,(_calc!$E$737-500)))=0,"",INDEX('Vendor COIs'!$F$4:$F$503,(_calc!$E$737-500)))&amp;". ")&amp;IF(LEN(IF(LEN(INDEX('Vendor COIs'!$G$4:$G$503,(_calc!$E$737-500)))=0,"",INDEX('Vendor COIs'!$G$4:$G$503,(_calc!$E$737-500))))=0,"","Additional insured: "&amp;IF(LEN(INDEX('Vendor COIs'!$G$4:$G$503,(_calc!$E$737-500)))=0,"",INDEX('Vendor COIs'!$G$4:$G$503,(_calc!$E$737-500)))&amp;". ")&amp;IF(LEN(IF(LEN(INDEX('Vendor COIs'!$M$4:$M$503,(_calc!$E$737-500)))=0,"",INDEX('Vendor COIs'!$M$4:$M$503,(_calc!$E$737-500))))=0,"","Vendor contact: "&amp;IF(LEN(INDEX('Vendor COIs'!$M$4:$M$503,(_calc!$E$737-500)))=0,"",INDEX('Vendor COIs'!$M$4:$M$503,(_calc!$E$737-500)))&amp;". ")&amp;IF(LEN(IF(LEN(INDEX('Vendor COIs'!$P$4:$P$503,(_calc!$E$737-500)))=0,"",INDEX('Vendor COIs'!$P$4:$P$503,(_calc!$E$737-500))))=0,"",IF(LEN(INDEX('Vendor COIs'!$P$4:$P$503,(_calc!$E$737-500)))=0,"",INDEX('Vendor COIs'!$P$4:$P$503,(_calc!$E$737-500)))))))</f>
        <v/>
      </c>
      <c r="G735" s="46">
        <f>IF(_calc!$E$737="","",IF(_calc!$E$737&lt;=500,IF(LEN(INDEX('Our policies'!$R$4:$R$503,_calc!$E$737))=0,"",INDEX('Our policies'!$R$4:$R$503,_calc!$E$737)),IF(LEN(INDEX('Vendor COIs'!$O$4:$O$503,(_calc!$E$737-500)))=0,"",INDEX('Vendor COIs'!$O$4:$O$503,(_calc!$E$737-500)))))</f>
        <v/>
      </c>
      <c r="H735" s="46">
        <f>IF(_calc!$E$737="","",IF(_calc!$E$737&lt;=500,IF(LEN(INDEX('Our policies'!$G$4:$G$503,_calc!$E$737))=0,"",INDEX('Our policies'!$G$4:$G$503,_calc!$E$737)),""))</f>
        <v/>
      </c>
      <c r="I735" s="46">
        <f>IF(_calc!$E$737="","",IF(_calc!$E$737&lt;=500,IF(LEN(INDEX('Our policies'!$H$4:$H$503,_calc!$E$737))=0,"",INDEX('Our policies'!$H$4:$H$503,_calc!$E$737)),""))</f>
        <v/>
      </c>
      <c r="K735" s="46">
        <f>IF(_calc!$E$737="","",IF(_calc!$E$737&lt;=500,IF(LEN(INDEX('Our policies'!$P$4:$P$503,_calc!$E$737))=0,"",INDEX('Our policies'!$P$4:$P$503,_calc!$E$737)),IF(LEN(INDEX('Vendor COIs'!$N$4:$N$503,(_calc!$E$737-500)))=0,"",INDEX('Vendor COIs'!$N$4:$N$503,(_calc!$E$737-500)))))</f>
        <v/>
      </c>
    </row>
    <row r="736">
      <c r="A736" s="46">
        <f>IF(_calc!$E$738="","",IF(_calc!$E$738&lt;=500,IF(LEN(INDEX('Our policies'!$A$4:$A$503,_calc!$E$738))=0,"",INDEX('Our policies'!$A$4:$A$503,_calc!$E$738)),"COI – "&amp;IF(LEN(INDEX('Vendor COIs'!$A$4:$A$503,(_calc!$E$738-500)))=0,"",INDEX('Vendor COIs'!$A$4:$A$503,(_calc!$E$738-500)))&amp;" – "&amp;IF(LEN(INDEX('Vendor COIs'!$B$4:$B$503,(_calc!$E$738-500)))=0,"",INDEX('Vendor COIs'!$B$4:$B$503,(_calc!$E$738-500)))))</f>
        <v/>
      </c>
      <c r="B736" s="46">
        <f>IF(_calc!$E$738="","",IF(_calc!$E$738&lt;=500,IF(ISNUMBER(INDEX('Our policies'!$J$4:$J$503,_calc!$E$738)),TEXT(INDEX('Our policies'!$J$4:$J$503,_calc!$E$738),"yyyy-mm-dd"),""),IF(ISNUMBER(INDEX('Vendor COIs'!$H$4:$H$503,(_calc!$E$738-500))),TEXT(INDEX('Vendor COIs'!$H$4:$H$503,(_calc!$E$738-500)),"yyyy-mm-dd"),"")))</f>
        <v/>
      </c>
      <c r="C736" s="46">
        <f>IF(_calc!$E$738="","",IF(_calc!$E$738&lt;=500,"Insurance","Certificate of insurance"))</f>
        <v/>
      </c>
      <c r="D736" s="46">
        <f>IF(_calc!$E$738="","",IF(_calc!$E$738&lt;=500,IF(ISNUMBER(INDEX('Our policies'!$I$4:$I$503,_calc!$E$738)),TEXT(INDEX('Our policies'!$I$4:$I$503,_calc!$E$738),"yyyy-mm-dd"),""),""))</f>
        <v/>
      </c>
      <c r="E736" s="46">
        <f>IF(_calc!$E$738="","",IF(_calc!$E$738&lt;=500,IF(LEN(INDEX('Our policies'!$Q$4:$Q$503,_calc!$E$738))=0,"",INDEX('Our policies'!$Q$4:$Q$503,_calc!$E$738)),"Medium"))</f>
        <v/>
      </c>
      <c r="F736" s="46">
        <f>IF(_calc!$E$738="","",IF(_calc!$E$738&lt;=500,TRIM(IF(LEN(IF(LEN(INDEX('Our policies'!$B$4:$B$503,_calc!$E$738))=0,"",INDEX('Our policies'!$B$4:$B$503,_calc!$E$738)))=0,"","Cover: "&amp;IF(LEN(INDEX('Our policies'!$B$4:$B$503,_calc!$E$738))=0,"",INDEX('Our policies'!$B$4:$B$503,_calc!$E$738))&amp;". ")&amp;IF(LEN(IF(LEN(INDEX('Our policies'!$C$4:$C$503,_calc!$E$738))=0,"",INDEX('Our policies'!$C$4:$C$503,_calc!$E$738)))=0,"","Insurer: "&amp;IF(LEN(INDEX('Our policies'!$C$4:$C$503,_calc!$E$738))=0,"",INDEX('Our policies'!$C$4:$C$503,_calc!$E$738))&amp;". ")&amp;IF(LEN(IF(LEN(INDEX('Our policies'!$D$4:$D$503,_calc!$E$738))=0,"",INDEX('Our policies'!$D$4:$D$503,_calc!$E$738)))=0,"","Broker: "&amp;IF(LEN(INDEX('Our policies'!$D$4:$D$503,_calc!$E$738))=0,"",INDEX('Our policies'!$D$4:$D$503,_calc!$E$738))&amp;". ")&amp;IF(LEN(IF(LEN(INDEX('Our policies'!$E$4:$E$503,_calc!$E$738))=0,"",INDEX('Our policies'!$E$4:$E$503,_calc!$E$738)))=0,"","Policy no.: "&amp;IF(LEN(INDEX('Our policies'!$E$4:$E$503,_calc!$E$738))=0,"",INDEX('Our policies'!$E$4:$E$503,_calc!$E$738))&amp;". ")&amp;IF(LEN(IF(LEN(INDEX('Our policies'!$S$4:$S$503,_calc!$E$738))=0,"",INDEX('Our policies'!$S$4:$S$503,_calc!$E$738)))=0,"",IF(LEN(INDEX('Our policies'!$S$4:$S$503,_calc!$E$738))=0,"",INDEX('Our policies'!$S$4:$S$503,_calc!$E$738)))),TRIM(IF(LEN(IF(LEN(INDEX('Vendor COIs'!$C$4:$C$503,(_calc!$E$738-500)))=0,"",INDEX('Vendor COIs'!$C$4:$C$503,(_calc!$E$738-500))))=0,"","Insurer: "&amp;IF(LEN(INDEX('Vendor COIs'!$C$4:$C$503,(_calc!$E$738-500)))=0,"",INDEX('Vendor COIs'!$C$4:$C$503,(_calc!$E$738-500)))&amp;". ")&amp;IF(LEN(IF(LEN(INDEX('Vendor COIs'!$D$4:$D$503,(_calc!$E$738-500)))=0,"",INDEX('Vendor COIs'!$D$4:$D$503,(_calc!$E$738-500))))=0,"","Policy no.: "&amp;IF(LEN(INDEX('Vendor COIs'!$D$4:$D$503,(_calc!$E$738-500)))=0,"",INDEX('Vendor COIs'!$D$4:$D$503,(_calc!$E$738-500)))&amp;". ")&amp;IF(LEN(IF(LEN(INDEX('Vendor COIs'!$F$4:$F$503,(_calc!$E$738-500)))=0,"",INDEX('Vendor COIs'!$F$4:$F$503,(_calc!$E$738-500))))=0,"","Meets minimum: "&amp;IF(LEN(INDEX('Vendor COIs'!$F$4:$F$503,(_calc!$E$738-500)))=0,"",INDEX('Vendor COIs'!$F$4:$F$503,(_calc!$E$738-500)))&amp;". ")&amp;IF(LEN(IF(LEN(INDEX('Vendor COIs'!$G$4:$G$503,(_calc!$E$738-500)))=0,"",INDEX('Vendor COIs'!$G$4:$G$503,(_calc!$E$738-500))))=0,"","Additional insured: "&amp;IF(LEN(INDEX('Vendor COIs'!$G$4:$G$503,(_calc!$E$738-500)))=0,"",INDEX('Vendor COIs'!$G$4:$G$503,(_calc!$E$738-500)))&amp;". ")&amp;IF(LEN(IF(LEN(INDEX('Vendor COIs'!$M$4:$M$503,(_calc!$E$738-500)))=0,"",INDEX('Vendor COIs'!$M$4:$M$503,(_calc!$E$738-500))))=0,"","Vendor contact: "&amp;IF(LEN(INDEX('Vendor COIs'!$M$4:$M$503,(_calc!$E$738-500)))=0,"",INDEX('Vendor COIs'!$M$4:$M$503,(_calc!$E$738-500)))&amp;". ")&amp;IF(LEN(IF(LEN(INDEX('Vendor COIs'!$P$4:$P$503,(_calc!$E$738-500)))=0,"",INDEX('Vendor COIs'!$P$4:$P$503,(_calc!$E$738-500))))=0,"",IF(LEN(INDEX('Vendor COIs'!$P$4:$P$503,(_calc!$E$738-500)))=0,"",INDEX('Vendor COIs'!$P$4:$P$503,(_calc!$E$738-500)))))))</f>
        <v/>
      </c>
      <c r="G736" s="46">
        <f>IF(_calc!$E$738="","",IF(_calc!$E$738&lt;=500,IF(LEN(INDEX('Our policies'!$R$4:$R$503,_calc!$E$738))=0,"",INDEX('Our policies'!$R$4:$R$503,_calc!$E$738)),IF(LEN(INDEX('Vendor COIs'!$O$4:$O$503,(_calc!$E$738-500)))=0,"",INDEX('Vendor COIs'!$O$4:$O$503,(_calc!$E$738-500)))))</f>
        <v/>
      </c>
      <c r="H736" s="46">
        <f>IF(_calc!$E$738="","",IF(_calc!$E$738&lt;=500,IF(LEN(INDEX('Our policies'!$G$4:$G$503,_calc!$E$738))=0,"",INDEX('Our policies'!$G$4:$G$503,_calc!$E$738)),""))</f>
        <v/>
      </c>
      <c r="I736" s="46">
        <f>IF(_calc!$E$738="","",IF(_calc!$E$738&lt;=500,IF(LEN(INDEX('Our policies'!$H$4:$H$503,_calc!$E$738))=0,"",INDEX('Our policies'!$H$4:$H$503,_calc!$E$738)),""))</f>
        <v/>
      </c>
      <c r="K736" s="46">
        <f>IF(_calc!$E$738="","",IF(_calc!$E$738&lt;=500,IF(LEN(INDEX('Our policies'!$P$4:$P$503,_calc!$E$738))=0,"",INDEX('Our policies'!$P$4:$P$503,_calc!$E$738)),IF(LEN(INDEX('Vendor COIs'!$N$4:$N$503,(_calc!$E$738-500)))=0,"",INDEX('Vendor COIs'!$N$4:$N$503,(_calc!$E$738-500)))))</f>
        <v/>
      </c>
    </row>
    <row r="737">
      <c r="A737" s="46">
        <f>IF(_calc!$E$739="","",IF(_calc!$E$739&lt;=500,IF(LEN(INDEX('Our policies'!$A$4:$A$503,_calc!$E$739))=0,"",INDEX('Our policies'!$A$4:$A$503,_calc!$E$739)),"COI – "&amp;IF(LEN(INDEX('Vendor COIs'!$A$4:$A$503,(_calc!$E$739-500)))=0,"",INDEX('Vendor COIs'!$A$4:$A$503,(_calc!$E$739-500)))&amp;" – "&amp;IF(LEN(INDEX('Vendor COIs'!$B$4:$B$503,(_calc!$E$739-500)))=0,"",INDEX('Vendor COIs'!$B$4:$B$503,(_calc!$E$739-500)))))</f>
        <v/>
      </c>
      <c r="B737" s="46">
        <f>IF(_calc!$E$739="","",IF(_calc!$E$739&lt;=500,IF(ISNUMBER(INDEX('Our policies'!$J$4:$J$503,_calc!$E$739)),TEXT(INDEX('Our policies'!$J$4:$J$503,_calc!$E$739),"yyyy-mm-dd"),""),IF(ISNUMBER(INDEX('Vendor COIs'!$H$4:$H$503,(_calc!$E$739-500))),TEXT(INDEX('Vendor COIs'!$H$4:$H$503,(_calc!$E$739-500)),"yyyy-mm-dd"),"")))</f>
        <v/>
      </c>
      <c r="C737" s="46">
        <f>IF(_calc!$E$739="","",IF(_calc!$E$739&lt;=500,"Insurance","Certificate of insurance"))</f>
        <v/>
      </c>
      <c r="D737" s="46">
        <f>IF(_calc!$E$739="","",IF(_calc!$E$739&lt;=500,IF(ISNUMBER(INDEX('Our policies'!$I$4:$I$503,_calc!$E$739)),TEXT(INDEX('Our policies'!$I$4:$I$503,_calc!$E$739),"yyyy-mm-dd"),""),""))</f>
        <v/>
      </c>
      <c r="E737" s="46">
        <f>IF(_calc!$E$739="","",IF(_calc!$E$739&lt;=500,IF(LEN(INDEX('Our policies'!$Q$4:$Q$503,_calc!$E$739))=0,"",INDEX('Our policies'!$Q$4:$Q$503,_calc!$E$739)),"Medium"))</f>
        <v/>
      </c>
      <c r="F737" s="46">
        <f>IF(_calc!$E$739="","",IF(_calc!$E$739&lt;=500,TRIM(IF(LEN(IF(LEN(INDEX('Our policies'!$B$4:$B$503,_calc!$E$739))=0,"",INDEX('Our policies'!$B$4:$B$503,_calc!$E$739)))=0,"","Cover: "&amp;IF(LEN(INDEX('Our policies'!$B$4:$B$503,_calc!$E$739))=0,"",INDEX('Our policies'!$B$4:$B$503,_calc!$E$739))&amp;". ")&amp;IF(LEN(IF(LEN(INDEX('Our policies'!$C$4:$C$503,_calc!$E$739))=0,"",INDEX('Our policies'!$C$4:$C$503,_calc!$E$739)))=0,"","Insurer: "&amp;IF(LEN(INDEX('Our policies'!$C$4:$C$503,_calc!$E$739))=0,"",INDEX('Our policies'!$C$4:$C$503,_calc!$E$739))&amp;". ")&amp;IF(LEN(IF(LEN(INDEX('Our policies'!$D$4:$D$503,_calc!$E$739))=0,"",INDEX('Our policies'!$D$4:$D$503,_calc!$E$739)))=0,"","Broker: "&amp;IF(LEN(INDEX('Our policies'!$D$4:$D$503,_calc!$E$739))=0,"",INDEX('Our policies'!$D$4:$D$503,_calc!$E$739))&amp;". ")&amp;IF(LEN(IF(LEN(INDEX('Our policies'!$E$4:$E$503,_calc!$E$739))=0,"",INDEX('Our policies'!$E$4:$E$503,_calc!$E$739)))=0,"","Policy no.: "&amp;IF(LEN(INDEX('Our policies'!$E$4:$E$503,_calc!$E$739))=0,"",INDEX('Our policies'!$E$4:$E$503,_calc!$E$739))&amp;". ")&amp;IF(LEN(IF(LEN(INDEX('Our policies'!$S$4:$S$503,_calc!$E$739))=0,"",INDEX('Our policies'!$S$4:$S$503,_calc!$E$739)))=0,"",IF(LEN(INDEX('Our policies'!$S$4:$S$503,_calc!$E$739))=0,"",INDEX('Our policies'!$S$4:$S$503,_calc!$E$739)))),TRIM(IF(LEN(IF(LEN(INDEX('Vendor COIs'!$C$4:$C$503,(_calc!$E$739-500)))=0,"",INDEX('Vendor COIs'!$C$4:$C$503,(_calc!$E$739-500))))=0,"","Insurer: "&amp;IF(LEN(INDEX('Vendor COIs'!$C$4:$C$503,(_calc!$E$739-500)))=0,"",INDEX('Vendor COIs'!$C$4:$C$503,(_calc!$E$739-500)))&amp;". ")&amp;IF(LEN(IF(LEN(INDEX('Vendor COIs'!$D$4:$D$503,(_calc!$E$739-500)))=0,"",INDEX('Vendor COIs'!$D$4:$D$503,(_calc!$E$739-500))))=0,"","Policy no.: "&amp;IF(LEN(INDEX('Vendor COIs'!$D$4:$D$503,(_calc!$E$739-500)))=0,"",INDEX('Vendor COIs'!$D$4:$D$503,(_calc!$E$739-500)))&amp;". ")&amp;IF(LEN(IF(LEN(INDEX('Vendor COIs'!$F$4:$F$503,(_calc!$E$739-500)))=0,"",INDEX('Vendor COIs'!$F$4:$F$503,(_calc!$E$739-500))))=0,"","Meets minimum: "&amp;IF(LEN(INDEX('Vendor COIs'!$F$4:$F$503,(_calc!$E$739-500)))=0,"",INDEX('Vendor COIs'!$F$4:$F$503,(_calc!$E$739-500)))&amp;". ")&amp;IF(LEN(IF(LEN(INDEX('Vendor COIs'!$G$4:$G$503,(_calc!$E$739-500)))=0,"",INDEX('Vendor COIs'!$G$4:$G$503,(_calc!$E$739-500))))=0,"","Additional insured: "&amp;IF(LEN(INDEX('Vendor COIs'!$G$4:$G$503,(_calc!$E$739-500)))=0,"",INDEX('Vendor COIs'!$G$4:$G$503,(_calc!$E$739-500)))&amp;". ")&amp;IF(LEN(IF(LEN(INDEX('Vendor COIs'!$M$4:$M$503,(_calc!$E$739-500)))=0,"",INDEX('Vendor COIs'!$M$4:$M$503,(_calc!$E$739-500))))=0,"","Vendor contact: "&amp;IF(LEN(INDEX('Vendor COIs'!$M$4:$M$503,(_calc!$E$739-500)))=0,"",INDEX('Vendor COIs'!$M$4:$M$503,(_calc!$E$739-500)))&amp;". ")&amp;IF(LEN(IF(LEN(INDEX('Vendor COIs'!$P$4:$P$503,(_calc!$E$739-500)))=0,"",INDEX('Vendor COIs'!$P$4:$P$503,(_calc!$E$739-500))))=0,"",IF(LEN(INDEX('Vendor COIs'!$P$4:$P$503,(_calc!$E$739-500)))=0,"",INDEX('Vendor COIs'!$P$4:$P$503,(_calc!$E$739-500)))))))</f>
        <v/>
      </c>
      <c r="G737" s="46">
        <f>IF(_calc!$E$739="","",IF(_calc!$E$739&lt;=500,IF(LEN(INDEX('Our policies'!$R$4:$R$503,_calc!$E$739))=0,"",INDEX('Our policies'!$R$4:$R$503,_calc!$E$739)),IF(LEN(INDEX('Vendor COIs'!$O$4:$O$503,(_calc!$E$739-500)))=0,"",INDEX('Vendor COIs'!$O$4:$O$503,(_calc!$E$739-500)))))</f>
        <v/>
      </c>
      <c r="H737" s="46">
        <f>IF(_calc!$E$739="","",IF(_calc!$E$739&lt;=500,IF(LEN(INDEX('Our policies'!$G$4:$G$503,_calc!$E$739))=0,"",INDEX('Our policies'!$G$4:$G$503,_calc!$E$739)),""))</f>
        <v/>
      </c>
      <c r="I737" s="46">
        <f>IF(_calc!$E$739="","",IF(_calc!$E$739&lt;=500,IF(LEN(INDEX('Our policies'!$H$4:$H$503,_calc!$E$739))=0,"",INDEX('Our policies'!$H$4:$H$503,_calc!$E$739)),""))</f>
        <v/>
      </c>
      <c r="K737" s="46">
        <f>IF(_calc!$E$739="","",IF(_calc!$E$739&lt;=500,IF(LEN(INDEX('Our policies'!$P$4:$P$503,_calc!$E$739))=0,"",INDEX('Our policies'!$P$4:$P$503,_calc!$E$739)),IF(LEN(INDEX('Vendor COIs'!$N$4:$N$503,(_calc!$E$739-500)))=0,"",INDEX('Vendor COIs'!$N$4:$N$503,(_calc!$E$739-500)))))</f>
        <v/>
      </c>
    </row>
    <row r="738">
      <c r="A738" s="46">
        <f>IF(_calc!$E$740="","",IF(_calc!$E$740&lt;=500,IF(LEN(INDEX('Our policies'!$A$4:$A$503,_calc!$E$740))=0,"",INDEX('Our policies'!$A$4:$A$503,_calc!$E$740)),"COI – "&amp;IF(LEN(INDEX('Vendor COIs'!$A$4:$A$503,(_calc!$E$740-500)))=0,"",INDEX('Vendor COIs'!$A$4:$A$503,(_calc!$E$740-500)))&amp;" – "&amp;IF(LEN(INDEX('Vendor COIs'!$B$4:$B$503,(_calc!$E$740-500)))=0,"",INDEX('Vendor COIs'!$B$4:$B$503,(_calc!$E$740-500)))))</f>
        <v/>
      </c>
      <c r="B738" s="46">
        <f>IF(_calc!$E$740="","",IF(_calc!$E$740&lt;=500,IF(ISNUMBER(INDEX('Our policies'!$J$4:$J$503,_calc!$E$740)),TEXT(INDEX('Our policies'!$J$4:$J$503,_calc!$E$740),"yyyy-mm-dd"),""),IF(ISNUMBER(INDEX('Vendor COIs'!$H$4:$H$503,(_calc!$E$740-500))),TEXT(INDEX('Vendor COIs'!$H$4:$H$503,(_calc!$E$740-500)),"yyyy-mm-dd"),"")))</f>
        <v/>
      </c>
      <c r="C738" s="46">
        <f>IF(_calc!$E$740="","",IF(_calc!$E$740&lt;=500,"Insurance","Certificate of insurance"))</f>
        <v/>
      </c>
      <c r="D738" s="46">
        <f>IF(_calc!$E$740="","",IF(_calc!$E$740&lt;=500,IF(ISNUMBER(INDEX('Our policies'!$I$4:$I$503,_calc!$E$740)),TEXT(INDEX('Our policies'!$I$4:$I$503,_calc!$E$740),"yyyy-mm-dd"),""),""))</f>
        <v/>
      </c>
      <c r="E738" s="46">
        <f>IF(_calc!$E$740="","",IF(_calc!$E$740&lt;=500,IF(LEN(INDEX('Our policies'!$Q$4:$Q$503,_calc!$E$740))=0,"",INDEX('Our policies'!$Q$4:$Q$503,_calc!$E$740)),"Medium"))</f>
        <v/>
      </c>
      <c r="F738" s="46">
        <f>IF(_calc!$E$740="","",IF(_calc!$E$740&lt;=500,TRIM(IF(LEN(IF(LEN(INDEX('Our policies'!$B$4:$B$503,_calc!$E$740))=0,"",INDEX('Our policies'!$B$4:$B$503,_calc!$E$740)))=0,"","Cover: "&amp;IF(LEN(INDEX('Our policies'!$B$4:$B$503,_calc!$E$740))=0,"",INDEX('Our policies'!$B$4:$B$503,_calc!$E$740))&amp;". ")&amp;IF(LEN(IF(LEN(INDEX('Our policies'!$C$4:$C$503,_calc!$E$740))=0,"",INDEX('Our policies'!$C$4:$C$503,_calc!$E$740)))=0,"","Insurer: "&amp;IF(LEN(INDEX('Our policies'!$C$4:$C$503,_calc!$E$740))=0,"",INDEX('Our policies'!$C$4:$C$503,_calc!$E$740))&amp;". ")&amp;IF(LEN(IF(LEN(INDEX('Our policies'!$D$4:$D$503,_calc!$E$740))=0,"",INDEX('Our policies'!$D$4:$D$503,_calc!$E$740)))=0,"","Broker: "&amp;IF(LEN(INDEX('Our policies'!$D$4:$D$503,_calc!$E$740))=0,"",INDEX('Our policies'!$D$4:$D$503,_calc!$E$740))&amp;". ")&amp;IF(LEN(IF(LEN(INDEX('Our policies'!$E$4:$E$503,_calc!$E$740))=0,"",INDEX('Our policies'!$E$4:$E$503,_calc!$E$740)))=0,"","Policy no.: "&amp;IF(LEN(INDEX('Our policies'!$E$4:$E$503,_calc!$E$740))=0,"",INDEX('Our policies'!$E$4:$E$503,_calc!$E$740))&amp;". ")&amp;IF(LEN(IF(LEN(INDEX('Our policies'!$S$4:$S$503,_calc!$E$740))=0,"",INDEX('Our policies'!$S$4:$S$503,_calc!$E$740)))=0,"",IF(LEN(INDEX('Our policies'!$S$4:$S$503,_calc!$E$740))=0,"",INDEX('Our policies'!$S$4:$S$503,_calc!$E$740)))),TRIM(IF(LEN(IF(LEN(INDEX('Vendor COIs'!$C$4:$C$503,(_calc!$E$740-500)))=0,"",INDEX('Vendor COIs'!$C$4:$C$503,(_calc!$E$740-500))))=0,"","Insurer: "&amp;IF(LEN(INDEX('Vendor COIs'!$C$4:$C$503,(_calc!$E$740-500)))=0,"",INDEX('Vendor COIs'!$C$4:$C$503,(_calc!$E$740-500)))&amp;". ")&amp;IF(LEN(IF(LEN(INDEX('Vendor COIs'!$D$4:$D$503,(_calc!$E$740-500)))=0,"",INDEX('Vendor COIs'!$D$4:$D$503,(_calc!$E$740-500))))=0,"","Policy no.: "&amp;IF(LEN(INDEX('Vendor COIs'!$D$4:$D$503,(_calc!$E$740-500)))=0,"",INDEX('Vendor COIs'!$D$4:$D$503,(_calc!$E$740-500)))&amp;". ")&amp;IF(LEN(IF(LEN(INDEX('Vendor COIs'!$F$4:$F$503,(_calc!$E$740-500)))=0,"",INDEX('Vendor COIs'!$F$4:$F$503,(_calc!$E$740-500))))=0,"","Meets minimum: "&amp;IF(LEN(INDEX('Vendor COIs'!$F$4:$F$503,(_calc!$E$740-500)))=0,"",INDEX('Vendor COIs'!$F$4:$F$503,(_calc!$E$740-500)))&amp;". ")&amp;IF(LEN(IF(LEN(INDEX('Vendor COIs'!$G$4:$G$503,(_calc!$E$740-500)))=0,"",INDEX('Vendor COIs'!$G$4:$G$503,(_calc!$E$740-500))))=0,"","Additional insured: "&amp;IF(LEN(INDEX('Vendor COIs'!$G$4:$G$503,(_calc!$E$740-500)))=0,"",INDEX('Vendor COIs'!$G$4:$G$503,(_calc!$E$740-500)))&amp;". ")&amp;IF(LEN(IF(LEN(INDEX('Vendor COIs'!$M$4:$M$503,(_calc!$E$740-500)))=0,"",INDEX('Vendor COIs'!$M$4:$M$503,(_calc!$E$740-500))))=0,"","Vendor contact: "&amp;IF(LEN(INDEX('Vendor COIs'!$M$4:$M$503,(_calc!$E$740-500)))=0,"",INDEX('Vendor COIs'!$M$4:$M$503,(_calc!$E$740-500)))&amp;". ")&amp;IF(LEN(IF(LEN(INDEX('Vendor COIs'!$P$4:$P$503,(_calc!$E$740-500)))=0,"",INDEX('Vendor COIs'!$P$4:$P$503,(_calc!$E$740-500))))=0,"",IF(LEN(INDEX('Vendor COIs'!$P$4:$P$503,(_calc!$E$740-500)))=0,"",INDEX('Vendor COIs'!$P$4:$P$503,(_calc!$E$740-500)))))))</f>
        <v/>
      </c>
      <c r="G738" s="46">
        <f>IF(_calc!$E$740="","",IF(_calc!$E$740&lt;=500,IF(LEN(INDEX('Our policies'!$R$4:$R$503,_calc!$E$740))=0,"",INDEX('Our policies'!$R$4:$R$503,_calc!$E$740)),IF(LEN(INDEX('Vendor COIs'!$O$4:$O$503,(_calc!$E$740-500)))=0,"",INDEX('Vendor COIs'!$O$4:$O$503,(_calc!$E$740-500)))))</f>
        <v/>
      </c>
      <c r="H738" s="46">
        <f>IF(_calc!$E$740="","",IF(_calc!$E$740&lt;=500,IF(LEN(INDEX('Our policies'!$G$4:$G$503,_calc!$E$740))=0,"",INDEX('Our policies'!$G$4:$G$503,_calc!$E$740)),""))</f>
        <v/>
      </c>
      <c r="I738" s="46">
        <f>IF(_calc!$E$740="","",IF(_calc!$E$740&lt;=500,IF(LEN(INDEX('Our policies'!$H$4:$H$503,_calc!$E$740))=0,"",INDEX('Our policies'!$H$4:$H$503,_calc!$E$740)),""))</f>
        <v/>
      </c>
      <c r="K738" s="46">
        <f>IF(_calc!$E$740="","",IF(_calc!$E$740&lt;=500,IF(LEN(INDEX('Our policies'!$P$4:$P$503,_calc!$E$740))=0,"",INDEX('Our policies'!$P$4:$P$503,_calc!$E$740)),IF(LEN(INDEX('Vendor COIs'!$N$4:$N$503,(_calc!$E$740-500)))=0,"",INDEX('Vendor COIs'!$N$4:$N$503,(_calc!$E$740-500)))))</f>
        <v/>
      </c>
    </row>
    <row r="739">
      <c r="A739" s="46">
        <f>IF(_calc!$E$741="","",IF(_calc!$E$741&lt;=500,IF(LEN(INDEX('Our policies'!$A$4:$A$503,_calc!$E$741))=0,"",INDEX('Our policies'!$A$4:$A$503,_calc!$E$741)),"COI – "&amp;IF(LEN(INDEX('Vendor COIs'!$A$4:$A$503,(_calc!$E$741-500)))=0,"",INDEX('Vendor COIs'!$A$4:$A$503,(_calc!$E$741-500)))&amp;" – "&amp;IF(LEN(INDEX('Vendor COIs'!$B$4:$B$503,(_calc!$E$741-500)))=0,"",INDEX('Vendor COIs'!$B$4:$B$503,(_calc!$E$741-500)))))</f>
        <v/>
      </c>
      <c r="B739" s="46">
        <f>IF(_calc!$E$741="","",IF(_calc!$E$741&lt;=500,IF(ISNUMBER(INDEX('Our policies'!$J$4:$J$503,_calc!$E$741)),TEXT(INDEX('Our policies'!$J$4:$J$503,_calc!$E$741),"yyyy-mm-dd"),""),IF(ISNUMBER(INDEX('Vendor COIs'!$H$4:$H$503,(_calc!$E$741-500))),TEXT(INDEX('Vendor COIs'!$H$4:$H$503,(_calc!$E$741-500)),"yyyy-mm-dd"),"")))</f>
        <v/>
      </c>
      <c r="C739" s="46">
        <f>IF(_calc!$E$741="","",IF(_calc!$E$741&lt;=500,"Insurance","Certificate of insurance"))</f>
        <v/>
      </c>
      <c r="D739" s="46">
        <f>IF(_calc!$E$741="","",IF(_calc!$E$741&lt;=500,IF(ISNUMBER(INDEX('Our policies'!$I$4:$I$503,_calc!$E$741)),TEXT(INDEX('Our policies'!$I$4:$I$503,_calc!$E$741),"yyyy-mm-dd"),""),""))</f>
        <v/>
      </c>
      <c r="E739" s="46">
        <f>IF(_calc!$E$741="","",IF(_calc!$E$741&lt;=500,IF(LEN(INDEX('Our policies'!$Q$4:$Q$503,_calc!$E$741))=0,"",INDEX('Our policies'!$Q$4:$Q$503,_calc!$E$741)),"Medium"))</f>
        <v/>
      </c>
      <c r="F739" s="46">
        <f>IF(_calc!$E$741="","",IF(_calc!$E$741&lt;=500,TRIM(IF(LEN(IF(LEN(INDEX('Our policies'!$B$4:$B$503,_calc!$E$741))=0,"",INDEX('Our policies'!$B$4:$B$503,_calc!$E$741)))=0,"","Cover: "&amp;IF(LEN(INDEX('Our policies'!$B$4:$B$503,_calc!$E$741))=0,"",INDEX('Our policies'!$B$4:$B$503,_calc!$E$741))&amp;". ")&amp;IF(LEN(IF(LEN(INDEX('Our policies'!$C$4:$C$503,_calc!$E$741))=0,"",INDEX('Our policies'!$C$4:$C$503,_calc!$E$741)))=0,"","Insurer: "&amp;IF(LEN(INDEX('Our policies'!$C$4:$C$503,_calc!$E$741))=0,"",INDEX('Our policies'!$C$4:$C$503,_calc!$E$741))&amp;". ")&amp;IF(LEN(IF(LEN(INDEX('Our policies'!$D$4:$D$503,_calc!$E$741))=0,"",INDEX('Our policies'!$D$4:$D$503,_calc!$E$741)))=0,"","Broker: "&amp;IF(LEN(INDEX('Our policies'!$D$4:$D$503,_calc!$E$741))=0,"",INDEX('Our policies'!$D$4:$D$503,_calc!$E$741))&amp;". ")&amp;IF(LEN(IF(LEN(INDEX('Our policies'!$E$4:$E$503,_calc!$E$741))=0,"",INDEX('Our policies'!$E$4:$E$503,_calc!$E$741)))=0,"","Policy no.: "&amp;IF(LEN(INDEX('Our policies'!$E$4:$E$503,_calc!$E$741))=0,"",INDEX('Our policies'!$E$4:$E$503,_calc!$E$741))&amp;". ")&amp;IF(LEN(IF(LEN(INDEX('Our policies'!$S$4:$S$503,_calc!$E$741))=0,"",INDEX('Our policies'!$S$4:$S$503,_calc!$E$741)))=0,"",IF(LEN(INDEX('Our policies'!$S$4:$S$503,_calc!$E$741))=0,"",INDEX('Our policies'!$S$4:$S$503,_calc!$E$741)))),TRIM(IF(LEN(IF(LEN(INDEX('Vendor COIs'!$C$4:$C$503,(_calc!$E$741-500)))=0,"",INDEX('Vendor COIs'!$C$4:$C$503,(_calc!$E$741-500))))=0,"","Insurer: "&amp;IF(LEN(INDEX('Vendor COIs'!$C$4:$C$503,(_calc!$E$741-500)))=0,"",INDEX('Vendor COIs'!$C$4:$C$503,(_calc!$E$741-500)))&amp;". ")&amp;IF(LEN(IF(LEN(INDEX('Vendor COIs'!$D$4:$D$503,(_calc!$E$741-500)))=0,"",INDEX('Vendor COIs'!$D$4:$D$503,(_calc!$E$741-500))))=0,"","Policy no.: "&amp;IF(LEN(INDEX('Vendor COIs'!$D$4:$D$503,(_calc!$E$741-500)))=0,"",INDEX('Vendor COIs'!$D$4:$D$503,(_calc!$E$741-500)))&amp;". ")&amp;IF(LEN(IF(LEN(INDEX('Vendor COIs'!$F$4:$F$503,(_calc!$E$741-500)))=0,"",INDEX('Vendor COIs'!$F$4:$F$503,(_calc!$E$741-500))))=0,"","Meets minimum: "&amp;IF(LEN(INDEX('Vendor COIs'!$F$4:$F$503,(_calc!$E$741-500)))=0,"",INDEX('Vendor COIs'!$F$4:$F$503,(_calc!$E$741-500)))&amp;". ")&amp;IF(LEN(IF(LEN(INDEX('Vendor COIs'!$G$4:$G$503,(_calc!$E$741-500)))=0,"",INDEX('Vendor COIs'!$G$4:$G$503,(_calc!$E$741-500))))=0,"","Additional insured: "&amp;IF(LEN(INDEX('Vendor COIs'!$G$4:$G$503,(_calc!$E$741-500)))=0,"",INDEX('Vendor COIs'!$G$4:$G$503,(_calc!$E$741-500)))&amp;". ")&amp;IF(LEN(IF(LEN(INDEX('Vendor COIs'!$M$4:$M$503,(_calc!$E$741-500)))=0,"",INDEX('Vendor COIs'!$M$4:$M$503,(_calc!$E$741-500))))=0,"","Vendor contact: "&amp;IF(LEN(INDEX('Vendor COIs'!$M$4:$M$503,(_calc!$E$741-500)))=0,"",INDEX('Vendor COIs'!$M$4:$M$503,(_calc!$E$741-500)))&amp;". ")&amp;IF(LEN(IF(LEN(INDEX('Vendor COIs'!$P$4:$P$503,(_calc!$E$741-500)))=0,"",INDEX('Vendor COIs'!$P$4:$P$503,(_calc!$E$741-500))))=0,"",IF(LEN(INDEX('Vendor COIs'!$P$4:$P$503,(_calc!$E$741-500)))=0,"",INDEX('Vendor COIs'!$P$4:$P$503,(_calc!$E$741-500)))))))</f>
        <v/>
      </c>
      <c r="G739" s="46">
        <f>IF(_calc!$E$741="","",IF(_calc!$E$741&lt;=500,IF(LEN(INDEX('Our policies'!$R$4:$R$503,_calc!$E$741))=0,"",INDEX('Our policies'!$R$4:$R$503,_calc!$E$741)),IF(LEN(INDEX('Vendor COIs'!$O$4:$O$503,(_calc!$E$741-500)))=0,"",INDEX('Vendor COIs'!$O$4:$O$503,(_calc!$E$741-500)))))</f>
        <v/>
      </c>
      <c r="H739" s="46">
        <f>IF(_calc!$E$741="","",IF(_calc!$E$741&lt;=500,IF(LEN(INDEX('Our policies'!$G$4:$G$503,_calc!$E$741))=0,"",INDEX('Our policies'!$G$4:$G$503,_calc!$E$741)),""))</f>
        <v/>
      </c>
      <c r="I739" s="46">
        <f>IF(_calc!$E$741="","",IF(_calc!$E$741&lt;=500,IF(LEN(INDEX('Our policies'!$H$4:$H$503,_calc!$E$741))=0,"",INDEX('Our policies'!$H$4:$H$503,_calc!$E$741)),""))</f>
        <v/>
      </c>
      <c r="K739" s="46">
        <f>IF(_calc!$E$741="","",IF(_calc!$E$741&lt;=500,IF(LEN(INDEX('Our policies'!$P$4:$P$503,_calc!$E$741))=0,"",INDEX('Our policies'!$P$4:$P$503,_calc!$E$741)),IF(LEN(INDEX('Vendor COIs'!$N$4:$N$503,(_calc!$E$741-500)))=0,"",INDEX('Vendor COIs'!$N$4:$N$503,(_calc!$E$741-500)))))</f>
        <v/>
      </c>
    </row>
    <row r="740">
      <c r="A740" s="46">
        <f>IF(_calc!$E$742="","",IF(_calc!$E$742&lt;=500,IF(LEN(INDEX('Our policies'!$A$4:$A$503,_calc!$E$742))=0,"",INDEX('Our policies'!$A$4:$A$503,_calc!$E$742)),"COI – "&amp;IF(LEN(INDEX('Vendor COIs'!$A$4:$A$503,(_calc!$E$742-500)))=0,"",INDEX('Vendor COIs'!$A$4:$A$503,(_calc!$E$742-500)))&amp;" – "&amp;IF(LEN(INDEX('Vendor COIs'!$B$4:$B$503,(_calc!$E$742-500)))=0,"",INDEX('Vendor COIs'!$B$4:$B$503,(_calc!$E$742-500)))))</f>
        <v/>
      </c>
      <c r="B740" s="46">
        <f>IF(_calc!$E$742="","",IF(_calc!$E$742&lt;=500,IF(ISNUMBER(INDEX('Our policies'!$J$4:$J$503,_calc!$E$742)),TEXT(INDEX('Our policies'!$J$4:$J$503,_calc!$E$742),"yyyy-mm-dd"),""),IF(ISNUMBER(INDEX('Vendor COIs'!$H$4:$H$503,(_calc!$E$742-500))),TEXT(INDEX('Vendor COIs'!$H$4:$H$503,(_calc!$E$742-500)),"yyyy-mm-dd"),"")))</f>
        <v/>
      </c>
      <c r="C740" s="46">
        <f>IF(_calc!$E$742="","",IF(_calc!$E$742&lt;=500,"Insurance","Certificate of insurance"))</f>
        <v/>
      </c>
      <c r="D740" s="46">
        <f>IF(_calc!$E$742="","",IF(_calc!$E$742&lt;=500,IF(ISNUMBER(INDEX('Our policies'!$I$4:$I$503,_calc!$E$742)),TEXT(INDEX('Our policies'!$I$4:$I$503,_calc!$E$742),"yyyy-mm-dd"),""),""))</f>
        <v/>
      </c>
      <c r="E740" s="46">
        <f>IF(_calc!$E$742="","",IF(_calc!$E$742&lt;=500,IF(LEN(INDEX('Our policies'!$Q$4:$Q$503,_calc!$E$742))=0,"",INDEX('Our policies'!$Q$4:$Q$503,_calc!$E$742)),"Medium"))</f>
        <v/>
      </c>
      <c r="F740" s="46">
        <f>IF(_calc!$E$742="","",IF(_calc!$E$742&lt;=500,TRIM(IF(LEN(IF(LEN(INDEX('Our policies'!$B$4:$B$503,_calc!$E$742))=0,"",INDEX('Our policies'!$B$4:$B$503,_calc!$E$742)))=0,"","Cover: "&amp;IF(LEN(INDEX('Our policies'!$B$4:$B$503,_calc!$E$742))=0,"",INDEX('Our policies'!$B$4:$B$503,_calc!$E$742))&amp;". ")&amp;IF(LEN(IF(LEN(INDEX('Our policies'!$C$4:$C$503,_calc!$E$742))=0,"",INDEX('Our policies'!$C$4:$C$503,_calc!$E$742)))=0,"","Insurer: "&amp;IF(LEN(INDEX('Our policies'!$C$4:$C$503,_calc!$E$742))=0,"",INDEX('Our policies'!$C$4:$C$503,_calc!$E$742))&amp;". ")&amp;IF(LEN(IF(LEN(INDEX('Our policies'!$D$4:$D$503,_calc!$E$742))=0,"",INDEX('Our policies'!$D$4:$D$503,_calc!$E$742)))=0,"","Broker: "&amp;IF(LEN(INDEX('Our policies'!$D$4:$D$503,_calc!$E$742))=0,"",INDEX('Our policies'!$D$4:$D$503,_calc!$E$742))&amp;". ")&amp;IF(LEN(IF(LEN(INDEX('Our policies'!$E$4:$E$503,_calc!$E$742))=0,"",INDEX('Our policies'!$E$4:$E$503,_calc!$E$742)))=0,"","Policy no.: "&amp;IF(LEN(INDEX('Our policies'!$E$4:$E$503,_calc!$E$742))=0,"",INDEX('Our policies'!$E$4:$E$503,_calc!$E$742))&amp;". ")&amp;IF(LEN(IF(LEN(INDEX('Our policies'!$S$4:$S$503,_calc!$E$742))=0,"",INDEX('Our policies'!$S$4:$S$503,_calc!$E$742)))=0,"",IF(LEN(INDEX('Our policies'!$S$4:$S$503,_calc!$E$742))=0,"",INDEX('Our policies'!$S$4:$S$503,_calc!$E$742)))),TRIM(IF(LEN(IF(LEN(INDEX('Vendor COIs'!$C$4:$C$503,(_calc!$E$742-500)))=0,"",INDEX('Vendor COIs'!$C$4:$C$503,(_calc!$E$742-500))))=0,"","Insurer: "&amp;IF(LEN(INDEX('Vendor COIs'!$C$4:$C$503,(_calc!$E$742-500)))=0,"",INDEX('Vendor COIs'!$C$4:$C$503,(_calc!$E$742-500)))&amp;". ")&amp;IF(LEN(IF(LEN(INDEX('Vendor COIs'!$D$4:$D$503,(_calc!$E$742-500)))=0,"",INDEX('Vendor COIs'!$D$4:$D$503,(_calc!$E$742-500))))=0,"","Policy no.: "&amp;IF(LEN(INDEX('Vendor COIs'!$D$4:$D$503,(_calc!$E$742-500)))=0,"",INDEX('Vendor COIs'!$D$4:$D$503,(_calc!$E$742-500)))&amp;". ")&amp;IF(LEN(IF(LEN(INDEX('Vendor COIs'!$F$4:$F$503,(_calc!$E$742-500)))=0,"",INDEX('Vendor COIs'!$F$4:$F$503,(_calc!$E$742-500))))=0,"","Meets minimum: "&amp;IF(LEN(INDEX('Vendor COIs'!$F$4:$F$503,(_calc!$E$742-500)))=0,"",INDEX('Vendor COIs'!$F$4:$F$503,(_calc!$E$742-500)))&amp;". ")&amp;IF(LEN(IF(LEN(INDEX('Vendor COIs'!$G$4:$G$503,(_calc!$E$742-500)))=0,"",INDEX('Vendor COIs'!$G$4:$G$503,(_calc!$E$742-500))))=0,"","Additional insured: "&amp;IF(LEN(INDEX('Vendor COIs'!$G$4:$G$503,(_calc!$E$742-500)))=0,"",INDEX('Vendor COIs'!$G$4:$G$503,(_calc!$E$742-500)))&amp;". ")&amp;IF(LEN(IF(LEN(INDEX('Vendor COIs'!$M$4:$M$503,(_calc!$E$742-500)))=0,"",INDEX('Vendor COIs'!$M$4:$M$503,(_calc!$E$742-500))))=0,"","Vendor contact: "&amp;IF(LEN(INDEX('Vendor COIs'!$M$4:$M$503,(_calc!$E$742-500)))=0,"",INDEX('Vendor COIs'!$M$4:$M$503,(_calc!$E$742-500)))&amp;". ")&amp;IF(LEN(IF(LEN(INDEX('Vendor COIs'!$P$4:$P$503,(_calc!$E$742-500)))=0,"",INDEX('Vendor COIs'!$P$4:$P$503,(_calc!$E$742-500))))=0,"",IF(LEN(INDEX('Vendor COIs'!$P$4:$P$503,(_calc!$E$742-500)))=0,"",INDEX('Vendor COIs'!$P$4:$P$503,(_calc!$E$742-500)))))))</f>
        <v/>
      </c>
      <c r="G740" s="46">
        <f>IF(_calc!$E$742="","",IF(_calc!$E$742&lt;=500,IF(LEN(INDEX('Our policies'!$R$4:$R$503,_calc!$E$742))=0,"",INDEX('Our policies'!$R$4:$R$503,_calc!$E$742)),IF(LEN(INDEX('Vendor COIs'!$O$4:$O$503,(_calc!$E$742-500)))=0,"",INDEX('Vendor COIs'!$O$4:$O$503,(_calc!$E$742-500)))))</f>
        <v/>
      </c>
      <c r="H740" s="46">
        <f>IF(_calc!$E$742="","",IF(_calc!$E$742&lt;=500,IF(LEN(INDEX('Our policies'!$G$4:$G$503,_calc!$E$742))=0,"",INDEX('Our policies'!$G$4:$G$503,_calc!$E$742)),""))</f>
        <v/>
      </c>
      <c r="I740" s="46">
        <f>IF(_calc!$E$742="","",IF(_calc!$E$742&lt;=500,IF(LEN(INDEX('Our policies'!$H$4:$H$503,_calc!$E$742))=0,"",INDEX('Our policies'!$H$4:$H$503,_calc!$E$742)),""))</f>
        <v/>
      </c>
      <c r="K740" s="46">
        <f>IF(_calc!$E$742="","",IF(_calc!$E$742&lt;=500,IF(LEN(INDEX('Our policies'!$P$4:$P$503,_calc!$E$742))=0,"",INDEX('Our policies'!$P$4:$P$503,_calc!$E$742)),IF(LEN(INDEX('Vendor COIs'!$N$4:$N$503,(_calc!$E$742-500)))=0,"",INDEX('Vendor COIs'!$N$4:$N$503,(_calc!$E$742-500)))))</f>
        <v/>
      </c>
    </row>
    <row r="741">
      <c r="A741" s="46">
        <f>IF(_calc!$E$743="","",IF(_calc!$E$743&lt;=500,IF(LEN(INDEX('Our policies'!$A$4:$A$503,_calc!$E$743))=0,"",INDEX('Our policies'!$A$4:$A$503,_calc!$E$743)),"COI – "&amp;IF(LEN(INDEX('Vendor COIs'!$A$4:$A$503,(_calc!$E$743-500)))=0,"",INDEX('Vendor COIs'!$A$4:$A$503,(_calc!$E$743-500)))&amp;" – "&amp;IF(LEN(INDEX('Vendor COIs'!$B$4:$B$503,(_calc!$E$743-500)))=0,"",INDEX('Vendor COIs'!$B$4:$B$503,(_calc!$E$743-500)))))</f>
        <v/>
      </c>
      <c r="B741" s="46">
        <f>IF(_calc!$E$743="","",IF(_calc!$E$743&lt;=500,IF(ISNUMBER(INDEX('Our policies'!$J$4:$J$503,_calc!$E$743)),TEXT(INDEX('Our policies'!$J$4:$J$503,_calc!$E$743),"yyyy-mm-dd"),""),IF(ISNUMBER(INDEX('Vendor COIs'!$H$4:$H$503,(_calc!$E$743-500))),TEXT(INDEX('Vendor COIs'!$H$4:$H$503,(_calc!$E$743-500)),"yyyy-mm-dd"),"")))</f>
        <v/>
      </c>
      <c r="C741" s="46">
        <f>IF(_calc!$E$743="","",IF(_calc!$E$743&lt;=500,"Insurance","Certificate of insurance"))</f>
        <v/>
      </c>
      <c r="D741" s="46">
        <f>IF(_calc!$E$743="","",IF(_calc!$E$743&lt;=500,IF(ISNUMBER(INDEX('Our policies'!$I$4:$I$503,_calc!$E$743)),TEXT(INDEX('Our policies'!$I$4:$I$503,_calc!$E$743),"yyyy-mm-dd"),""),""))</f>
        <v/>
      </c>
      <c r="E741" s="46">
        <f>IF(_calc!$E$743="","",IF(_calc!$E$743&lt;=500,IF(LEN(INDEX('Our policies'!$Q$4:$Q$503,_calc!$E$743))=0,"",INDEX('Our policies'!$Q$4:$Q$503,_calc!$E$743)),"Medium"))</f>
        <v/>
      </c>
      <c r="F741" s="46">
        <f>IF(_calc!$E$743="","",IF(_calc!$E$743&lt;=500,TRIM(IF(LEN(IF(LEN(INDEX('Our policies'!$B$4:$B$503,_calc!$E$743))=0,"",INDEX('Our policies'!$B$4:$B$503,_calc!$E$743)))=0,"","Cover: "&amp;IF(LEN(INDEX('Our policies'!$B$4:$B$503,_calc!$E$743))=0,"",INDEX('Our policies'!$B$4:$B$503,_calc!$E$743))&amp;". ")&amp;IF(LEN(IF(LEN(INDEX('Our policies'!$C$4:$C$503,_calc!$E$743))=0,"",INDEX('Our policies'!$C$4:$C$503,_calc!$E$743)))=0,"","Insurer: "&amp;IF(LEN(INDEX('Our policies'!$C$4:$C$503,_calc!$E$743))=0,"",INDEX('Our policies'!$C$4:$C$503,_calc!$E$743))&amp;". ")&amp;IF(LEN(IF(LEN(INDEX('Our policies'!$D$4:$D$503,_calc!$E$743))=0,"",INDEX('Our policies'!$D$4:$D$503,_calc!$E$743)))=0,"","Broker: "&amp;IF(LEN(INDEX('Our policies'!$D$4:$D$503,_calc!$E$743))=0,"",INDEX('Our policies'!$D$4:$D$503,_calc!$E$743))&amp;". ")&amp;IF(LEN(IF(LEN(INDEX('Our policies'!$E$4:$E$503,_calc!$E$743))=0,"",INDEX('Our policies'!$E$4:$E$503,_calc!$E$743)))=0,"","Policy no.: "&amp;IF(LEN(INDEX('Our policies'!$E$4:$E$503,_calc!$E$743))=0,"",INDEX('Our policies'!$E$4:$E$503,_calc!$E$743))&amp;". ")&amp;IF(LEN(IF(LEN(INDEX('Our policies'!$S$4:$S$503,_calc!$E$743))=0,"",INDEX('Our policies'!$S$4:$S$503,_calc!$E$743)))=0,"",IF(LEN(INDEX('Our policies'!$S$4:$S$503,_calc!$E$743))=0,"",INDEX('Our policies'!$S$4:$S$503,_calc!$E$743)))),TRIM(IF(LEN(IF(LEN(INDEX('Vendor COIs'!$C$4:$C$503,(_calc!$E$743-500)))=0,"",INDEX('Vendor COIs'!$C$4:$C$503,(_calc!$E$743-500))))=0,"","Insurer: "&amp;IF(LEN(INDEX('Vendor COIs'!$C$4:$C$503,(_calc!$E$743-500)))=0,"",INDEX('Vendor COIs'!$C$4:$C$503,(_calc!$E$743-500)))&amp;". ")&amp;IF(LEN(IF(LEN(INDEX('Vendor COIs'!$D$4:$D$503,(_calc!$E$743-500)))=0,"",INDEX('Vendor COIs'!$D$4:$D$503,(_calc!$E$743-500))))=0,"","Policy no.: "&amp;IF(LEN(INDEX('Vendor COIs'!$D$4:$D$503,(_calc!$E$743-500)))=0,"",INDEX('Vendor COIs'!$D$4:$D$503,(_calc!$E$743-500)))&amp;". ")&amp;IF(LEN(IF(LEN(INDEX('Vendor COIs'!$F$4:$F$503,(_calc!$E$743-500)))=0,"",INDEX('Vendor COIs'!$F$4:$F$503,(_calc!$E$743-500))))=0,"","Meets minimum: "&amp;IF(LEN(INDEX('Vendor COIs'!$F$4:$F$503,(_calc!$E$743-500)))=0,"",INDEX('Vendor COIs'!$F$4:$F$503,(_calc!$E$743-500)))&amp;". ")&amp;IF(LEN(IF(LEN(INDEX('Vendor COIs'!$G$4:$G$503,(_calc!$E$743-500)))=0,"",INDEX('Vendor COIs'!$G$4:$G$503,(_calc!$E$743-500))))=0,"","Additional insured: "&amp;IF(LEN(INDEX('Vendor COIs'!$G$4:$G$503,(_calc!$E$743-500)))=0,"",INDEX('Vendor COIs'!$G$4:$G$503,(_calc!$E$743-500)))&amp;". ")&amp;IF(LEN(IF(LEN(INDEX('Vendor COIs'!$M$4:$M$503,(_calc!$E$743-500)))=0,"",INDEX('Vendor COIs'!$M$4:$M$503,(_calc!$E$743-500))))=0,"","Vendor contact: "&amp;IF(LEN(INDEX('Vendor COIs'!$M$4:$M$503,(_calc!$E$743-500)))=0,"",INDEX('Vendor COIs'!$M$4:$M$503,(_calc!$E$743-500)))&amp;". ")&amp;IF(LEN(IF(LEN(INDEX('Vendor COIs'!$P$4:$P$503,(_calc!$E$743-500)))=0,"",INDEX('Vendor COIs'!$P$4:$P$503,(_calc!$E$743-500))))=0,"",IF(LEN(INDEX('Vendor COIs'!$P$4:$P$503,(_calc!$E$743-500)))=0,"",INDEX('Vendor COIs'!$P$4:$P$503,(_calc!$E$743-500)))))))</f>
        <v/>
      </c>
      <c r="G741" s="46">
        <f>IF(_calc!$E$743="","",IF(_calc!$E$743&lt;=500,IF(LEN(INDEX('Our policies'!$R$4:$R$503,_calc!$E$743))=0,"",INDEX('Our policies'!$R$4:$R$503,_calc!$E$743)),IF(LEN(INDEX('Vendor COIs'!$O$4:$O$503,(_calc!$E$743-500)))=0,"",INDEX('Vendor COIs'!$O$4:$O$503,(_calc!$E$743-500)))))</f>
        <v/>
      </c>
      <c r="H741" s="46">
        <f>IF(_calc!$E$743="","",IF(_calc!$E$743&lt;=500,IF(LEN(INDEX('Our policies'!$G$4:$G$503,_calc!$E$743))=0,"",INDEX('Our policies'!$G$4:$G$503,_calc!$E$743)),""))</f>
        <v/>
      </c>
      <c r="I741" s="46">
        <f>IF(_calc!$E$743="","",IF(_calc!$E$743&lt;=500,IF(LEN(INDEX('Our policies'!$H$4:$H$503,_calc!$E$743))=0,"",INDEX('Our policies'!$H$4:$H$503,_calc!$E$743)),""))</f>
        <v/>
      </c>
      <c r="K741" s="46">
        <f>IF(_calc!$E$743="","",IF(_calc!$E$743&lt;=500,IF(LEN(INDEX('Our policies'!$P$4:$P$503,_calc!$E$743))=0,"",INDEX('Our policies'!$P$4:$P$503,_calc!$E$743)),IF(LEN(INDEX('Vendor COIs'!$N$4:$N$503,(_calc!$E$743-500)))=0,"",INDEX('Vendor COIs'!$N$4:$N$503,(_calc!$E$743-500)))))</f>
        <v/>
      </c>
    </row>
    <row r="742">
      <c r="A742" s="46">
        <f>IF(_calc!$E$744="","",IF(_calc!$E$744&lt;=500,IF(LEN(INDEX('Our policies'!$A$4:$A$503,_calc!$E$744))=0,"",INDEX('Our policies'!$A$4:$A$503,_calc!$E$744)),"COI – "&amp;IF(LEN(INDEX('Vendor COIs'!$A$4:$A$503,(_calc!$E$744-500)))=0,"",INDEX('Vendor COIs'!$A$4:$A$503,(_calc!$E$744-500)))&amp;" – "&amp;IF(LEN(INDEX('Vendor COIs'!$B$4:$B$503,(_calc!$E$744-500)))=0,"",INDEX('Vendor COIs'!$B$4:$B$503,(_calc!$E$744-500)))))</f>
        <v/>
      </c>
      <c r="B742" s="46">
        <f>IF(_calc!$E$744="","",IF(_calc!$E$744&lt;=500,IF(ISNUMBER(INDEX('Our policies'!$J$4:$J$503,_calc!$E$744)),TEXT(INDEX('Our policies'!$J$4:$J$503,_calc!$E$744),"yyyy-mm-dd"),""),IF(ISNUMBER(INDEX('Vendor COIs'!$H$4:$H$503,(_calc!$E$744-500))),TEXT(INDEX('Vendor COIs'!$H$4:$H$503,(_calc!$E$744-500)),"yyyy-mm-dd"),"")))</f>
        <v/>
      </c>
      <c r="C742" s="46">
        <f>IF(_calc!$E$744="","",IF(_calc!$E$744&lt;=500,"Insurance","Certificate of insurance"))</f>
        <v/>
      </c>
      <c r="D742" s="46">
        <f>IF(_calc!$E$744="","",IF(_calc!$E$744&lt;=500,IF(ISNUMBER(INDEX('Our policies'!$I$4:$I$503,_calc!$E$744)),TEXT(INDEX('Our policies'!$I$4:$I$503,_calc!$E$744),"yyyy-mm-dd"),""),""))</f>
        <v/>
      </c>
      <c r="E742" s="46">
        <f>IF(_calc!$E$744="","",IF(_calc!$E$744&lt;=500,IF(LEN(INDEX('Our policies'!$Q$4:$Q$503,_calc!$E$744))=0,"",INDEX('Our policies'!$Q$4:$Q$503,_calc!$E$744)),"Medium"))</f>
        <v/>
      </c>
      <c r="F742" s="46">
        <f>IF(_calc!$E$744="","",IF(_calc!$E$744&lt;=500,TRIM(IF(LEN(IF(LEN(INDEX('Our policies'!$B$4:$B$503,_calc!$E$744))=0,"",INDEX('Our policies'!$B$4:$B$503,_calc!$E$744)))=0,"","Cover: "&amp;IF(LEN(INDEX('Our policies'!$B$4:$B$503,_calc!$E$744))=0,"",INDEX('Our policies'!$B$4:$B$503,_calc!$E$744))&amp;". ")&amp;IF(LEN(IF(LEN(INDEX('Our policies'!$C$4:$C$503,_calc!$E$744))=0,"",INDEX('Our policies'!$C$4:$C$503,_calc!$E$744)))=0,"","Insurer: "&amp;IF(LEN(INDEX('Our policies'!$C$4:$C$503,_calc!$E$744))=0,"",INDEX('Our policies'!$C$4:$C$503,_calc!$E$744))&amp;". ")&amp;IF(LEN(IF(LEN(INDEX('Our policies'!$D$4:$D$503,_calc!$E$744))=0,"",INDEX('Our policies'!$D$4:$D$503,_calc!$E$744)))=0,"","Broker: "&amp;IF(LEN(INDEX('Our policies'!$D$4:$D$503,_calc!$E$744))=0,"",INDEX('Our policies'!$D$4:$D$503,_calc!$E$744))&amp;". ")&amp;IF(LEN(IF(LEN(INDEX('Our policies'!$E$4:$E$503,_calc!$E$744))=0,"",INDEX('Our policies'!$E$4:$E$503,_calc!$E$744)))=0,"","Policy no.: "&amp;IF(LEN(INDEX('Our policies'!$E$4:$E$503,_calc!$E$744))=0,"",INDEX('Our policies'!$E$4:$E$503,_calc!$E$744))&amp;". ")&amp;IF(LEN(IF(LEN(INDEX('Our policies'!$S$4:$S$503,_calc!$E$744))=0,"",INDEX('Our policies'!$S$4:$S$503,_calc!$E$744)))=0,"",IF(LEN(INDEX('Our policies'!$S$4:$S$503,_calc!$E$744))=0,"",INDEX('Our policies'!$S$4:$S$503,_calc!$E$744)))),TRIM(IF(LEN(IF(LEN(INDEX('Vendor COIs'!$C$4:$C$503,(_calc!$E$744-500)))=0,"",INDEX('Vendor COIs'!$C$4:$C$503,(_calc!$E$744-500))))=0,"","Insurer: "&amp;IF(LEN(INDEX('Vendor COIs'!$C$4:$C$503,(_calc!$E$744-500)))=0,"",INDEX('Vendor COIs'!$C$4:$C$503,(_calc!$E$744-500)))&amp;". ")&amp;IF(LEN(IF(LEN(INDEX('Vendor COIs'!$D$4:$D$503,(_calc!$E$744-500)))=0,"",INDEX('Vendor COIs'!$D$4:$D$503,(_calc!$E$744-500))))=0,"","Policy no.: "&amp;IF(LEN(INDEX('Vendor COIs'!$D$4:$D$503,(_calc!$E$744-500)))=0,"",INDEX('Vendor COIs'!$D$4:$D$503,(_calc!$E$744-500)))&amp;". ")&amp;IF(LEN(IF(LEN(INDEX('Vendor COIs'!$F$4:$F$503,(_calc!$E$744-500)))=0,"",INDEX('Vendor COIs'!$F$4:$F$503,(_calc!$E$744-500))))=0,"","Meets minimum: "&amp;IF(LEN(INDEX('Vendor COIs'!$F$4:$F$503,(_calc!$E$744-500)))=0,"",INDEX('Vendor COIs'!$F$4:$F$503,(_calc!$E$744-500)))&amp;". ")&amp;IF(LEN(IF(LEN(INDEX('Vendor COIs'!$G$4:$G$503,(_calc!$E$744-500)))=0,"",INDEX('Vendor COIs'!$G$4:$G$503,(_calc!$E$744-500))))=0,"","Additional insured: "&amp;IF(LEN(INDEX('Vendor COIs'!$G$4:$G$503,(_calc!$E$744-500)))=0,"",INDEX('Vendor COIs'!$G$4:$G$503,(_calc!$E$744-500)))&amp;". ")&amp;IF(LEN(IF(LEN(INDEX('Vendor COIs'!$M$4:$M$503,(_calc!$E$744-500)))=0,"",INDEX('Vendor COIs'!$M$4:$M$503,(_calc!$E$744-500))))=0,"","Vendor contact: "&amp;IF(LEN(INDEX('Vendor COIs'!$M$4:$M$503,(_calc!$E$744-500)))=0,"",INDEX('Vendor COIs'!$M$4:$M$503,(_calc!$E$744-500)))&amp;". ")&amp;IF(LEN(IF(LEN(INDEX('Vendor COIs'!$P$4:$P$503,(_calc!$E$744-500)))=0,"",INDEX('Vendor COIs'!$P$4:$P$503,(_calc!$E$744-500))))=0,"",IF(LEN(INDEX('Vendor COIs'!$P$4:$P$503,(_calc!$E$744-500)))=0,"",INDEX('Vendor COIs'!$P$4:$P$503,(_calc!$E$744-500)))))))</f>
        <v/>
      </c>
      <c r="G742" s="46">
        <f>IF(_calc!$E$744="","",IF(_calc!$E$744&lt;=500,IF(LEN(INDEX('Our policies'!$R$4:$R$503,_calc!$E$744))=0,"",INDEX('Our policies'!$R$4:$R$503,_calc!$E$744)),IF(LEN(INDEX('Vendor COIs'!$O$4:$O$503,(_calc!$E$744-500)))=0,"",INDEX('Vendor COIs'!$O$4:$O$503,(_calc!$E$744-500)))))</f>
        <v/>
      </c>
      <c r="H742" s="46">
        <f>IF(_calc!$E$744="","",IF(_calc!$E$744&lt;=500,IF(LEN(INDEX('Our policies'!$G$4:$G$503,_calc!$E$744))=0,"",INDEX('Our policies'!$G$4:$G$503,_calc!$E$744)),""))</f>
        <v/>
      </c>
      <c r="I742" s="46">
        <f>IF(_calc!$E$744="","",IF(_calc!$E$744&lt;=500,IF(LEN(INDEX('Our policies'!$H$4:$H$503,_calc!$E$744))=0,"",INDEX('Our policies'!$H$4:$H$503,_calc!$E$744)),""))</f>
        <v/>
      </c>
      <c r="K742" s="46">
        <f>IF(_calc!$E$744="","",IF(_calc!$E$744&lt;=500,IF(LEN(INDEX('Our policies'!$P$4:$P$503,_calc!$E$744))=0,"",INDEX('Our policies'!$P$4:$P$503,_calc!$E$744)),IF(LEN(INDEX('Vendor COIs'!$N$4:$N$503,(_calc!$E$744-500)))=0,"",INDEX('Vendor COIs'!$N$4:$N$503,(_calc!$E$744-500)))))</f>
        <v/>
      </c>
    </row>
    <row r="743">
      <c r="A743" s="46">
        <f>IF(_calc!$E$745="","",IF(_calc!$E$745&lt;=500,IF(LEN(INDEX('Our policies'!$A$4:$A$503,_calc!$E$745))=0,"",INDEX('Our policies'!$A$4:$A$503,_calc!$E$745)),"COI – "&amp;IF(LEN(INDEX('Vendor COIs'!$A$4:$A$503,(_calc!$E$745-500)))=0,"",INDEX('Vendor COIs'!$A$4:$A$503,(_calc!$E$745-500)))&amp;" – "&amp;IF(LEN(INDEX('Vendor COIs'!$B$4:$B$503,(_calc!$E$745-500)))=0,"",INDEX('Vendor COIs'!$B$4:$B$503,(_calc!$E$745-500)))))</f>
        <v/>
      </c>
      <c r="B743" s="46">
        <f>IF(_calc!$E$745="","",IF(_calc!$E$745&lt;=500,IF(ISNUMBER(INDEX('Our policies'!$J$4:$J$503,_calc!$E$745)),TEXT(INDEX('Our policies'!$J$4:$J$503,_calc!$E$745),"yyyy-mm-dd"),""),IF(ISNUMBER(INDEX('Vendor COIs'!$H$4:$H$503,(_calc!$E$745-500))),TEXT(INDEX('Vendor COIs'!$H$4:$H$503,(_calc!$E$745-500)),"yyyy-mm-dd"),"")))</f>
        <v/>
      </c>
      <c r="C743" s="46">
        <f>IF(_calc!$E$745="","",IF(_calc!$E$745&lt;=500,"Insurance","Certificate of insurance"))</f>
        <v/>
      </c>
      <c r="D743" s="46">
        <f>IF(_calc!$E$745="","",IF(_calc!$E$745&lt;=500,IF(ISNUMBER(INDEX('Our policies'!$I$4:$I$503,_calc!$E$745)),TEXT(INDEX('Our policies'!$I$4:$I$503,_calc!$E$745),"yyyy-mm-dd"),""),""))</f>
        <v/>
      </c>
      <c r="E743" s="46">
        <f>IF(_calc!$E$745="","",IF(_calc!$E$745&lt;=500,IF(LEN(INDEX('Our policies'!$Q$4:$Q$503,_calc!$E$745))=0,"",INDEX('Our policies'!$Q$4:$Q$503,_calc!$E$745)),"Medium"))</f>
        <v/>
      </c>
      <c r="F743" s="46">
        <f>IF(_calc!$E$745="","",IF(_calc!$E$745&lt;=500,TRIM(IF(LEN(IF(LEN(INDEX('Our policies'!$B$4:$B$503,_calc!$E$745))=0,"",INDEX('Our policies'!$B$4:$B$503,_calc!$E$745)))=0,"","Cover: "&amp;IF(LEN(INDEX('Our policies'!$B$4:$B$503,_calc!$E$745))=0,"",INDEX('Our policies'!$B$4:$B$503,_calc!$E$745))&amp;". ")&amp;IF(LEN(IF(LEN(INDEX('Our policies'!$C$4:$C$503,_calc!$E$745))=0,"",INDEX('Our policies'!$C$4:$C$503,_calc!$E$745)))=0,"","Insurer: "&amp;IF(LEN(INDEX('Our policies'!$C$4:$C$503,_calc!$E$745))=0,"",INDEX('Our policies'!$C$4:$C$503,_calc!$E$745))&amp;". ")&amp;IF(LEN(IF(LEN(INDEX('Our policies'!$D$4:$D$503,_calc!$E$745))=0,"",INDEX('Our policies'!$D$4:$D$503,_calc!$E$745)))=0,"","Broker: "&amp;IF(LEN(INDEX('Our policies'!$D$4:$D$503,_calc!$E$745))=0,"",INDEX('Our policies'!$D$4:$D$503,_calc!$E$745))&amp;". ")&amp;IF(LEN(IF(LEN(INDEX('Our policies'!$E$4:$E$503,_calc!$E$745))=0,"",INDEX('Our policies'!$E$4:$E$503,_calc!$E$745)))=0,"","Policy no.: "&amp;IF(LEN(INDEX('Our policies'!$E$4:$E$503,_calc!$E$745))=0,"",INDEX('Our policies'!$E$4:$E$503,_calc!$E$745))&amp;". ")&amp;IF(LEN(IF(LEN(INDEX('Our policies'!$S$4:$S$503,_calc!$E$745))=0,"",INDEX('Our policies'!$S$4:$S$503,_calc!$E$745)))=0,"",IF(LEN(INDEX('Our policies'!$S$4:$S$503,_calc!$E$745))=0,"",INDEX('Our policies'!$S$4:$S$503,_calc!$E$745)))),TRIM(IF(LEN(IF(LEN(INDEX('Vendor COIs'!$C$4:$C$503,(_calc!$E$745-500)))=0,"",INDEX('Vendor COIs'!$C$4:$C$503,(_calc!$E$745-500))))=0,"","Insurer: "&amp;IF(LEN(INDEX('Vendor COIs'!$C$4:$C$503,(_calc!$E$745-500)))=0,"",INDEX('Vendor COIs'!$C$4:$C$503,(_calc!$E$745-500)))&amp;". ")&amp;IF(LEN(IF(LEN(INDEX('Vendor COIs'!$D$4:$D$503,(_calc!$E$745-500)))=0,"",INDEX('Vendor COIs'!$D$4:$D$503,(_calc!$E$745-500))))=0,"","Policy no.: "&amp;IF(LEN(INDEX('Vendor COIs'!$D$4:$D$503,(_calc!$E$745-500)))=0,"",INDEX('Vendor COIs'!$D$4:$D$503,(_calc!$E$745-500)))&amp;". ")&amp;IF(LEN(IF(LEN(INDEX('Vendor COIs'!$F$4:$F$503,(_calc!$E$745-500)))=0,"",INDEX('Vendor COIs'!$F$4:$F$503,(_calc!$E$745-500))))=0,"","Meets minimum: "&amp;IF(LEN(INDEX('Vendor COIs'!$F$4:$F$503,(_calc!$E$745-500)))=0,"",INDEX('Vendor COIs'!$F$4:$F$503,(_calc!$E$745-500)))&amp;". ")&amp;IF(LEN(IF(LEN(INDEX('Vendor COIs'!$G$4:$G$503,(_calc!$E$745-500)))=0,"",INDEX('Vendor COIs'!$G$4:$G$503,(_calc!$E$745-500))))=0,"","Additional insured: "&amp;IF(LEN(INDEX('Vendor COIs'!$G$4:$G$503,(_calc!$E$745-500)))=0,"",INDEX('Vendor COIs'!$G$4:$G$503,(_calc!$E$745-500)))&amp;". ")&amp;IF(LEN(IF(LEN(INDEX('Vendor COIs'!$M$4:$M$503,(_calc!$E$745-500)))=0,"",INDEX('Vendor COIs'!$M$4:$M$503,(_calc!$E$745-500))))=0,"","Vendor contact: "&amp;IF(LEN(INDEX('Vendor COIs'!$M$4:$M$503,(_calc!$E$745-500)))=0,"",INDEX('Vendor COIs'!$M$4:$M$503,(_calc!$E$745-500)))&amp;". ")&amp;IF(LEN(IF(LEN(INDEX('Vendor COIs'!$P$4:$P$503,(_calc!$E$745-500)))=0,"",INDEX('Vendor COIs'!$P$4:$P$503,(_calc!$E$745-500))))=0,"",IF(LEN(INDEX('Vendor COIs'!$P$4:$P$503,(_calc!$E$745-500)))=0,"",INDEX('Vendor COIs'!$P$4:$P$503,(_calc!$E$745-500)))))))</f>
        <v/>
      </c>
      <c r="G743" s="46">
        <f>IF(_calc!$E$745="","",IF(_calc!$E$745&lt;=500,IF(LEN(INDEX('Our policies'!$R$4:$R$503,_calc!$E$745))=0,"",INDEX('Our policies'!$R$4:$R$503,_calc!$E$745)),IF(LEN(INDEX('Vendor COIs'!$O$4:$O$503,(_calc!$E$745-500)))=0,"",INDEX('Vendor COIs'!$O$4:$O$503,(_calc!$E$745-500)))))</f>
        <v/>
      </c>
      <c r="H743" s="46">
        <f>IF(_calc!$E$745="","",IF(_calc!$E$745&lt;=500,IF(LEN(INDEX('Our policies'!$G$4:$G$503,_calc!$E$745))=0,"",INDEX('Our policies'!$G$4:$G$503,_calc!$E$745)),""))</f>
        <v/>
      </c>
      <c r="I743" s="46">
        <f>IF(_calc!$E$745="","",IF(_calc!$E$745&lt;=500,IF(LEN(INDEX('Our policies'!$H$4:$H$503,_calc!$E$745))=0,"",INDEX('Our policies'!$H$4:$H$503,_calc!$E$745)),""))</f>
        <v/>
      </c>
      <c r="K743" s="46">
        <f>IF(_calc!$E$745="","",IF(_calc!$E$745&lt;=500,IF(LEN(INDEX('Our policies'!$P$4:$P$503,_calc!$E$745))=0,"",INDEX('Our policies'!$P$4:$P$503,_calc!$E$745)),IF(LEN(INDEX('Vendor COIs'!$N$4:$N$503,(_calc!$E$745-500)))=0,"",INDEX('Vendor COIs'!$N$4:$N$503,(_calc!$E$745-500)))))</f>
        <v/>
      </c>
    </row>
    <row r="744">
      <c r="A744" s="46">
        <f>IF(_calc!$E$746="","",IF(_calc!$E$746&lt;=500,IF(LEN(INDEX('Our policies'!$A$4:$A$503,_calc!$E$746))=0,"",INDEX('Our policies'!$A$4:$A$503,_calc!$E$746)),"COI – "&amp;IF(LEN(INDEX('Vendor COIs'!$A$4:$A$503,(_calc!$E$746-500)))=0,"",INDEX('Vendor COIs'!$A$4:$A$503,(_calc!$E$746-500)))&amp;" – "&amp;IF(LEN(INDEX('Vendor COIs'!$B$4:$B$503,(_calc!$E$746-500)))=0,"",INDEX('Vendor COIs'!$B$4:$B$503,(_calc!$E$746-500)))))</f>
        <v/>
      </c>
      <c r="B744" s="46">
        <f>IF(_calc!$E$746="","",IF(_calc!$E$746&lt;=500,IF(ISNUMBER(INDEX('Our policies'!$J$4:$J$503,_calc!$E$746)),TEXT(INDEX('Our policies'!$J$4:$J$503,_calc!$E$746),"yyyy-mm-dd"),""),IF(ISNUMBER(INDEX('Vendor COIs'!$H$4:$H$503,(_calc!$E$746-500))),TEXT(INDEX('Vendor COIs'!$H$4:$H$503,(_calc!$E$746-500)),"yyyy-mm-dd"),"")))</f>
        <v/>
      </c>
      <c r="C744" s="46">
        <f>IF(_calc!$E$746="","",IF(_calc!$E$746&lt;=500,"Insurance","Certificate of insurance"))</f>
        <v/>
      </c>
      <c r="D744" s="46">
        <f>IF(_calc!$E$746="","",IF(_calc!$E$746&lt;=500,IF(ISNUMBER(INDEX('Our policies'!$I$4:$I$503,_calc!$E$746)),TEXT(INDEX('Our policies'!$I$4:$I$503,_calc!$E$746),"yyyy-mm-dd"),""),""))</f>
        <v/>
      </c>
      <c r="E744" s="46">
        <f>IF(_calc!$E$746="","",IF(_calc!$E$746&lt;=500,IF(LEN(INDEX('Our policies'!$Q$4:$Q$503,_calc!$E$746))=0,"",INDEX('Our policies'!$Q$4:$Q$503,_calc!$E$746)),"Medium"))</f>
        <v/>
      </c>
      <c r="F744" s="46">
        <f>IF(_calc!$E$746="","",IF(_calc!$E$746&lt;=500,TRIM(IF(LEN(IF(LEN(INDEX('Our policies'!$B$4:$B$503,_calc!$E$746))=0,"",INDEX('Our policies'!$B$4:$B$503,_calc!$E$746)))=0,"","Cover: "&amp;IF(LEN(INDEX('Our policies'!$B$4:$B$503,_calc!$E$746))=0,"",INDEX('Our policies'!$B$4:$B$503,_calc!$E$746))&amp;". ")&amp;IF(LEN(IF(LEN(INDEX('Our policies'!$C$4:$C$503,_calc!$E$746))=0,"",INDEX('Our policies'!$C$4:$C$503,_calc!$E$746)))=0,"","Insurer: "&amp;IF(LEN(INDEX('Our policies'!$C$4:$C$503,_calc!$E$746))=0,"",INDEX('Our policies'!$C$4:$C$503,_calc!$E$746))&amp;". ")&amp;IF(LEN(IF(LEN(INDEX('Our policies'!$D$4:$D$503,_calc!$E$746))=0,"",INDEX('Our policies'!$D$4:$D$503,_calc!$E$746)))=0,"","Broker: "&amp;IF(LEN(INDEX('Our policies'!$D$4:$D$503,_calc!$E$746))=0,"",INDEX('Our policies'!$D$4:$D$503,_calc!$E$746))&amp;". ")&amp;IF(LEN(IF(LEN(INDEX('Our policies'!$E$4:$E$503,_calc!$E$746))=0,"",INDEX('Our policies'!$E$4:$E$503,_calc!$E$746)))=0,"","Policy no.: "&amp;IF(LEN(INDEX('Our policies'!$E$4:$E$503,_calc!$E$746))=0,"",INDEX('Our policies'!$E$4:$E$503,_calc!$E$746))&amp;". ")&amp;IF(LEN(IF(LEN(INDEX('Our policies'!$S$4:$S$503,_calc!$E$746))=0,"",INDEX('Our policies'!$S$4:$S$503,_calc!$E$746)))=0,"",IF(LEN(INDEX('Our policies'!$S$4:$S$503,_calc!$E$746))=0,"",INDEX('Our policies'!$S$4:$S$503,_calc!$E$746)))),TRIM(IF(LEN(IF(LEN(INDEX('Vendor COIs'!$C$4:$C$503,(_calc!$E$746-500)))=0,"",INDEX('Vendor COIs'!$C$4:$C$503,(_calc!$E$746-500))))=0,"","Insurer: "&amp;IF(LEN(INDEX('Vendor COIs'!$C$4:$C$503,(_calc!$E$746-500)))=0,"",INDEX('Vendor COIs'!$C$4:$C$503,(_calc!$E$746-500)))&amp;". ")&amp;IF(LEN(IF(LEN(INDEX('Vendor COIs'!$D$4:$D$503,(_calc!$E$746-500)))=0,"",INDEX('Vendor COIs'!$D$4:$D$503,(_calc!$E$746-500))))=0,"","Policy no.: "&amp;IF(LEN(INDEX('Vendor COIs'!$D$4:$D$503,(_calc!$E$746-500)))=0,"",INDEX('Vendor COIs'!$D$4:$D$503,(_calc!$E$746-500)))&amp;". ")&amp;IF(LEN(IF(LEN(INDEX('Vendor COIs'!$F$4:$F$503,(_calc!$E$746-500)))=0,"",INDEX('Vendor COIs'!$F$4:$F$503,(_calc!$E$746-500))))=0,"","Meets minimum: "&amp;IF(LEN(INDEX('Vendor COIs'!$F$4:$F$503,(_calc!$E$746-500)))=0,"",INDEX('Vendor COIs'!$F$4:$F$503,(_calc!$E$746-500)))&amp;". ")&amp;IF(LEN(IF(LEN(INDEX('Vendor COIs'!$G$4:$G$503,(_calc!$E$746-500)))=0,"",INDEX('Vendor COIs'!$G$4:$G$503,(_calc!$E$746-500))))=0,"","Additional insured: "&amp;IF(LEN(INDEX('Vendor COIs'!$G$4:$G$503,(_calc!$E$746-500)))=0,"",INDEX('Vendor COIs'!$G$4:$G$503,(_calc!$E$746-500)))&amp;". ")&amp;IF(LEN(IF(LEN(INDEX('Vendor COIs'!$M$4:$M$503,(_calc!$E$746-500)))=0,"",INDEX('Vendor COIs'!$M$4:$M$503,(_calc!$E$746-500))))=0,"","Vendor contact: "&amp;IF(LEN(INDEX('Vendor COIs'!$M$4:$M$503,(_calc!$E$746-500)))=0,"",INDEX('Vendor COIs'!$M$4:$M$503,(_calc!$E$746-500)))&amp;". ")&amp;IF(LEN(IF(LEN(INDEX('Vendor COIs'!$P$4:$P$503,(_calc!$E$746-500)))=0,"",INDEX('Vendor COIs'!$P$4:$P$503,(_calc!$E$746-500))))=0,"",IF(LEN(INDEX('Vendor COIs'!$P$4:$P$503,(_calc!$E$746-500)))=0,"",INDEX('Vendor COIs'!$P$4:$P$503,(_calc!$E$746-500)))))))</f>
        <v/>
      </c>
      <c r="G744" s="46">
        <f>IF(_calc!$E$746="","",IF(_calc!$E$746&lt;=500,IF(LEN(INDEX('Our policies'!$R$4:$R$503,_calc!$E$746))=0,"",INDEX('Our policies'!$R$4:$R$503,_calc!$E$746)),IF(LEN(INDEX('Vendor COIs'!$O$4:$O$503,(_calc!$E$746-500)))=0,"",INDEX('Vendor COIs'!$O$4:$O$503,(_calc!$E$746-500)))))</f>
        <v/>
      </c>
      <c r="H744" s="46">
        <f>IF(_calc!$E$746="","",IF(_calc!$E$746&lt;=500,IF(LEN(INDEX('Our policies'!$G$4:$G$503,_calc!$E$746))=0,"",INDEX('Our policies'!$G$4:$G$503,_calc!$E$746)),""))</f>
        <v/>
      </c>
      <c r="I744" s="46">
        <f>IF(_calc!$E$746="","",IF(_calc!$E$746&lt;=500,IF(LEN(INDEX('Our policies'!$H$4:$H$503,_calc!$E$746))=0,"",INDEX('Our policies'!$H$4:$H$503,_calc!$E$746)),""))</f>
        <v/>
      </c>
      <c r="K744" s="46">
        <f>IF(_calc!$E$746="","",IF(_calc!$E$746&lt;=500,IF(LEN(INDEX('Our policies'!$P$4:$P$503,_calc!$E$746))=0,"",INDEX('Our policies'!$P$4:$P$503,_calc!$E$746)),IF(LEN(INDEX('Vendor COIs'!$N$4:$N$503,(_calc!$E$746-500)))=0,"",INDEX('Vendor COIs'!$N$4:$N$503,(_calc!$E$746-500)))))</f>
        <v/>
      </c>
    </row>
    <row r="745">
      <c r="A745" s="46">
        <f>IF(_calc!$E$747="","",IF(_calc!$E$747&lt;=500,IF(LEN(INDEX('Our policies'!$A$4:$A$503,_calc!$E$747))=0,"",INDEX('Our policies'!$A$4:$A$503,_calc!$E$747)),"COI – "&amp;IF(LEN(INDEX('Vendor COIs'!$A$4:$A$503,(_calc!$E$747-500)))=0,"",INDEX('Vendor COIs'!$A$4:$A$503,(_calc!$E$747-500)))&amp;" – "&amp;IF(LEN(INDEX('Vendor COIs'!$B$4:$B$503,(_calc!$E$747-500)))=0,"",INDEX('Vendor COIs'!$B$4:$B$503,(_calc!$E$747-500)))))</f>
        <v/>
      </c>
      <c r="B745" s="46">
        <f>IF(_calc!$E$747="","",IF(_calc!$E$747&lt;=500,IF(ISNUMBER(INDEX('Our policies'!$J$4:$J$503,_calc!$E$747)),TEXT(INDEX('Our policies'!$J$4:$J$503,_calc!$E$747),"yyyy-mm-dd"),""),IF(ISNUMBER(INDEX('Vendor COIs'!$H$4:$H$503,(_calc!$E$747-500))),TEXT(INDEX('Vendor COIs'!$H$4:$H$503,(_calc!$E$747-500)),"yyyy-mm-dd"),"")))</f>
        <v/>
      </c>
      <c r="C745" s="46">
        <f>IF(_calc!$E$747="","",IF(_calc!$E$747&lt;=500,"Insurance","Certificate of insurance"))</f>
        <v/>
      </c>
      <c r="D745" s="46">
        <f>IF(_calc!$E$747="","",IF(_calc!$E$747&lt;=500,IF(ISNUMBER(INDEX('Our policies'!$I$4:$I$503,_calc!$E$747)),TEXT(INDEX('Our policies'!$I$4:$I$503,_calc!$E$747),"yyyy-mm-dd"),""),""))</f>
        <v/>
      </c>
      <c r="E745" s="46">
        <f>IF(_calc!$E$747="","",IF(_calc!$E$747&lt;=500,IF(LEN(INDEX('Our policies'!$Q$4:$Q$503,_calc!$E$747))=0,"",INDEX('Our policies'!$Q$4:$Q$503,_calc!$E$747)),"Medium"))</f>
        <v/>
      </c>
      <c r="F745" s="46">
        <f>IF(_calc!$E$747="","",IF(_calc!$E$747&lt;=500,TRIM(IF(LEN(IF(LEN(INDEX('Our policies'!$B$4:$B$503,_calc!$E$747))=0,"",INDEX('Our policies'!$B$4:$B$503,_calc!$E$747)))=0,"","Cover: "&amp;IF(LEN(INDEX('Our policies'!$B$4:$B$503,_calc!$E$747))=0,"",INDEX('Our policies'!$B$4:$B$503,_calc!$E$747))&amp;". ")&amp;IF(LEN(IF(LEN(INDEX('Our policies'!$C$4:$C$503,_calc!$E$747))=0,"",INDEX('Our policies'!$C$4:$C$503,_calc!$E$747)))=0,"","Insurer: "&amp;IF(LEN(INDEX('Our policies'!$C$4:$C$503,_calc!$E$747))=0,"",INDEX('Our policies'!$C$4:$C$503,_calc!$E$747))&amp;". ")&amp;IF(LEN(IF(LEN(INDEX('Our policies'!$D$4:$D$503,_calc!$E$747))=0,"",INDEX('Our policies'!$D$4:$D$503,_calc!$E$747)))=0,"","Broker: "&amp;IF(LEN(INDEX('Our policies'!$D$4:$D$503,_calc!$E$747))=0,"",INDEX('Our policies'!$D$4:$D$503,_calc!$E$747))&amp;". ")&amp;IF(LEN(IF(LEN(INDEX('Our policies'!$E$4:$E$503,_calc!$E$747))=0,"",INDEX('Our policies'!$E$4:$E$503,_calc!$E$747)))=0,"","Policy no.: "&amp;IF(LEN(INDEX('Our policies'!$E$4:$E$503,_calc!$E$747))=0,"",INDEX('Our policies'!$E$4:$E$503,_calc!$E$747))&amp;". ")&amp;IF(LEN(IF(LEN(INDEX('Our policies'!$S$4:$S$503,_calc!$E$747))=0,"",INDEX('Our policies'!$S$4:$S$503,_calc!$E$747)))=0,"",IF(LEN(INDEX('Our policies'!$S$4:$S$503,_calc!$E$747))=0,"",INDEX('Our policies'!$S$4:$S$503,_calc!$E$747)))),TRIM(IF(LEN(IF(LEN(INDEX('Vendor COIs'!$C$4:$C$503,(_calc!$E$747-500)))=0,"",INDEX('Vendor COIs'!$C$4:$C$503,(_calc!$E$747-500))))=0,"","Insurer: "&amp;IF(LEN(INDEX('Vendor COIs'!$C$4:$C$503,(_calc!$E$747-500)))=0,"",INDEX('Vendor COIs'!$C$4:$C$503,(_calc!$E$747-500)))&amp;". ")&amp;IF(LEN(IF(LEN(INDEX('Vendor COIs'!$D$4:$D$503,(_calc!$E$747-500)))=0,"",INDEX('Vendor COIs'!$D$4:$D$503,(_calc!$E$747-500))))=0,"","Policy no.: "&amp;IF(LEN(INDEX('Vendor COIs'!$D$4:$D$503,(_calc!$E$747-500)))=0,"",INDEX('Vendor COIs'!$D$4:$D$503,(_calc!$E$747-500)))&amp;". ")&amp;IF(LEN(IF(LEN(INDEX('Vendor COIs'!$F$4:$F$503,(_calc!$E$747-500)))=0,"",INDEX('Vendor COIs'!$F$4:$F$503,(_calc!$E$747-500))))=0,"","Meets minimum: "&amp;IF(LEN(INDEX('Vendor COIs'!$F$4:$F$503,(_calc!$E$747-500)))=0,"",INDEX('Vendor COIs'!$F$4:$F$503,(_calc!$E$747-500)))&amp;". ")&amp;IF(LEN(IF(LEN(INDEX('Vendor COIs'!$G$4:$G$503,(_calc!$E$747-500)))=0,"",INDEX('Vendor COIs'!$G$4:$G$503,(_calc!$E$747-500))))=0,"","Additional insured: "&amp;IF(LEN(INDEX('Vendor COIs'!$G$4:$G$503,(_calc!$E$747-500)))=0,"",INDEX('Vendor COIs'!$G$4:$G$503,(_calc!$E$747-500)))&amp;". ")&amp;IF(LEN(IF(LEN(INDEX('Vendor COIs'!$M$4:$M$503,(_calc!$E$747-500)))=0,"",INDEX('Vendor COIs'!$M$4:$M$503,(_calc!$E$747-500))))=0,"","Vendor contact: "&amp;IF(LEN(INDEX('Vendor COIs'!$M$4:$M$503,(_calc!$E$747-500)))=0,"",INDEX('Vendor COIs'!$M$4:$M$503,(_calc!$E$747-500)))&amp;". ")&amp;IF(LEN(IF(LEN(INDEX('Vendor COIs'!$P$4:$P$503,(_calc!$E$747-500)))=0,"",INDEX('Vendor COIs'!$P$4:$P$503,(_calc!$E$747-500))))=0,"",IF(LEN(INDEX('Vendor COIs'!$P$4:$P$503,(_calc!$E$747-500)))=0,"",INDEX('Vendor COIs'!$P$4:$P$503,(_calc!$E$747-500)))))))</f>
        <v/>
      </c>
      <c r="G745" s="46">
        <f>IF(_calc!$E$747="","",IF(_calc!$E$747&lt;=500,IF(LEN(INDEX('Our policies'!$R$4:$R$503,_calc!$E$747))=0,"",INDEX('Our policies'!$R$4:$R$503,_calc!$E$747)),IF(LEN(INDEX('Vendor COIs'!$O$4:$O$503,(_calc!$E$747-500)))=0,"",INDEX('Vendor COIs'!$O$4:$O$503,(_calc!$E$747-500)))))</f>
        <v/>
      </c>
      <c r="H745" s="46">
        <f>IF(_calc!$E$747="","",IF(_calc!$E$747&lt;=500,IF(LEN(INDEX('Our policies'!$G$4:$G$503,_calc!$E$747))=0,"",INDEX('Our policies'!$G$4:$G$503,_calc!$E$747)),""))</f>
        <v/>
      </c>
      <c r="I745" s="46">
        <f>IF(_calc!$E$747="","",IF(_calc!$E$747&lt;=500,IF(LEN(INDEX('Our policies'!$H$4:$H$503,_calc!$E$747))=0,"",INDEX('Our policies'!$H$4:$H$503,_calc!$E$747)),""))</f>
        <v/>
      </c>
      <c r="K745" s="46">
        <f>IF(_calc!$E$747="","",IF(_calc!$E$747&lt;=500,IF(LEN(INDEX('Our policies'!$P$4:$P$503,_calc!$E$747))=0,"",INDEX('Our policies'!$P$4:$P$503,_calc!$E$747)),IF(LEN(INDEX('Vendor COIs'!$N$4:$N$503,(_calc!$E$747-500)))=0,"",INDEX('Vendor COIs'!$N$4:$N$503,(_calc!$E$747-500)))))</f>
        <v/>
      </c>
    </row>
    <row r="746">
      <c r="A746" s="46">
        <f>IF(_calc!$E$748="","",IF(_calc!$E$748&lt;=500,IF(LEN(INDEX('Our policies'!$A$4:$A$503,_calc!$E$748))=0,"",INDEX('Our policies'!$A$4:$A$503,_calc!$E$748)),"COI – "&amp;IF(LEN(INDEX('Vendor COIs'!$A$4:$A$503,(_calc!$E$748-500)))=0,"",INDEX('Vendor COIs'!$A$4:$A$503,(_calc!$E$748-500)))&amp;" – "&amp;IF(LEN(INDEX('Vendor COIs'!$B$4:$B$503,(_calc!$E$748-500)))=0,"",INDEX('Vendor COIs'!$B$4:$B$503,(_calc!$E$748-500)))))</f>
        <v/>
      </c>
      <c r="B746" s="46">
        <f>IF(_calc!$E$748="","",IF(_calc!$E$748&lt;=500,IF(ISNUMBER(INDEX('Our policies'!$J$4:$J$503,_calc!$E$748)),TEXT(INDEX('Our policies'!$J$4:$J$503,_calc!$E$748),"yyyy-mm-dd"),""),IF(ISNUMBER(INDEX('Vendor COIs'!$H$4:$H$503,(_calc!$E$748-500))),TEXT(INDEX('Vendor COIs'!$H$4:$H$503,(_calc!$E$748-500)),"yyyy-mm-dd"),"")))</f>
        <v/>
      </c>
      <c r="C746" s="46">
        <f>IF(_calc!$E$748="","",IF(_calc!$E$748&lt;=500,"Insurance","Certificate of insurance"))</f>
        <v/>
      </c>
      <c r="D746" s="46">
        <f>IF(_calc!$E$748="","",IF(_calc!$E$748&lt;=500,IF(ISNUMBER(INDEX('Our policies'!$I$4:$I$503,_calc!$E$748)),TEXT(INDEX('Our policies'!$I$4:$I$503,_calc!$E$748),"yyyy-mm-dd"),""),""))</f>
        <v/>
      </c>
      <c r="E746" s="46">
        <f>IF(_calc!$E$748="","",IF(_calc!$E$748&lt;=500,IF(LEN(INDEX('Our policies'!$Q$4:$Q$503,_calc!$E$748))=0,"",INDEX('Our policies'!$Q$4:$Q$503,_calc!$E$748)),"Medium"))</f>
        <v/>
      </c>
      <c r="F746" s="46">
        <f>IF(_calc!$E$748="","",IF(_calc!$E$748&lt;=500,TRIM(IF(LEN(IF(LEN(INDEX('Our policies'!$B$4:$B$503,_calc!$E$748))=0,"",INDEX('Our policies'!$B$4:$B$503,_calc!$E$748)))=0,"","Cover: "&amp;IF(LEN(INDEX('Our policies'!$B$4:$B$503,_calc!$E$748))=0,"",INDEX('Our policies'!$B$4:$B$503,_calc!$E$748))&amp;". ")&amp;IF(LEN(IF(LEN(INDEX('Our policies'!$C$4:$C$503,_calc!$E$748))=0,"",INDEX('Our policies'!$C$4:$C$503,_calc!$E$748)))=0,"","Insurer: "&amp;IF(LEN(INDEX('Our policies'!$C$4:$C$503,_calc!$E$748))=0,"",INDEX('Our policies'!$C$4:$C$503,_calc!$E$748))&amp;". ")&amp;IF(LEN(IF(LEN(INDEX('Our policies'!$D$4:$D$503,_calc!$E$748))=0,"",INDEX('Our policies'!$D$4:$D$503,_calc!$E$748)))=0,"","Broker: "&amp;IF(LEN(INDEX('Our policies'!$D$4:$D$503,_calc!$E$748))=0,"",INDEX('Our policies'!$D$4:$D$503,_calc!$E$748))&amp;". ")&amp;IF(LEN(IF(LEN(INDEX('Our policies'!$E$4:$E$503,_calc!$E$748))=0,"",INDEX('Our policies'!$E$4:$E$503,_calc!$E$748)))=0,"","Policy no.: "&amp;IF(LEN(INDEX('Our policies'!$E$4:$E$503,_calc!$E$748))=0,"",INDEX('Our policies'!$E$4:$E$503,_calc!$E$748))&amp;". ")&amp;IF(LEN(IF(LEN(INDEX('Our policies'!$S$4:$S$503,_calc!$E$748))=0,"",INDEX('Our policies'!$S$4:$S$503,_calc!$E$748)))=0,"",IF(LEN(INDEX('Our policies'!$S$4:$S$503,_calc!$E$748))=0,"",INDEX('Our policies'!$S$4:$S$503,_calc!$E$748)))),TRIM(IF(LEN(IF(LEN(INDEX('Vendor COIs'!$C$4:$C$503,(_calc!$E$748-500)))=0,"",INDEX('Vendor COIs'!$C$4:$C$503,(_calc!$E$748-500))))=0,"","Insurer: "&amp;IF(LEN(INDEX('Vendor COIs'!$C$4:$C$503,(_calc!$E$748-500)))=0,"",INDEX('Vendor COIs'!$C$4:$C$503,(_calc!$E$748-500)))&amp;". ")&amp;IF(LEN(IF(LEN(INDEX('Vendor COIs'!$D$4:$D$503,(_calc!$E$748-500)))=0,"",INDEX('Vendor COIs'!$D$4:$D$503,(_calc!$E$748-500))))=0,"","Policy no.: "&amp;IF(LEN(INDEX('Vendor COIs'!$D$4:$D$503,(_calc!$E$748-500)))=0,"",INDEX('Vendor COIs'!$D$4:$D$503,(_calc!$E$748-500)))&amp;". ")&amp;IF(LEN(IF(LEN(INDEX('Vendor COIs'!$F$4:$F$503,(_calc!$E$748-500)))=0,"",INDEX('Vendor COIs'!$F$4:$F$503,(_calc!$E$748-500))))=0,"","Meets minimum: "&amp;IF(LEN(INDEX('Vendor COIs'!$F$4:$F$503,(_calc!$E$748-500)))=0,"",INDEX('Vendor COIs'!$F$4:$F$503,(_calc!$E$748-500)))&amp;". ")&amp;IF(LEN(IF(LEN(INDEX('Vendor COIs'!$G$4:$G$503,(_calc!$E$748-500)))=0,"",INDEX('Vendor COIs'!$G$4:$G$503,(_calc!$E$748-500))))=0,"","Additional insured: "&amp;IF(LEN(INDEX('Vendor COIs'!$G$4:$G$503,(_calc!$E$748-500)))=0,"",INDEX('Vendor COIs'!$G$4:$G$503,(_calc!$E$748-500)))&amp;". ")&amp;IF(LEN(IF(LEN(INDEX('Vendor COIs'!$M$4:$M$503,(_calc!$E$748-500)))=0,"",INDEX('Vendor COIs'!$M$4:$M$503,(_calc!$E$748-500))))=0,"","Vendor contact: "&amp;IF(LEN(INDEX('Vendor COIs'!$M$4:$M$503,(_calc!$E$748-500)))=0,"",INDEX('Vendor COIs'!$M$4:$M$503,(_calc!$E$748-500)))&amp;". ")&amp;IF(LEN(IF(LEN(INDEX('Vendor COIs'!$P$4:$P$503,(_calc!$E$748-500)))=0,"",INDEX('Vendor COIs'!$P$4:$P$503,(_calc!$E$748-500))))=0,"",IF(LEN(INDEX('Vendor COIs'!$P$4:$P$503,(_calc!$E$748-500)))=0,"",INDEX('Vendor COIs'!$P$4:$P$503,(_calc!$E$748-500)))))))</f>
        <v/>
      </c>
      <c r="G746" s="46">
        <f>IF(_calc!$E$748="","",IF(_calc!$E$748&lt;=500,IF(LEN(INDEX('Our policies'!$R$4:$R$503,_calc!$E$748))=0,"",INDEX('Our policies'!$R$4:$R$503,_calc!$E$748)),IF(LEN(INDEX('Vendor COIs'!$O$4:$O$503,(_calc!$E$748-500)))=0,"",INDEX('Vendor COIs'!$O$4:$O$503,(_calc!$E$748-500)))))</f>
        <v/>
      </c>
      <c r="H746" s="46">
        <f>IF(_calc!$E$748="","",IF(_calc!$E$748&lt;=500,IF(LEN(INDEX('Our policies'!$G$4:$G$503,_calc!$E$748))=0,"",INDEX('Our policies'!$G$4:$G$503,_calc!$E$748)),""))</f>
        <v/>
      </c>
      <c r="I746" s="46">
        <f>IF(_calc!$E$748="","",IF(_calc!$E$748&lt;=500,IF(LEN(INDEX('Our policies'!$H$4:$H$503,_calc!$E$748))=0,"",INDEX('Our policies'!$H$4:$H$503,_calc!$E$748)),""))</f>
        <v/>
      </c>
      <c r="K746" s="46">
        <f>IF(_calc!$E$748="","",IF(_calc!$E$748&lt;=500,IF(LEN(INDEX('Our policies'!$P$4:$P$503,_calc!$E$748))=0,"",INDEX('Our policies'!$P$4:$P$503,_calc!$E$748)),IF(LEN(INDEX('Vendor COIs'!$N$4:$N$503,(_calc!$E$748-500)))=0,"",INDEX('Vendor COIs'!$N$4:$N$503,(_calc!$E$748-500)))))</f>
        <v/>
      </c>
    </row>
    <row r="747">
      <c r="A747" s="46">
        <f>IF(_calc!$E$749="","",IF(_calc!$E$749&lt;=500,IF(LEN(INDEX('Our policies'!$A$4:$A$503,_calc!$E$749))=0,"",INDEX('Our policies'!$A$4:$A$503,_calc!$E$749)),"COI – "&amp;IF(LEN(INDEX('Vendor COIs'!$A$4:$A$503,(_calc!$E$749-500)))=0,"",INDEX('Vendor COIs'!$A$4:$A$503,(_calc!$E$749-500)))&amp;" – "&amp;IF(LEN(INDEX('Vendor COIs'!$B$4:$B$503,(_calc!$E$749-500)))=0,"",INDEX('Vendor COIs'!$B$4:$B$503,(_calc!$E$749-500)))))</f>
        <v/>
      </c>
      <c r="B747" s="46">
        <f>IF(_calc!$E$749="","",IF(_calc!$E$749&lt;=500,IF(ISNUMBER(INDEX('Our policies'!$J$4:$J$503,_calc!$E$749)),TEXT(INDEX('Our policies'!$J$4:$J$503,_calc!$E$749),"yyyy-mm-dd"),""),IF(ISNUMBER(INDEX('Vendor COIs'!$H$4:$H$503,(_calc!$E$749-500))),TEXT(INDEX('Vendor COIs'!$H$4:$H$503,(_calc!$E$749-500)),"yyyy-mm-dd"),"")))</f>
        <v/>
      </c>
      <c r="C747" s="46">
        <f>IF(_calc!$E$749="","",IF(_calc!$E$749&lt;=500,"Insurance","Certificate of insurance"))</f>
        <v/>
      </c>
      <c r="D747" s="46">
        <f>IF(_calc!$E$749="","",IF(_calc!$E$749&lt;=500,IF(ISNUMBER(INDEX('Our policies'!$I$4:$I$503,_calc!$E$749)),TEXT(INDEX('Our policies'!$I$4:$I$503,_calc!$E$749),"yyyy-mm-dd"),""),""))</f>
        <v/>
      </c>
      <c r="E747" s="46">
        <f>IF(_calc!$E$749="","",IF(_calc!$E$749&lt;=500,IF(LEN(INDEX('Our policies'!$Q$4:$Q$503,_calc!$E$749))=0,"",INDEX('Our policies'!$Q$4:$Q$503,_calc!$E$749)),"Medium"))</f>
        <v/>
      </c>
      <c r="F747" s="46">
        <f>IF(_calc!$E$749="","",IF(_calc!$E$749&lt;=500,TRIM(IF(LEN(IF(LEN(INDEX('Our policies'!$B$4:$B$503,_calc!$E$749))=0,"",INDEX('Our policies'!$B$4:$B$503,_calc!$E$749)))=0,"","Cover: "&amp;IF(LEN(INDEX('Our policies'!$B$4:$B$503,_calc!$E$749))=0,"",INDEX('Our policies'!$B$4:$B$503,_calc!$E$749))&amp;". ")&amp;IF(LEN(IF(LEN(INDEX('Our policies'!$C$4:$C$503,_calc!$E$749))=0,"",INDEX('Our policies'!$C$4:$C$503,_calc!$E$749)))=0,"","Insurer: "&amp;IF(LEN(INDEX('Our policies'!$C$4:$C$503,_calc!$E$749))=0,"",INDEX('Our policies'!$C$4:$C$503,_calc!$E$749))&amp;". ")&amp;IF(LEN(IF(LEN(INDEX('Our policies'!$D$4:$D$503,_calc!$E$749))=0,"",INDEX('Our policies'!$D$4:$D$503,_calc!$E$749)))=0,"","Broker: "&amp;IF(LEN(INDEX('Our policies'!$D$4:$D$503,_calc!$E$749))=0,"",INDEX('Our policies'!$D$4:$D$503,_calc!$E$749))&amp;". ")&amp;IF(LEN(IF(LEN(INDEX('Our policies'!$E$4:$E$503,_calc!$E$749))=0,"",INDEX('Our policies'!$E$4:$E$503,_calc!$E$749)))=0,"","Policy no.: "&amp;IF(LEN(INDEX('Our policies'!$E$4:$E$503,_calc!$E$749))=0,"",INDEX('Our policies'!$E$4:$E$503,_calc!$E$749))&amp;". ")&amp;IF(LEN(IF(LEN(INDEX('Our policies'!$S$4:$S$503,_calc!$E$749))=0,"",INDEX('Our policies'!$S$4:$S$503,_calc!$E$749)))=0,"",IF(LEN(INDEX('Our policies'!$S$4:$S$503,_calc!$E$749))=0,"",INDEX('Our policies'!$S$4:$S$503,_calc!$E$749)))),TRIM(IF(LEN(IF(LEN(INDEX('Vendor COIs'!$C$4:$C$503,(_calc!$E$749-500)))=0,"",INDEX('Vendor COIs'!$C$4:$C$503,(_calc!$E$749-500))))=0,"","Insurer: "&amp;IF(LEN(INDEX('Vendor COIs'!$C$4:$C$503,(_calc!$E$749-500)))=0,"",INDEX('Vendor COIs'!$C$4:$C$503,(_calc!$E$749-500)))&amp;". ")&amp;IF(LEN(IF(LEN(INDEX('Vendor COIs'!$D$4:$D$503,(_calc!$E$749-500)))=0,"",INDEX('Vendor COIs'!$D$4:$D$503,(_calc!$E$749-500))))=0,"","Policy no.: "&amp;IF(LEN(INDEX('Vendor COIs'!$D$4:$D$503,(_calc!$E$749-500)))=0,"",INDEX('Vendor COIs'!$D$4:$D$503,(_calc!$E$749-500)))&amp;". ")&amp;IF(LEN(IF(LEN(INDEX('Vendor COIs'!$F$4:$F$503,(_calc!$E$749-500)))=0,"",INDEX('Vendor COIs'!$F$4:$F$503,(_calc!$E$749-500))))=0,"","Meets minimum: "&amp;IF(LEN(INDEX('Vendor COIs'!$F$4:$F$503,(_calc!$E$749-500)))=0,"",INDEX('Vendor COIs'!$F$4:$F$503,(_calc!$E$749-500)))&amp;". ")&amp;IF(LEN(IF(LEN(INDEX('Vendor COIs'!$G$4:$G$503,(_calc!$E$749-500)))=0,"",INDEX('Vendor COIs'!$G$4:$G$503,(_calc!$E$749-500))))=0,"","Additional insured: "&amp;IF(LEN(INDEX('Vendor COIs'!$G$4:$G$503,(_calc!$E$749-500)))=0,"",INDEX('Vendor COIs'!$G$4:$G$503,(_calc!$E$749-500)))&amp;". ")&amp;IF(LEN(IF(LEN(INDEX('Vendor COIs'!$M$4:$M$503,(_calc!$E$749-500)))=0,"",INDEX('Vendor COIs'!$M$4:$M$503,(_calc!$E$749-500))))=0,"","Vendor contact: "&amp;IF(LEN(INDEX('Vendor COIs'!$M$4:$M$503,(_calc!$E$749-500)))=0,"",INDEX('Vendor COIs'!$M$4:$M$503,(_calc!$E$749-500)))&amp;". ")&amp;IF(LEN(IF(LEN(INDEX('Vendor COIs'!$P$4:$P$503,(_calc!$E$749-500)))=0,"",INDEX('Vendor COIs'!$P$4:$P$503,(_calc!$E$749-500))))=0,"",IF(LEN(INDEX('Vendor COIs'!$P$4:$P$503,(_calc!$E$749-500)))=0,"",INDEX('Vendor COIs'!$P$4:$P$503,(_calc!$E$749-500)))))))</f>
        <v/>
      </c>
      <c r="G747" s="46">
        <f>IF(_calc!$E$749="","",IF(_calc!$E$749&lt;=500,IF(LEN(INDEX('Our policies'!$R$4:$R$503,_calc!$E$749))=0,"",INDEX('Our policies'!$R$4:$R$503,_calc!$E$749)),IF(LEN(INDEX('Vendor COIs'!$O$4:$O$503,(_calc!$E$749-500)))=0,"",INDEX('Vendor COIs'!$O$4:$O$503,(_calc!$E$749-500)))))</f>
        <v/>
      </c>
      <c r="H747" s="46">
        <f>IF(_calc!$E$749="","",IF(_calc!$E$749&lt;=500,IF(LEN(INDEX('Our policies'!$G$4:$G$503,_calc!$E$749))=0,"",INDEX('Our policies'!$G$4:$G$503,_calc!$E$749)),""))</f>
        <v/>
      </c>
      <c r="I747" s="46">
        <f>IF(_calc!$E$749="","",IF(_calc!$E$749&lt;=500,IF(LEN(INDEX('Our policies'!$H$4:$H$503,_calc!$E$749))=0,"",INDEX('Our policies'!$H$4:$H$503,_calc!$E$749)),""))</f>
        <v/>
      </c>
      <c r="K747" s="46">
        <f>IF(_calc!$E$749="","",IF(_calc!$E$749&lt;=500,IF(LEN(INDEX('Our policies'!$P$4:$P$503,_calc!$E$749))=0,"",INDEX('Our policies'!$P$4:$P$503,_calc!$E$749)),IF(LEN(INDEX('Vendor COIs'!$N$4:$N$503,(_calc!$E$749-500)))=0,"",INDEX('Vendor COIs'!$N$4:$N$503,(_calc!$E$749-500)))))</f>
        <v/>
      </c>
    </row>
    <row r="748">
      <c r="A748" s="46">
        <f>IF(_calc!$E$750="","",IF(_calc!$E$750&lt;=500,IF(LEN(INDEX('Our policies'!$A$4:$A$503,_calc!$E$750))=0,"",INDEX('Our policies'!$A$4:$A$503,_calc!$E$750)),"COI – "&amp;IF(LEN(INDEX('Vendor COIs'!$A$4:$A$503,(_calc!$E$750-500)))=0,"",INDEX('Vendor COIs'!$A$4:$A$503,(_calc!$E$750-500)))&amp;" – "&amp;IF(LEN(INDEX('Vendor COIs'!$B$4:$B$503,(_calc!$E$750-500)))=0,"",INDEX('Vendor COIs'!$B$4:$B$503,(_calc!$E$750-500)))))</f>
        <v/>
      </c>
      <c r="B748" s="46">
        <f>IF(_calc!$E$750="","",IF(_calc!$E$750&lt;=500,IF(ISNUMBER(INDEX('Our policies'!$J$4:$J$503,_calc!$E$750)),TEXT(INDEX('Our policies'!$J$4:$J$503,_calc!$E$750),"yyyy-mm-dd"),""),IF(ISNUMBER(INDEX('Vendor COIs'!$H$4:$H$503,(_calc!$E$750-500))),TEXT(INDEX('Vendor COIs'!$H$4:$H$503,(_calc!$E$750-500)),"yyyy-mm-dd"),"")))</f>
        <v/>
      </c>
      <c r="C748" s="46">
        <f>IF(_calc!$E$750="","",IF(_calc!$E$750&lt;=500,"Insurance","Certificate of insurance"))</f>
        <v/>
      </c>
      <c r="D748" s="46">
        <f>IF(_calc!$E$750="","",IF(_calc!$E$750&lt;=500,IF(ISNUMBER(INDEX('Our policies'!$I$4:$I$503,_calc!$E$750)),TEXT(INDEX('Our policies'!$I$4:$I$503,_calc!$E$750),"yyyy-mm-dd"),""),""))</f>
        <v/>
      </c>
      <c r="E748" s="46">
        <f>IF(_calc!$E$750="","",IF(_calc!$E$750&lt;=500,IF(LEN(INDEX('Our policies'!$Q$4:$Q$503,_calc!$E$750))=0,"",INDEX('Our policies'!$Q$4:$Q$503,_calc!$E$750)),"Medium"))</f>
        <v/>
      </c>
      <c r="F748" s="46">
        <f>IF(_calc!$E$750="","",IF(_calc!$E$750&lt;=500,TRIM(IF(LEN(IF(LEN(INDEX('Our policies'!$B$4:$B$503,_calc!$E$750))=0,"",INDEX('Our policies'!$B$4:$B$503,_calc!$E$750)))=0,"","Cover: "&amp;IF(LEN(INDEX('Our policies'!$B$4:$B$503,_calc!$E$750))=0,"",INDEX('Our policies'!$B$4:$B$503,_calc!$E$750))&amp;". ")&amp;IF(LEN(IF(LEN(INDEX('Our policies'!$C$4:$C$503,_calc!$E$750))=0,"",INDEX('Our policies'!$C$4:$C$503,_calc!$E$750)))=0,"","Insurer: "&amp;IF(LEN(INDEX('Our policies'!$C$4:$C$503,_calc!$E$750))=0,"",INDEX('Our policies'!$C$4:$C$503,_calc!$E$750))&amp;". ")&amp;IF(LEN(IF(LEN(INDEX('Our policies'!$D$4:$D$503,_calc!$E$750))=0,"",INDEX('Our policies'!$D$4:$D$503,_calc!$E$750)))=0,"","Broker: "&amp;IF(LEN(INDEX('Our policies'!$D$4:$D$503,_calc!$E$750))=0,"",INDEX('Our policies'!$D$4:$D$503,_calc!$E$750))&amp;". ")&amp;IF(LEN(IF(LEN(INDEX('Our policies'!$E$4:$E$503,_calc!$E$750))=0,"",INDEX('Our policies'!$E$4:$E$503,_calc!$E$750)))=0,"","Policy no.: "&amp;IF(LEN(INDEX('Our policies'!$E$4:$E$503,_calc!$E$750))=0,"",INDEX('Our policies'!$E$4:$E$503,_calc!$E$750))&amp;". ")&amp;IF(LEN(IF(LEN(INDEX('Our policies'!$S$4:$S$503,_calc!$E$750))=0,"",INDEX('Our policies'!$S$4:$S$503,_calc!$E$750)))=0,"",IF(LEN(INDEX('Our policies'!$S$4:$S$503,_calc!$E$750))=0,"",INDEX('Our policies'!$S$4:$S$503,_calc!$E$750)))),TRIM(IF(LEN(IF(LEN(INDEX('Vendor COIs'!$C$4:$C$503,(_calc!$E$750-500)))=0,"",INDEX('Vendor COIs'!$C$4:$C$503,(_calc!$E$750-500))))=0,"","Insurer: "&amp;IF(LEN(INDEX('Vendor COIs'!$C$4:$C$503,(_calc!$E$750-500)))=0,"",INDEX('Vendor COIs'!$C$4:$C$503,(_calc!$E$750-500)))&amp;". ")&amp;IF(LEN(IF(LEN(INDEX('Vendor COIs'!$D$4:$D$503,(_calc!$E$750-500)))=0,"",INDEX('Vendor COIs'!$D$4:$D$503,(_calc!$E$750-500))))=0,"","Policy no.: "&amp;IF(LEN(INDEX('Vendor COIs'!$D$4:$D$503,(_calc!$E$750-500)))=0,"",INDEX('Vendor COIs'!$D$4:$D$503,(_calc!$E$750-500)))&amp;". ")&amp;IF(LEN(IF(LEN(INDEX('Vendor COIs'!$F$4:$F$503,(_calc!$E$750-500)))=0,"",INDEX('Vendor COIs'!$F$4:$F$503,(_calc!$E$750-500))))=0,"","Meets minimum: "&amp;IF(LEN(INDEX('Vendor COIs'!$F$4:$F$503,(_calc!$E$750-500)))=0,"",INDEX('Vendor COIs'!$F$4:$F$503,(_calc!$E$750-500)))&amp;". ")&amp;IF(LEN(IF(LEN(INDEX('Vendor COIs'!$G$4:$G$503,(_calc!$E$750-500)))=0,"",INDEX('Vendor COIs'!$G$4:$G$503,(_calc!$E$750-500))))=0,"","Additional insured: "&amp;IF(LEN(INDEX('Vendor COIs'!$G$4:$G$503,(_calc!$E$750-500)))=0,"",INDEX('Vendor COIs'!$G$4:$G$503,(_calc!$E$750-500)))&amp;". ")&amp;IF(LEN(IF(LEN(INDEX('Vendor COIs'!$M$4:$M$503,(_calc!$E$750-500)))=0,"",INDEX('Vendor COIs'!$M$4:$M$503,(_calc!$E$750-500))))=0,"","Vendor contact: "&amp;IF(LEN(INDEX('Vendor COIs'!$M$4:$M$503,(_calc!$E$750-500)))=0,"",INDEX('Vendor COIs'!$M$4:$M$503,(_calc!$E$750-500)))&amp;". ")&amp;IF(LEN(IF(LEN(INDEX('Vendor COIs'!$P$4:$P$503,(_calc!$E$750-500)))=0,"",INDEX('Vendor COIs'!$P$4:$P$503,(_calc!$E$750-500))))=0,"",IF(LEN(INDEX('Vendor COIs'!$P$4:$P$503,(_calc!$E$750-500)))=0,"",INDEX('Vendor COIs'!$P$4:$P$503,(_calc!$E$750-500)))))))</f>
        <v/>
      </c>
      <c r="G748" s="46">
        <f>IF(_calc!$E$750="","",IF(_calc!$E$750&lt;=500,IF(LEN(INDEX('Our policies'!$R$4:$R$503,_calc!$E$750))=0,"",INDEX('Our policies'!$R$4:$R$503,_calc!$E$750)),IF(LEN(INDEX('Vendor COIs'!$O$4:$O$503,(_calc!$E$750-500)))=0,"",INDEX('Vendor COIs'!$O$4:$O$503,(_calc!$E$750-500)))))</f>
        <v/>
      </c>
      <c r="H748" s="46">
        <f>IF(_calc!$E$750="","",IF(_calc!$E$750&lt;=500,IF(LEN(INDEX('Our policies'!$G$4:$G$503,_calc!$E$750))=0,"",INDEX('Our policies'!$G$4:$G$503,_calc!$E$750)),""))</f>
        <v/>
      </c>
      <c r="I748" s="46">
        <f>IF(_calc!$E$750="","",IF(_calc!$E$750&lt;=500,IF(LEN(INDEX('Our policies'!$H$4:$H$503,_calc!$E$750))=0,"",INDEX('Our policies'!$H$4:$H$503,_calc!$E$750)),""))</f>
        <v/>
      </c>
      <c r="K748" s="46">
        <f>IF(_calc!$E$750="","",IF(_calc!$E$750&lt;=500,IF(LEN(INDEX('Our policies'!$P$4:$P$503,_calc!$E$750))=0,"",INDEX('Our policies'!$P$4:$P$503,_calc!$E$750)),IF(LEN(INDEX('Vendor COIs'!$N$4:$N$503,(_calc!$E$750-500)))=0,"",INDEX('Vendor COIs'!$N$4:$N$503,(_calc!$E$750-500)))))</f>
        <v/>
      </c>
    </row>
    <row r="749">
      <c r="A749" s="46">
        <f>IF(_calc!$E$751="","",IF(_calc!$E$751&lt;=500,IF(LEN(INDEX('Our policies'!$A$4:$A$503,_calc!$E$751))=0,"",INDEX('Our policies'!$A$4:$A$503,_calc!$E$751)),"COI – "&amp;IF(LEN(INDEX('Vendor COIs'!$A$4:$A$503,(_calc!$E$751-500)))=0,"",INDEX('Vendor COIs'!$A$4:$A$503,(_calc!$E$751-500)))&amp;" – "&amp;IF(LEN(INDEX('Vendor COIs'!$B$4:$B$503,(_calc!$E$751-500)))=0,"",INDEX('Vendor COIs'!$B$4:$B$503,(_calc!$E$751-500)))))</f>
        <v/>
      </c>
      <c r="B749" s="46">
        <f>IF(_calc!$E$751="","",IF(_calc!$E$751&lt;=500,IF(ISNUMBER(INDEX('Our policies'!$J$4:$J$503,_calc!$E$751)),TEXT(INDEX('Our policies'!$J$4:$J$503,_calc!$E$751),"yyyy-mm-dd"),""),IF(ISNUMBER(INDEX('Vendor COIs'!$H$4:$H$503,(_calc!$E$751-500))),TEXT(INDEX('Vendor COIs'!$H$4:$H$503,(_calc!$E$751-500)),"yyyy-mm-dd"),"")))</f>
        <v/>
      </c>
      <c r="C749" s="46">
        <f>IF(_calc!$E$751="","",IF(_calc!$E$751&lt;=500,"Insurance","Certificate of insurance"))</f>
        <v/>
      </c>
      <c r="D749" s="46">
        <f>IF(_calc!$E$751="","",IF(_calc!$E$751&lt;=500,IF(ISNUMBER(INDEX('Our policies'!$I$4:$I$503,_calc!$E$751)),TEXT(INDEX('Our policies'!$I$4:$I$503,_calc!$E$751),"yyyy-mm-dd"),""),""))</f>
        <v/>
      </c>
      <c r="E749" s="46">
        <f>IF(_calc!$E$751="","",IF(_calc!$E$751&lt;=500,IF(LEN(INDEX('Our policies'!$Q$4:$Q$503,_calc!$E$751))=0,"",INDEX('Our policies'!$Q$4:$Q$503,_calc!$E$751)),"Medium"))</f>
        <v/>
      </c>
      <c r="F749" s="46">
        <f>IF(_calc!$E$751="","",IF(_calc!$E$751&lt;=500,TRIM(IF(LEN(IF(LEN(INDEX('Our policies'!$B$4:$B$503,_calc!$E$751))=0,"",INDEX('Our policies'!$B$4:$B$503,_calc!$E$751)))=0,"","Cover: "&amp;IF(LEN(INDEX('Our policies'!$B$4:$B$503,_calc!$E$751))=0,"",INDEX('Our policies'!$B$4:$B$503,_calc!$E$751))&amp;". ")&amp;IF(LEN(IF(LEN(INDEX('Our policies'!$C$4:$C$503,_calc!$E$751))=0,"",INDEX('Our policies'!$C$4:$C$503,_calc!$E$751)))=0,"","Insurer: "&amp;IF(LEN(INDEX('Our policies'!$C$4:$C$503,_calc!$E$751))=0,"",INDEX('Our policies'!$C$4:$C$503,_calc!$E$751))&amp;". ")&amp;IF(LEN(IF(LEN(INDEX('Our policies'!$D$4:$D$503,_calc!$E$751))=0,"",INDEX('Our policies'!$D$4:$D$503,_calc!$E$751)))=0,"","Broker: "&amp;IF(LEN(INDEX('Our policies'!$D$4:$D$503,_calc!$E$751))=0,"",INDEX('Our policies'!$D$4:$D$503,_calc!$E$751))&amp;". ")&amp;IF(LEN(IF(LEN(INDEX('Our policies'!$E$4:$E$503,_calc!$E$751))=0,"",INDEX('Our policies'!$E$4:$E$503,_calc!$E$751)))=0,"","Policy no.: "&amp;IF(LEN(INDEX('Our policies'!$E$4:$E$503,_calc!$E$751))=0,"",INDEX('Our policies'!$E$4:$E$503,_calc!$E$751))&amp;". ")&amp;IF(LEN(IF(LEN(INDEX('Our policies'!$S$4:$S$503,_calc!$E$751))=0,"",INDEX('Our policies'!$S$4:$S$503,_calc!$E$751)))=0,"",IF(LEN(INDEX('Our policies'!$S$4:$S$503,_calc!$E$751))=0,"",INDEX('Our policies'!$S$4:$S$503,_calc!$E$751)))),TRIM(IF(LEN(IF(LEN(INDEX('Vendor COIs'!$C$4:$C$503,(_calc!$E$751-500)))=0,"",INDEX('Vendor COIs'!$C$4:$C$503,(_calc!$E$751-500))))=0,"","Insurer: "&amp;IF(LEN(INDEX('Vendor COIs'!$C$4:$C$503,(_calc!$E$751-500)))=0,"",INDEX('Vendor COIs'!$C$4:$C$503,(_calc!$E$751-500)))&amp;". ")&amp;IF(LEN(IF(LEN(INDEX('Vendor COIs'!$D$4:$D$503,(_calc!$E$751-500)))=0,"",INDEX('Vendor COIs'!$D$4:$D$503,(_calc!$E$751-500))))=0,"","Policy no.: "&amp;IF(LEN(INDEX('Vendor COIs'!$D$4:$D$503,(_calc!$E$751-500)))=0,"",INDEX('Vendor COIs'!$D$4:$D$503,(_calc!$E$751-500)))&amp;". ")&amp;IF(LEN(IF(LEN(INDEX('Vendor COIs'!$F$4:$F$503,(_calc!$E$751-500)))=0,"",INDEX('Vendor COIs'!$F$4:$F$503,(_calc!$E$751-500))))=0,"","Meets minimum: "&amp;IF(LEN(INDEX('Vendor COIs'!$F$4:$F$503,(_calc!$E$751-500)))=0,"",INDEX('Vendor COIs'!$F$4:$F$503,(_calc!$E$751-500)))&amp;". ")&amp;IF(LEN(IF(LEN(INDEX('Vendor COIs'!$G$4:$G$503,(_calc!$E$751-500)))=0,"",INDEX('Vendor COIs'!$G$4:$G$503,(_calc!$E$751-500))))=0,"","Additional insured: "&amp;IF(LEN(INDEX('Vendor COIs'!$G$4:$G$503,(_calc!$E$751-500)))=0,"",INDEX('Vendor COIs'!$G$4:$G$503,(_calc!$E$751-500)))&amp;". ")&amp;IF(LEN(IF(LEN(INDEX('Vendor COIs'!$M$4:$M$503,(_calc!$E$751-500)))=0,"",INDEX('Vendor COIs'!$M$4:$M$503,(_calc!$E$751-500))))=0,"","Vendor contact: "&amp;IF(LEN(INDEX('Vendor COIs'!$M$4:$M$503,(_calc!$E$751-500)))=0,"",INDEX('Vendor COIs'!$M$4:$M$503,(_calc!$E$751-500)))&amp;". ")&amp;IF(LEN(IF(LEN(INDEX('Vendor COIs'!$P$4:$P$503,(_calc!$E$751-500)))=0,"",INDEX('Vendor COIs'!$P$4:$P$503,(_calc!$E$751-500))))=0,"",IF(LEN(INDEX('Vendor COIs'!$P$4:$P$503,(_calc!$E$751-500)))=0,"",INDEX('Vendor COIs'!$P$4:$P$503,(_calc!$E$751-500)))))))</f>
        <v/>
      </c>
      <c r="G749" s="46">
        <f>IF(_calc!$E$751="","",IF(_calc!$E$751&lt;=500,IF(LEN(INDEX('Our policies'!$R$4:$R$503,_calc!$E$751))=0,"",INDEX('Our policies'!$R$4:$R$503,_calc!$E$751)),IF(LEN(INDEX('Vendor COIs'!$O$4:$O$503,(_calc!$E$751-500)))=0,"",INDEX('Vendor COIs'!$O$4:$O$503,(_calc!$E$751-500)))))</f>
        <v/>
      </c>
      <c r="H749" s="46">
        <f>IF(_calc!$E$751="","",IF(_calc!$E$751&lt;=500,IF(LEN(INDEX('Our policies'!$G$4:$G$503,_calc!$E$751))=0,"",INDEX('Our policies'!$G$4:$G$503,_calc!$E$751)),""))</f>
        <v/>
      </c>
      <c r="I749" s="46">
        <f>IF(_calc!$E$751="","",IF(_calc!$E$751&lt;=500,IF(LEN(INDEX('Our policies'!$H$4:$H$503,_calc!$E$751))=0,"",INDEX('Our policies'!$H$4:$H$503,_calc!$E$751)),""))</f>
        <v/>
      </c>
      <c r="K749" s="46">
        <f>IF(_calc!$E$751="","",IF(_calc!$E$751&lt;=500,IF(LEN(INDEX('Our policies'!$P$4:$P$503,_calc!$E$751))=0,"",INDEX('Our policies'!$P$4:$P$503,_calc!$E$751)),IF(LEN(INDEX('Vendor COIs'!$N$4:$N$503,(_calc!$E$751-500)))=0,"",INDEX('Vendor COIs'!$N$4:$N$503,(_calc!$E$751-500)))))</f>
        <v/>
      </c>
    </row>
    <row r="750">
      <c r="A750" s="46">
        <f>IF(_calc!$E$752="","",IF(_calc!$E$752&lt;=500,IF(LEN(INDEX('Our policies'!$A$4:$A$503,_calc!$E$752))=0,"",INDEX('Our policies'!$A$4:$A$503,_calc!$E$752)),"COI – "&amp;IF(LEN(INDEX('Vendor COIs'!$A$4:$A$503,(_calc!$E$752-500)))=0,"",INDEX('Vendor COIs'!$A$4:$A$503,(_calc!$E$752-500)))&amp;" – "&amp;IF(LEN(INDEX('Vendor COIs'!$B$4:$B$503,(_calc!$E$752-500)))=0,"",INDEX('Vendor COIs'!$B$4:$B$503,(_calc!$E$752-500)))))</f>
        <v/>
      </c>
      <c r="B750" s="46">
        <f>IF(_calc!$E$752="","",IF(_calc!$E$752&lt;=500,IF(ISNUMBER(INDEX('Our policies'!$J$4:$J$503,_calc!$E$752)),TEXT(INDEX('Our policies'!$J$4:$J$503,_calc!$E$752),"yyyy-mm-dd"),""),IF(ISNUMBER(INDEX('Vendor COIs'!$H$4:$H$503,(_calc!$E$752-500))),TEXT(INDEX('Vendor COIs'!$H$4:$H$503,(_calc!$E$752-500)),"yyyy-mm-dd"),"")))</f>
        <v/>
      </c>
      <c r="C750" s="46">
        <f>IF(_calc!$E$752="","",IF(_calc!$E$752&lt;=500,"Insurance","Certificate of insurance"))</f>
        <v/>
      </c>
      <c r="D750" s="46">
        <f>IF(_calc!$E$752="","",IF(_calc!$E$752&lt;=500,IF(ISNUMBER(INDEX('Our policies'!$I$4:$I$503,_calc!$E$752)),TEXT(INDEX('Our policies'!$I$4:$I$503,_calc!$E$752),"yyyy-mm-dd"),""),""))</f>
        <v/>
      </c>
      <c r="E750" s="46">
        <f>IF(_calc!$E$752="","",IF(_calc!$E$752&lt;=500,IF(LEN(INDEX('Our policies'!$Q$4:$Q$503,_calc!$E$752))=0,"",INDEX('Our policies'!$Q$4:$Q$503,_calc!$E$752)),"Medium"))</f>
        <v/>
      </c>
      <c r="F750" s="46">
        <f>IF(_calc!$E$752="","",IF(_calc!$E$752&lt;=500,TRIM(IF(LEN(IF(LEN(INDEX('Our policies'!$B$4:$B$503,_calc!$E$752))=0,"",INDEX('Our policies'!$B$4:$B$503,_calc!$E$752)))=0,"","Cover: "&amp;IF(LEN(INDEX('Our policies'!$B$4:$B$503,_calc!$E$752))=0,"",INDEX('Our policies'!$B$4:$B$503,_calc!$E$752))&amp;". ")&amp;IF(LEN(IF(LEN(INDEX('Our policies'!$C$4:$C$503,_calc!$E$752))=0,"",INDEX('Our policies'!$C$4:$C$503,_calc!$E$752)))=0,"","Insurer: "&amp;IF(LEN(INDEX('Our policies'!$C$4:$C$503,_calc!$E$752))=0,"",INDEX('Our policies'!$C$4:$C$503,_calc!$E$752))&amp;". ")&amp;IF(LEN(IF(LEN(INDEX('Our policies'!$D$4:$D$503,_calc!$E$752))=0,"",INDEX('Our policies'!$D$4:$D$503,_calc!$E$752)))=0,"","Broker: "&amp;IF(LEN(INDEX('Our policies'!$D$4:$D$503,_calc!$E$752))=0,"",INDEX('Our policies'!$D$4:$D$503,_calc!$E$752))&amp;". ")&amp;IF(LEN(IF(LEN(INDEX('Our policies'!$E$4:$E$503,_calc!$E$752))=0,"",INDEX('Our policies'!$E$4:$E$503,_calc!$E$752)))=0,"","Policy no.: "&amp;IF(LEN(INDEX('Our policies'!$E$4:$E$503,_calc!$E$752))=0,"",INDEX('Our policies'!$E$4:$E$503,_calc!$E$752))&amp;". ")&amp;IF(LEN(IF(LEN(INDEX('Our policies'!$S$4:$S$503,_calc!$E$752))=0,"",INDEX('Our policies'!$S$4:$S$503,_calc!$E$752)))=0,"",IF(LEN(INDEX('Our policies'!$S$4:$S$503,_calc!$E$752))=0,"",INDEX('Our policies'!$S$4:$S$503,_calc!$E$752)))),TRIM(IF(LEN(IF(LEN(INDEX('Vendor COIs'!$C$4:$C$503,(_calc!$E$752-500)))=0,"",INDEX('Vendor COIs'!$C$4:$C$503,(_calc!$E$752-500))))=0,"","Insurer: "&amp;IF(LEN(INDEX('Vendor COIs'!$C$4:$C$503,(_calc!$E$752-500)))=0,"",INDEX('Vendor COIs'!$C$4:$C$503,(_calc!$E$752-500)))&amp;". ")&amp;IF(LEN(IF(LEN(INDEX('Vendor COIs'!$D$4:$D$503,(_calc!$E$752-500)))=0,"",INDEX('Vendor COIs'!$D$4:$D$503,(_calc!$E$752-500))))=0,"","Policy no.: "&amp;IF(LEN(INDEX('Vendor COIs'!$D$4:$D$503,(_calc!$E$752-500)))=0,"",INDEX('Vendor COIs'!$D$4:$D$503,(_calc!$E$752-500)))&amp;". ")&amp;IF(LEN(IF(LEN(INDEX('Vendor COIs'!$F$4:$F$503,(_calc!$E$752-500)))=0,"",INDEX('Vendor COIs'!$F$4:$F$503,(_calc!$E$752-500))))=0,"","Meets minimum: "&amp;IF(LEN(INDEX('Vendor COIs'!$F$4:$F$503,(_calc!$E$752-500)))=0,"",INDEX('Vendor COIs'!$F$4:$F$503,(_calc!$E$752-500)))&amp;". ")&amp;IF(LEN(IF(LEN(INDEX('Vendor COIs'!$G$4:$G$503,(_calc!$E$752-500)))=0,"",INDEX('Vendor COIs'!$G$4:$G$503,(_calc!$E$752-500))))=0,"","Additional insured: "&amp;IF(LEN(INDEX('Vendor COIs'!$G$4:$G$503,(_calc!$E$752-500)))=0,"",INDEX('Vendor COIs'!$G$4:$G$503,(_calc!$E$752-500)))&amp;". ")&amp;IF(LEN(IF(LEN(INDEX('Vendor COIs'!$M$4:$M$503,(_calc!$E$752-500)))=0,"",INDEX('Vendor COIs'!$M$4:$M$503,(_calc!$E$752-500))))=0,"","Vendor contact: "&amp;IF(LEN(INDEX('Vendor COIs'!$M$4:$M$503,(_calc!$E$752-500)))=0,"",INDEX('Vendor COIs'!$M$4:$M$503,(_calc!$E$752-500)))&amp;". ")&amp;IF(LEN(IF(LEN(INDEX('Vendor COIs'!$P$4:$P$503,(_calc!$E$752-500)))=0,"",INDEX('Vendor COIs'!$P$4:$P$503,(_calc!$E$752-500))))=0,"",IF(LEN(INDEX('Vendor COIs'!$P$4:$P$503,(_calc!$E$752-500)))=0,"",INDEX('Vendor COIs'!$P$4:$P$503,(_calc!$E$752-500)))))))</f>
        <v/>
      </c>
      <c r="G750" s="46">
        <f>IF(_calc!$E$752="","",IF(_calc!$E$752&lt;=500,IF(LEN(INDEX('Our policies'!$R$4:$R$503,_calc!$E$752))=0,"",INDEX('Our policies'!$R$4:$R$503,_calc!$E$752)),IF(LEN(INDEX('Vendor COIs'!$O$4:$O$503,(_calc!$E$752-500)))=0,"",INDEX('Vendor COIs'!$O$4:$O$503,(_calc!$E$752-500)))))</f>
        <v/>
      </c>
      <c r="H750" s="46">
        <f>IF(_calc!$E$752="","",IF(_calc!$E$752&lt;=500,IF(LEN(INDEX('Our policies'!$G$4:$G$503,_calc!$E$752))=0,"",INDEX('Our policies'!$G$4:$G$503,_calc!$E$752)),""))</f>
        <v/>
      </c>
      <c r="I750" s="46">
        <f>IF(_calc!$E$752="","",IF(_calc!$E$752&lt;=500,IF(LEN(INDEX('Our policies'!$H$4:$H$503,_calc!$E$752))=0,"",INDEX('Our policies'!$H$4:$H$503,_calc!$E$752)),""))</f>
        <v/>
      </c>
      <c r="K750" s="46">
        <f>IF(_calc!$E$752="","",IF(_calc!$E$752&lt;=500,IF(LEN(INDEX('Our policies'!$P$4:$P$503,_calc!$E$752))=0,"",INDEX('Our policies'!$P$4:$P$503,_calc!$E$752)),IF(LEN(INDEX('Vendor COIs'!$N$4:$N$503,(_calc!$E$752-500)))=0,"",INDEX('Vendor COIs'!$N$4:$N$503,(_calc!$E$752-500)))))</f>
        <v/>
      </c>
    </row>
    <row r="751">
      <c r="A751" s="46">
        <f>IF(_calc!$E$753="","",IF(_calc!$E$753&lt;=500,IF(LEN(INDEX('Our policies'!$A$4:$A$503,_calc!$E$753))=0,"",INDEX('Our policies'!$A$4:$A$503,_calc!$E$753)),"COI – "&amp;IF(LEN(INDEX('Vendor COIs'!$A$4:$A$503,(_calc!$E$753-500)))=0,"",INDEX('Vendor COIs'!$A$4:$A$503,(_calc!$E$753-500)))&amp;" – "&amp;IF(LEN(INDEX('Vendor COIs'!$B$4:$B$503,(_calc!$E$753-500)))=0,"",INDEX('Vendor COIs'!$B$4:$B$503,(_calc!$E$753-500)))))</f>
        <v/>
      </c>
      <c r="B751" s="46">
        <f>IF(_calc!$E$753="","",IF(_calc!$E$753&lt;=500,IF(ISNUMBER(INDEX('Our policies'!$J$4:$J$503,_calc!$E$753)),TEXT(INDEX('Our policies'!$J$4:$J$503,_calc!$E$753),"yyyy-mm-dd"),""),IF(ISNUMBER(INDEX('Vendor COIs'!$H$4:$H$503,(_calc!$E$753-500))),TEXT(INDEX('Vendor COIs'!$H$4:$H$503,(_calc!$E$753-500)),"yyyy-mm-dd"),"")))</f>
        <v/>
      </c>
      <c r="C751" s="46">
        <f>IF(_calc!$E$753="","",IF(_calc!$E$753&lt;=500,"Insurance","Certificate of insurance"))</f>
        <v/>
      </c>
      <c r="D751" s="46">
        <f>IF(_calc!$E$753="","",IF(_calc!$E$753&lt;=500,IF(ISNUMBER(INDEX('Our policies'!$I$4:$I$503,_calc!$E$753)),TEXT(INDEX('Our policies'!$I$4:$I$503,_calc!$E$753),"yyyy-mm-dd"),""),""))</f>
        <v/>
      </c>
      <c r="E751" s="46">
        <f>IF(_calc!$E$753="","",IF(_calc!$E$753&lt;=500,IF(LEN(INDEX('Our policies'!$Q$4:$Q$503,_calc!$E$753))=0,"",INDEX('Our policies'!$Q$4:$Q$503,_calc!$E$753)),"Medium"))</f>
        <v/>
      </c>
      <c r="F751" s="46">
        <f>IF(_calc!$E$753="","",IF(_calc!$E$753&lt;=500,TRIM(IF(LEN(IF(LEN(INDEX('Our policies'!$B$4:$B$503,_calc!$E$753))=0,"",INDEX('Our policies'!$B$4:$B$503,_calc!$E$753)))=0,"","Cover: "&amp;IF(LEN(INDEX('Our policies'!$B$4:$B$503,_calc!$E$753))=0,"",INDEX('Our policies'!$B$4:$B$503,_calc!$E$753))&amp;". ")&amp;IF(LEN(IF(LEN(INDEX('Our policies'!$C$4:$C$503,_calc!$E$753))=0,"",INDEX('Our policies'!$C$4:$C$503,_calc!$E$753)))=0,"","Insurer: "&amp;IF(LEN(INDEX('Our policies'!$C$4:$C$503,_calc!$E$753))=0,"",INDEX('Our policies'!$C$4:$C$503,_calc!$E$753))&amp;". ")&amp;IF(LEN(IF(LEN(INDEX('Our policies'!$D$4:$D$503,_calc!$E$753))=0,"",INDEX('Our policies'!$D$4:$D$503,_calc!$E$753)))=0,"","Broker: "&amp;IF(LEN(INDEX('Our policies'!$D$4:$D$503,_calc!$E$753))=0,"",INDEX('Our policies'!$D$4:$D$503,_calc!$E$753))&amp;". ")&amp;IF(LEN(IF(LEN(INDEX('Our policies'!$E$4:$E$503,_calc!$E$753))=0,"",INDEX('Our policies'!$E$4:$E$503,_calc!$E$753)))=0,"","Policy no.: "&amp;IF(LEN(INDEX('Our policies'!$E$4:$E$503,_calc!$E$753))=0,"",INDEX('Our policies'!$E$4:$E$503,_calc!$E$753))&amp;". ")&amp;IF(LEN(IF(LEN(INDEX('Our policies'!$S$4:$S$503,_calc!$E$753))=0,"",INDEX('Our policies'!$S$4:$S$503,_calc!$E$753)))=0,"",IF(LEN(INDEX('Our policies'!$S$4:$S$503,_calc!$E$753))=0,"",INDEX('Our policies'!$S$4:$S$503,_calc!$E$753)))),TRIM(IF(LEN(IF(LEN(INDEX('Vendor COIs'!$C$4:$C$503,(_calc!$E$753-500)))=0,"",INDEX('Vendor COIs'!$C$4:$C$503,(_calc!$E$753-500))))=0,"","Insurer: "&amp;IF(LEN(INDEX('Vendor COIs'!$C$4:$C$503,(_calc!$E$753-500)))=0,"",INDEX('Vendor COIs'!$C$4:$C$503,(_calc!$E$753-500)))&amp;". ")&amp;IF(LEN(IF(LEN(INDEX('Vendor COIs'!$D$4:$D$503,(_calc!$E$753-500)))=0,"",INDEX('Vendor COIs'!$D$4:$D$503,(_calc!$E$753-500))))=0,"","Policy no.: "&amp;IF(LEN(INDEX('Vendor COIs'!$D$4:$D$503,(_calc!$E$753-500)))=0,"",INDEX('Vendor COIs'!$D$4:$D$503,(_calc!$E$753-500)))&amp;". ")&amp;IF(LEN(IF(LEN(INDEX('Vendor COIs'!$F$4:$F$503,(_calc!$E$753-500)))=0,"",INDEX('Vendor COIs'!$F$4:$F$503,(_calc!$E$753-500))))=0,"","Meets minimum: "&amp;IF(LEN(INDEX('Vendor COIs'!$F$4:$F$503,(_calc!$E$753-500)))=0,"",INDEX('Vendor COIs'!$F$4:$F$503,(_calc!$E$753-500)))&amp;". ")&amp;IF(LEN(IF(LEN(INDEX('Vendor COIs'!$G$4:$G$503,(_calc!$E$753-500)))=0,"",INDEX('Vendor COIs'!$G$4:$G$503,(_calc!$E$753-500))))=0,"","Additional insured: "&amp;IF(LEN(INDEX('Vendor COIs'!$G$4:$G$503,(_calc!$E$753-500)))=0,"",INDEX('Vendor COIs'!$G$4:$G$503,(_calc!$E$753-500)))&amp;". ")&amp;IF(LEN(IF(LEN(INDEX('Vendor COIs'!$M$4:$M$503,(_calc!$E$753-500)))=0,"",INDEX('Vendor COIs'!$M$4:$M$503,(_calc!$E$753-500))))=0,"","Vendor contact: "&amp;IF(LEN(INDEX('Vendor COIs'!$M$4:$M$503,(_calc!$E$753-500)))=0,"",INDEX('Vendor COIs'!$M$4:$M$503,(_calc!$E$753-500)))&amp;". ")&amp;IF(LEN(IF(LEN(INDEX('Vendor COIs'!$P$4:$P$503,(_calc!$E$753-500)))=0,"",INDEX('Vendor COIs'!$P$4:$P$503,(_calc!$E$753-500))))=0,"",IF(LEN(INDEX('Vendor COIs'!$P$4:$P$503,(_calc!$E$753-500)))=0,"",INDEX('Vendor COIs'!$P$4:$P$503,(_calc!$E$753-500)))))))</f>
        <v/>
      </c>
      <c r="G751" s="46">
        <f>IF(_calc!$E$753="","",IF(_calc!$E$753&lt;=500,IF(LEN(INDEX('Our policies'!$R$4:$R$503,_calc!$E$753))=0,"",INDEX('Our policies'!$R$4:$R$503,_calc!$E$753)),IF(LEN(INDEX('Vendor COIs'!$O$4:$O$503,(_calc!$E$753-500)))=0,"",INDEX('Vendor COIs'!$O$4:$O$503,(_calc!$E$753-500)))))</f>
        <v/>
      </c>
      <c r="H751" s="46">
        <f>IF(_calc!$E$753="","",IF(_calc!$E$753&lt;=500,IF(LEN(INDEX('Our policies'!$G$4:$G$503,_calc!$E$753))=0,"",INDEX('Our policies'!$G$4:$G$503,_calc!$E$753)),""))</f>
        <v/>
      </c>
      <c r="I751" s="46">
        <f>IF(_calc!$E$753="","",IF(_calc!$E$753&lt;=500,IF(LEN(INDEX('Our policies'!$H$4:$H$503,_calc!$E$753))=0,"",INDEX('Our policies'!$H$4:$H$503,_calc!$E$753)),""))</f>
        <v/>
      </c>
      <c r="K751" s="46">
        <f>IF(_calc!$E$753="","",IF(_calc!$E$753&lt;=500,IF(LEN(INDEX('Our policies'!$P$4:$P$503,_calc!$E$753))=0,"",INDEX('Our policies'!$P$4:$P$503,_calc!$E$753)),IF(LEN(INDEX('Vendor COIs'!$N$4:$N$503,(_calc!$E$753-500)))=0,"",INDEX('Vendor COIs'!$N$4:$N$503,(_calc!$E$753-500)))))</f>
        <v/>
      </c>
    </row>
    <row r="752">
      <c r="A752" s="46">
        <f>IF(_calc!$E$754="","",IF(_calc!$E$754&lt;=500,IF(LEN(INDEX('Our policies'!$A$4:$A$503,_calc!$E$754))=0,"",INDEX('Our policies'!$A$4:$A$503,_calc!$E$754)),"COI – "&amp;IF(LEN(INDEX('Vendor COIs'!$A$4:$A$503,(_calc!$E$754-500)))=0,"",INDEX('Vendor COIs'!$A$4:$A$503,(_calc!$E$754-500)))&amp;" – "&amp;IF(LEN(INDEX('Vendor COIs'!$B$4:$B$503,(_calc!$E$754-500)))=0,"",INDEX('Vendor COIs'!$B$4:$B$503,(_calc!$E$754-500)))))</f>
        <v/>
      </c>
      <c r="B752" s="46">
        <f>IF(_calc!$E$754="","",IF(_calc!$E$754&lt;=500,IF(ISNUMBER(INDEX('Our policies'!$J$4:$J$503,_calc!$E$754)),TEXT(INDEX('Our policies'!$J$4:$J$503,_calc!$E$754),"yyyy-mm-dd"),""),IF(ISNUMBER(INDEX('Vendor COIs'!$H$4:$H$503,(_calc!$E$754-500))),TEXT(INDEX('Vendor COIs'!$H$4:$H$503,(_calc!$E$754-500)),"yyyy-mm-dd"),"")))</f>
        <v/>
      </c>
      <c r="C752" s="46">
        <f>IF(_calc!$E$754="","",IF(_calc!$E$754&lt;=500,"Insurance","Certificate of insurance"))</f>
        <v/>
      </c>
      <c r="D752" s="46">
        <f>IF(_calc!$E$754="","",IF(_calc!$E$754&lt;=500,IF(ISNUMBER(INDEX('Our policies'!$I$4:$I$503,_calc!$E$754)),TEXT(INDEX('Our policies'!$I$4:$I$503,_calc!$E$754),"yyyy-mm-dd"),""),""))</f>
        <v/>
      </c>
      <c r="E752" s="46">
        <f>IF(_calc!$E$754="","",IF(_calc!$E$754&lt;=500,IF(LEN(INDEX('Our policies'!$Q$4:$Q$503,_calc!$E$754))=0,"",INDEX('Our policies'!$Q$4:$Q$503,_calc!$E$754)),"Medium"))</f>
        <v/>
      </c>
      <c r="F752" s="46">
        <f>IF(_calc!$E$754="","",IF(_calc!$E$754&lt;=500,TRIM(IF(LEN(IF(LEN(INDEX('Our policies'!$B$4:$B$503,_calc!$E$754))=0,"",INDEX('Our policies'!$B$4:$B$503,_calc!$E$754)))=0,"","Cover: "&amp;IF(LEN(INDEX('Our policies'!$B$4:$B$503,_calc!$E$754))=0,"",INDEX('Our policies'!$B$4:$B$503,_calc!$E$754))&amp;". ")&amp;IF(LEN(IF(LEN(INDEX('Our policies'!$C$4:$C$503,_calc!$E$754))=0,"",INDEX('Our policies'!$C$4:$C$503,_calc!$E$754)))=0,"","Insurer: "&amp;IF(LEN(INDEX('Our policies'!$C$4:$C$503,_calc!$E$754))=0,"",INDEX('Our policies'!$C$4:$C$503,_calc!$E$754))&amp;". ")&amp;IF(LEN(IF(LEN(INDEX('Our policies'!$D$4:$D$503,_calc!$E$754))=0,"",INDEX('Our policies'!$D$4:$D$503,_calc!$E$754)))=0,"","Broker: "&amp;IF(LEN(INDEX('Our policies'!$D$4:$D$503,_calc!$E$754))=0,"",INDEX('Our policies'!$D$4:$D$503,_calc!$E$754))&amp;". ")&amp;IF(LEN(IF(LEN(INDEX('Our policies'!$E$4:$E$503,_calc!$E$754))=0,"",INDEX('Our policies'!$E$4:$E$503,_calc!$E$754)))=0,"","Policy no.: "&amp;IF(LEN(INDEX('Our policies'!$E$4:$E$503,_calc!$E$754))=0,"",INDEX('Our policies'!$E$4:$E$503,_calc!$E$754))&amp;". ")&amp;IF(LEN(IF(LEN(INDEX('Our policies'!$S$4:$S$503,_calc!$E$754))=0,"",INDEX('Our policies'!$S$4:$S$503,_calc!$E$754)))=0,"",IF(LEN(INDEX('Our policies'!$S$4:$S$503,_calc!$E$754))=0,"",INDEX('Our policies'!$S$4:$S$503,_calc!$E$754)))),TRIM(IF(LEN(IF(LEN(INDEX('Vendor COIs'!$C$4:$C$503,(_calc!$E$754-500)))=0,"",INDEX('Vendor COIs'!$C$4:$C$503,(_calc!$E$754-500))))=0,"","Insurer: "&amp;IF(LEN(INDEX('Vendor COIs'!$C$4:$C$503,(_calc!$E$754-500)))=0,"",INDEX('Vendor COIs'!$C$4:$C$503,(_calc!$E$754-500)))&amp;". ")&amp;IF(LEN(IF(LEN(INDEX('Vendor COIs'!$D$4:$D$503,(_calc!$E$754-500)))=0,"",INDEX('Vendor COIs'!$D$4:$D$503,(_calc!$E$754-500))))=0,"","Policy no.: "&amp;IF(LEN(INDEX('Vendor COIs'!$D$4:$D$503,(_calc!$E$754-500)))=0,"",INDEX('Vendor COIs'!$D$4:$D$503,(_calc!$E$754-500)))&amp;". ")&amp;IF(LEN(IF(LEN(INDEX('Vendor COIs'!$F$4:$F$503,(_calc!$E$754-500)))=0,"",INDEX('Vendor COIs'!$F$4:$F$503,(_calc!$E$754-500))))=0,"","Meets minimum: "&amp;IF(LEN(INDEX('Vendor COIs'!$F$4:$F$503,(_calc!$E$754-500)))=0,"",INDEX('Vendor COIs'!$F$4:$F$503,(_calc!$E$754-500)))&amp;". ")&amp;IF(LEN(IF(LEN(INDEX('Vendor COIs'!$G$4:$G$503,(_calc!$E$754-500)))=0,"",INDEX('Vendor COIs'!$G$4:$G$503,(_calc!$E$754-500))))=0,"","Additional insured: "&amp;IF(LEN(INDEX('Vendor COIs'!$G$4:$G$503,(_calc!$E$754-500)))=0,"",INDEX('Vendor COIs'!$G$4:$G$503,(_calc!$E$754-500)))&amp;". ")&amp;IF(LEN(IF(LEN(INDEX('Vendor COIs'!$M$4:$M$503,(_calc!$E$754-500)))=0,"",INDEX('Vendor COIs'!$M$4:$M$503,(_calc!$E$754-500))))=0,"","Vendor contact: "&amp;IF(LEN(INDEX('Vendor COIs'!$M$4:$M$503,(_calc!$E$754-500)))=0,"",INDEX('Vendor COIs'!$M$4:$M$503,(_calc!$E$754-500)))&amp;". ")&amp;IF(LEN(IF(LEN(INDEX('Vendor COIs'!$P$4:$P$503,(_calc!$E$754-500)))=0,"",INDEX('Vendor COIs'!$P$4:$P$503,(_calc!$E$754-500))))=0,"",IF(LEN(INDEX('Vendor COIs'!$P$4:$P$503,(_calc!$E$754-500)))=0,"",INDEX('Vendor COIs'!$P$4:$P$503,(_calc!$E$754-500)))))))</f>
        <v/>
      </c>
      <c r="G752" s="46">
        <f>IF(_calc!$E$754="","",IF(_calc!$E$754&lt;=500,IF(LEN(INDEX('Our policies'!$R$4:$R$503,_calc!$E$754))=0,"",INDEX('Our policies'!$R$4:$R$503,_calc!$E$754)),IF(LEN(INDEX('Vendor COIs'!$O$4:$O$503,(_calc!$E$754-500)))=0,"",INDEX('Vendor COIs'!$O$4:$O$503,(_calc!$E$754-500)))))</f>
        <v/>
      </c>
      <c r="H752" s="46">
        <f>IF(_calc!$E$754="","",IF(_calc!$E$754&lt;=500,IF(LEN(INDEX('Our policies'!$G$4:$G$503,_calc!$E$754))=0,"",INDEX('Our policies'!$G$4:$G$503,_calc!$E$754)),""))</f>
        <v/>
      </c>
      <c r="I752" s="46">
        <f>IF(_calc!$E$754="","",IF(_calc!$E$754&lt;=500,IF(LEN(INDEX('Our policies'!$H$4:$H$503,_calc!$E$754))=0,"",INDEX('Our policies'!$H$4:$H$503,_calc!$E$754)),""))</f>
        <v/>
      </c>
      <c r="K752" s="46">
        <f>IF(_calc!$E$754="","",IF(_calc!$E$754&lt;=500,IF(LEN(INDEX('Our policies'!$P$4:$P$503,_calc!$E$754))=0,"",INDEX('Our policies'!$P$4:$P$503,_calc!$E$754)),IF(LEN(INDEX('Vendor COIs'!$N$4:$N$503,(_calc!$E$754-500)))=0,"",INDEX('Vendor COIs'!$N$4:$N$503,(_calc!$E$754-500)))))</f>
        <v/>
      </c>
    </row>
    <row r="753">
      <c r="A753" s="46">
        <f>IF(_calc!$E$755="","",IF(_calc!$E$755&lt;=500,IF(LEN(INDEX('Our policies'!$A$4:$A$503,_calc!$E$755))=0,"",INDEX('Our policies'!$A$4:$A$503,_calc!$E$755)),"COI – "&amp;IF(LEN(INDEX('Vendor COIs'!$A$4:$A$503,(_calc!$E$755-500)))=0,"",INDEX('Vendor COIs'!$A$4:$A$503,(_calc!$E$755-500)))&amp;" – "&amp;IF(LEN(INDEX('Vendor COIs'!$B$4:$B$503,(_calc!$E$755-500)))=0,"",INDEX('Vendor COIs'!$B$4:$B$503,(_calc!$E$755-500)))))</f>
        <v/>
      </c>
      <c r="B753" s="46">
        <f>IF(_calc!$E$755="","",IF(_calc!$E$755&lt;=500,IF(ISNUMBER(INDEX('Our policies'!$J$4:$J$503,_calc!$E$755)),TEXT(INDEX('Our policies'!$J$4:$J$503,_calc!$E$755),"yyyy-mm-dd"),""),IF(ISNUMBER(INDEX('Vendor COIs'!$H$4:$H$503,(_calc!$E$755-500))),TEXT(INDEX('Vendor COIs'!$H$4:$H$503,(_calc!$E$755-500)),"yyyy-mm-dd"),"")))</f>
        <v/>
      </c>
      <c r="C753" s="46">
        <f>IF(_calc!$E$755="","",IF(_calc!$E$755&lt;=500,"Insurance","Certificate of insurance"))</f>
        <v/>
      </c>
      <c r="D753" s="46">
        <f>IF(_calc!$E$755="","",IF(_calc!$E$755&lt;=500,IF(ISNUMBER(INDEX('Our policies'!$I$4:$I$503,_calc!$E$755)),TEXT(INDEX('Our policies'!$I$4:$I$503,_calc!$E$755),"yyyy-mm-dd"),""),""))</f>
        <v/>
      </c>
      <c r="E753" s="46">
        <f>IF(_calc!$E$755="","",IF(_calc!$E$755&lt;=500,IF(LEN(INDEX('Our policies'!$Q$4:$Q$503,_calc!$E$755))=0,"",INDEX('Our policies'!$Q$4:$Q$503,_calc!$E$755)),"Medium"))</f>
        <v/>
      </c>
      <c r="F753" s="46">
        <f>IF(_calc!$E$755="","",IF(_calc!$E$755&lt;=500,TRIM(IF(LEN(IF(LEN(INDEX('Our policies'!$B$4:$B$503,_calc!$E$755))=0,"",INDEX('Our policies'!$B$4:$B$503,_calc!$E$755)))=0,"","Cover: "&amp;IF(LEN(INDEX('Our policies'!$B$4:$B$503,_calc!$E$755))=0,"",INDEX('Our policies'!$B$4:$B$503,_calc!$E$755))&amp;". ")&amp;IF(LEN(IF(LEN(INDEX('Our policies'!$C$4:$C$503,_calc!$E$755))=0,"",INDEX('Our policies'!$C$4:$C$503,_calc!$E$755)))=0,"","Insurer: "&amp;IF(LEN(INDEX('Our policies'!$C$4:$C$503,_calc!$E$755))=0,"",INDEX('Our policies'!$C$4:$C$503,_calc!$E$755))&amp;". ")&amp;IF(LEN(IF(LEN(INDEX('Our policies'!$D$4:$D$503,_calc!$E$755))=0,"",INDEX('Our policies'!$D$4:$D$503,_calc!$E$755)))=0,"","Broker: "&amp;IF(LEN(INDEX('Our policies'!$D$4:$D$503,_calc!$E$755))=0,"",INDEX('Our policies'!$D$4:$D$503,_calc!$E$755))&amp;". ")&amp;IF(LEN(IF(LEN(INDEX('Our policies'!$E$4:$E$503,_calc!$E$755))=0,"",INDEX('Our policies'!$E$4:$E$503,_calc!$E$755)))=0,"","Policy no.: "&amp;IF(LEN(INDEX('Our policies'!$E$4:$E$503,_calc!$E$755))=0,"",INDEX('Our policies'!$E$4:$E$503,_calc!$E$755))&amp;". ")&amp;IF(LEN(IF(LEN(INDEX('Our policies'!$S$4:$S$503,_calc!$E$755))=0,"",INDEX('Our policies'!$S$4:$S$503,_calc!$E$755)))=0,"",IF(LEN(INDEX('Our policies'!$S$4:$S$503,_calc!$E$755))=0,"",INDEX('Our policies'!$S$4:$S$503,_calc!$E$755)))),TRIM(IF(LEN(IF(LEN(INDEX('Vendor COIs'!$C$4:$C$503,(_calc!$E$755-500)))=0,"",INDEX('Vendor COIs'!$C$4:$C$503,(_calc!$E$755-500))))=0,"","Insurer: "&amp;IF(LEN(INDEX('Vendor COIs'!$C$4:$C$503,(_calc!$E$755-500)))=0,"",INDEX('Vendor COIs'!$C$4:$C$503,(_calc!$E$755-500)))&amp;". ")&amp;IF(LEN(IF(LEN(INDEX('Vendor COIs'!$D$4:$D$503,(_calc!$E$755-500)))=0,"",INDEX('Vendor COIs'!$D$4:$D$503,(_calc!$E$755-500))))=0,"","Policy no.: "&amp;IF(LEN(INDEX('Vendor COIs'!$D$4:$D$503,(_calc!$E$755-500)))=0,"",INDEX('Vendor COIs'!$D$4:$D$503,(_calc!$E$755-500)))&amp;". ")&amp;IF(LEN(IF(LEN(INDEX('Vendor COIs'!$F$4:$F$503,(_calc!$E$755-500)))=0,"",INDEX('Vendor COIs'!$F$4:$F$503,(_calc!$E$755-500))))=0,"","Meets minimum: "&amp;IF(LEN(INDEX('Vendor COIs'!$F$4:$F$503,(_calc!$E$755-500)))=0,"",INDEX('Vendor COIs'!$F$4:$F$503,(_calc!$E$755-500)))&amp;". ")&amp;IF(LEN(IF(LEN(INDEX('Vendor COIs'!$G$4:$G$503,(_calc!$E$755-500)))=0,"",INDEX('Vendor COIs'!$G$4:$G$503,(_calc!$E$755-500))))=0,"","Additional insured: "&amp;IF(LEN(INDEX('Vendor COIs'!$G$4:$G$503,(_calc!$E$755-500)))=0,"",INDEX('Vendor COIs'!$G$4:$G$503,(_calc!$E$755-500)))&amp;". ")&amp;IF(LEN(IF(LEN(INDEX('Vendor COIs'!$M$4:$M$503,(_calc!$E$755-500)))=0,"",INDEX('Vendor COIs'!$M$4:$M$503,(_calc!$E$755-500))))=0,"","Vendor contact: "&amp;IF(LEN(INDEX('Vendor COIs'!$M$4:$M$503,(_calc!$E$755-500)))=0,"",INDEX('Vendor COIs'!$M$4:$M$503,(_calc!$E$755-500)))&amp;". ")&amp;IF(LEN(IF(LEN(INDEX('Vendor COIs'!$P$4:$P$503,(_calc!$E$755-500)))=0,"",INDEX('Vendor COIs'!$P$4:$P$503,(_calc!$E$755-500))))=0,"",IF(LEN(INDEX('Vendor COIs'!$P$4:$P$503,(_calc!$E$755-500)))=0,"",INDEX('Vendor COIs'!$P$4:$P$503,(_calc!$E$755-500)))))))</f>
        <v/>
      </c>
      <c r="G753" s="46">
        <f>IF(_calc!$E$755="","",IF(_calc!$E$755&lt;=500,IF(LEN(INDEX('Our policies'!$R$4:$R$503,_calc!$E$755))=0,"",INDEX('Our policies'!$R$4:$R$503,_calc!$E$755)),IF(LEN(INDEX('Vendor COIs'!$O$4:$O$503,(_calc!$E$755-500)))=0,"",INDEX('Vendor COIs'!$O$4:$O$503,(_calc!$E$755-500)))))</f>
        <v/>
      </c>
      <c r="H753" s="46">
        <f>IF(_calc!$E$755="","",IF(_calc!$E$755&lt;=500,IF(LEN(INDEX('Our policies'!$G$4:$G$503,_calc!$E$755))=0,"",INDEX('Our policies'!$G$4:$G$503,_calc!$E$755)),""))</f>
        <v/>
      </c>
      <c r="I753" s="46">
        <f>IF(_calc!$E$755="","",IF(_calc!$E$755&lt;=500,IF(LEN(INDEX('Our policies'!$H$4:$H$503,_calc!$E$755))=0,"",INDEX('Our policies'!$H$4:$H$503,_calc!$E$755)),""))</f>
        <v/>
      </c>
      <c r="K753" s="46">
        <f>IF(_calc!$E$755="","",IF(_calc!$E$755&lt;=500,IF(LEN(INDEX('Our policies'!$P$4:$P$503,_calc!$E$755))=0,"",INDEX('Our policies'!$P$4:$P$503,_calc!$E$755)),IF(LEN(INDEX('Vendor COIs'!$N$4:$N$503,(_calc!$E$755-500)))=0,"",INDEX('Vendor COIs'!$N$4:$N$503,(_calc!$E$755-500)))))</f>
        <v/>
      </c>
    </row>
    <row r="754">
      <c r="A754" s="46">
        <f>IF(_calc!$E$756="","",IF(_calc!$E$756&lt;=500,IF(LEN(INDEX('Our policies'!$A$4:$A$503,_calc!$E$756))=0,"",INDEX('Our policies'!$A$4:$A$503,_calc!$E$756)),"COI – "&amp;IF(LEN(INDEX('Vendor COIs'!$A$4:$A$503,(_calc!$E$756-500)))=0,"",INDEX('Vendor COIs'!$A$4:$A$503,(_calc!$E$756-500)))&amp;" – "&amp;IF(LEN(INDEX('Vendor COIs'!$B$4:$B$503,(_calc!$E$756-500)))=0,"",INDEX('Vendor COIs'!$B$4:$B$503,(_calc!$E$756-500)))))</f>
        <v/>
      </c>
      <c r="B754" s="46">
        <f>IF(_calc!$E$756="","",IF(_calc!$E$756&lt;=500,IF(ISNUMBER(INDEX('Our policies'!$J$4:$J$503,_calc!$E$756)),TEXT(INDEX('Our policies'!$J$4:$J$503,_calc!$E$756),"yyyy-mm-dd"),""),IF(ISNUMBER(INDEX('Vendor COIs'!$H$4:$H$503,(_calc!$E$756-500))),TEXT(INDEX('Vendor COIs'!$H$4:$H$503,(_calc!$E$756-500)),"yyyy-mm-dd"),"")))</f>
        <v/>
      </c>
      <c r="C754" s="46">
        <f>IF(_calc!$E$756="","",IF(_calc!$E$756&lt;=500,"Insurance","Certificate of insurance"))</f>
        <v/>
      </c>
      <c r="D754" s="46">
        <f>IF(_calc!$E$756="","",IF(_calc!$E$756&lt;=500,IF(ISNUMBER(INDEX('Our policies'!$I$4:$I$503,_calc!$E$756)),TEXT(INDEX('Our policies'!$I$4:$I$503,_calc!$E$756),"yyyy-mm-dd"),""),""))</f>
        <v/>
      </c>
      <c r="E754" s="46">
        <f>IF(_calc!$E$756="","",IF(_calc!$E$756&lt;=500,IF(LEN(INDEX('Our policies'!$Q$4:$Q$503,_calc!$E$756))=0,"",INDEX('Our policies'!$Q$4:$Q$503,_calc!$E$756)),"Medium"))</f>
        <v/>
      </c>
      <c r="F754" s="46">
        <f>IF(_calc!$E$756="","",IF(_calc!$E$756&lt;=500,TRIM(IF(LEN(IF(LEN(INDEX('Our policies'!$B$4:$B$503,_calc!$E$756))=0,"",INDEX('Our policies'!$B$4:$B$503,_calc!$E$756)))=0,"","Cover: "&amp;IF(LEN(INDEX('Our policies'!$B$4:$B$503,_calc!$E$756))=0,"",INDEX('Our policies'!$B$4:$B$503,_calc!$E$756))&amp;". ")&amp;IF(LEN(IF(LEN(INDEX('Our policies'!$C$4:$C$503,_calc!$E$756))=0,"",INDEX('Our policies'!$C$4:$C$503,_calc!$E$756)))=0,"","Insurer: "&amp;IF(LEN(INDEX('Our policies'!$C$4:$C$503,_calc!$E$756))=0,"",INDEX('Our policies'!$C$4:$C$503,_calc!$E$756))&amp;". ")&amp;IF(LEN(IF(LEN(INDEX('Our policies'!$D$4:$D$503,_calc!$E$756))=0,"",INDEX('Our policies'!$D$4:$D$503,_calc!$E$756)))=0,"","Broker: "&amp;IF(LEN(INDEX('Our policies'!$D$4:$D$503,_calc!$E$756))=0,"",INDEX('Our policies'!$D$4:$D$503,_calc!$E$756))&amp;". ")&amp;IF(LEN(IF(LEN(INDEX('Our policies'!$E$4:$E$503,_calc!$E$756))=0,"",INDEX('Our policies'!$E$4:$E$503,_calc!$E$756)))=0,"","Policy no.: "&amp;IF(LEN(INDEX('Our policies'!$E$4:$E$503,_calc!$E$756))=0,"",INDEX('Our policies'!$E$4:$E$503,_calc!$E$756))&amp;". ")&amp;IF(LEN(IF(LEN(INDEX('Our policies'!$S$4:$S$503,_calc!$E$756))=0,"",INDEX('Our policies'!$S$4:$S$503,_calc!$E$756)))=0,"",IF(LEN(INDEX('Our policies'!$S$4:$S$503,_calc!$E$756))=0,"",INDEX('Our policies'!$S$4:$S$503,_calc!$E$756)))),TRIM(IF(LEN(IF(LEN(INDEX('Vendor COIs'!$C$4:$C$503,(_calc!$E$756-500)))=0,"",INDEX('Vendor COIs'!$C$4:$C$503,(_calc!$E$756-500))))=0,"","Insurer: "&amp;IF(LEN(INDEX('Vendor COIs'!$C$4:$C$503,(_calc!$E$756-500)))=0,"",INDEX('Vendor COIs'!$C$4:$C$503,(_calc!$E$756-500)))&amp;". ")&amp;IF(LEN(IF(LEN(INDEX('Vendor COIs'!$D$4:$D$503,(_calc!$E$756-500)))=0,"",INDEX('Vendor COIs'!$D$4:$D$503,(_calc!$E$756-500))))=0,"","Policy no.: "&amp;IF(LEN(INDEX('Vendor COIs'!$D$4:$D$503,(_calc!$E$756-500)))=0,"",INDEX('Vendor COIs'!$D$4:$D$503,(_calc!$E$756-500)))&amp;". ")&amp;IF(LEN(IF(LEN(INDEX('Vendor COIs'!$F$4:$F$503,(_calc!$E$756-500)))=0,"",INDEX('Vendor COIs'!$F$4:$F$503,(_calc!$E$756-500))))=0,"","Meets minimum: "&amp;IF(LEN(INDEX('Vendor COIs'!$F$4:$F$503,(_calc!$E$756-500)))=0,"",INDEX('Vendor COIs'!$F$4:$F$503,(_calc!$E$756-500)))&amp;". ")&amp;IF(LEN(IF(LEN(INDEX('Vendor COIs'!$G$4:$G$503,(_calc!$E$756-500)))=0,"",INDEX('Vendor COIs'!$G$4:$G$503,(_calc!$E$756-500))))=0,"","Additional insured: "&amp;IF(LEN(INDEX('Vendor COIs'!$G$4:$G$503,(_calc!$E$756-500)))=0,"",INDEX('Vendor COIs'!$G$4:$G$503,(_calc!$E$756-500)))&amp;". ")&amp;IF(LEN(IF(LEN(INDEX('Vendor COIs'!$M$4:$M$503,(_calc!$E$756-500)))=0,"",INDEX('Vendor COIs'!$M$4:$M$503,(_calc!$E$756-500))))=0,"","Vendor contact: "&amp;IF(LEN(INDEX('Vendor COIs'!$M$4:$M$503,(_calc!$E$756-500)))=0,"",INDEX('Vendor COIs'!$M$4:$M$503,(_calc!$E$756-500)))&amp;". ")&amp;IF(LEN(IF(LEN(INDEX('Vendor COIs'!$P$4:$P$503,(_calc!$E$756-500)))=0,"",INDEX('Vendor COIs'!$P$4:$P$503,(_calc!$E$756-500))))=0,"",IF(LEN(INDEX('Vendor COIs'!$P$4:$P$503,(_calc!$E$756-500)))=0,"",INDEX('Vendor COIs'!$P$4:$P$503,(_calc!$E$756-500)))))))</f>
        <v/>
      </c>
      <c r="G754" s="46">
        <f>IF(_calc!$E$756="","",IF(_calc!$E$756&lt;=500,IF(LEN(INDEX('Our policies'!$R$4:$R$503,_calc!$E$756))=0,"",INDEX('Our policies'!$R$4:$R$503,_calc!$E$756)),IF(LEN(INDEX('Vendor COIs'!$O$4:$O$503,(_calc!$E$756-500)))=0,"",INDEX('Vendor COIs'!$O$4:$O$503,(_calc!$E$756-500)))))</f>
        <v/>
      </c>
      <c r="H754" s="46">
        <f>IF(_calc!$E$756="","",IF(_calc!$E$756&lt;=500,IF(LEN(INDEX('Our policies'!$G$4:$G$503,_calc!$E$756))=0,"",INDEX('Our policies'!$G$4:$G$503,_calc!$E$756)),""))</f>
        <v/>
      </c>
      <c r="I754" s="46">
        <f>IF(_calc!$E$756="","",IF(_calc!$E$756&lt;=500,IF(LEN(INDEX('Our policies'!$H$4:$H$503,_calc!$E$756))=0,"",INDEX('Our policies'!$H$4:$H$503,_calc!$E$756)),""))</f>
        <v/>
      </c>
      <c r="K754" s="46">
        <f>IF(_calc!$E$756="","",IF(_calc!$E$756&lt;=500,IF(LEN(INDEX('Our policies'!$P$4:$P$503,_calc!$E$756))=0,"",INDEX('Our policies'!$P$4:$P$503,_calc!$E$756)),IF(LEN(INDEX('Vendor COIs'!$N$4:$N$503,(_calc!$E$756-500)))=0,"",INDEX('Vendor COIs'!$N$4:$N$503,(_calc!$E$756-500)))))</f>
        <v/>
      </c>
    </row>
    <row r="755">
      <c r="A755" s="46">
        <f>IF(_calc!$E$757="","",IF(_calc!$E$757&lt;=500,IF(LEN(INDEX('Our policies'!$A$4:$A$503,_calc!$E$757))=0,"",INDEX('Our policies'!$A$4:$A$503,_calc!$E$757)),"COI – "&amp;IF(LEN(INDEX('Vendor COIs'!$A$4:$A$503,(_calc!$E$757-500)))=0,"",INDEX('Vendor COIs'!$A$4:$A$503,(_calc!$E$757-500)))&amp;" – "&amp;IF(LEN(INDEX('Vendor COIs'!$B$4:$B$503,(_calc!$E$757-500)))=0,"",INDEX('Vendor COIs'!$B$4:$B$503,(_calc!$E$757-500)))))</f>
        <v/>
      </c>
      <c r="B755" s="46">
        <f>IF(_calc!$E$757="","",IF(_calc!$E$757&lt;=500,IF(ISNUMBER(INDEX('Our policies'!$J$4:$J$503,_calc!$E$757)),TEXT(INDEX('Our policies'!$J$4:$J$503,_calc!$E$757),"yyyy-mm-dd"),""),IF(ISNUMBER(INDEX('Vendor COIs'!$H$4:$H$503,(_calc!$E$757-500))),TEXT(INDEX('Vendor COIs'!$H$4:$H$503,(_calc!$E$757-500)),"yyyy-mm-dd"),"")))</f>
        <v/>
      </c>
      <c r="C755" s="46">
        <f>IF(_calc!$E$757="","",IF(_calc!$E$757&lt;=500,"Insurance","Certificate of insurance"))</f>
        <v/>
      </c>
      <c r="D755" s="46">
        <f>IF(_calc!$E$757="","",IF(_calc!$E$757&lt;=500,IF(ISNUMBER(INDEX('Our policies'!$I$4:$I$503,_calc!$E$757)),TEXT(INDEX('Our policies'!$I$4:$I$503,_calc!$E$757),"yyyy-mm-dd"),""),""))</f>
        <v/>
      </c>
      <c r="E755" s="46">
        <f>IF(_calc!$E$757="","",IF(_calc!$E$757&lt;=500,IF(LEN(INDEX('Our policies'!$Q$4:$Q$503,_calc!$E$757))=0,"",INDEX('Our policies'!$Q$4:$Q$503,_calc!$E$757)),"Medium"))</f>
        <v/>
      </c>
      <c r="F755" s="46">
        <f>IF(_calc!$E$757="","",IF(_calc!$E$757&lt;=500,TRIM(IF(LEN(IF(LEN(INDEX('Our policies'!$B$4:$B$503,_calc!$E$757))=0,"",INDEX('Our policies'!$B$4:$B$503,_calc!$E$757)))=0,"","Cover: "&amp;IF(LEN(INDEX('Our policies'!$B$4:$B$503,_calc!$E$757))=0,"",INDEX('Our policies'!$B$4:$B$503,_calc!$E$757))&amp;". ")&amp;IF(LEN(IF(LEN(INDEX('Our policies'!$C$4:$C$503,_calc!$E$757))=0,"",INDEX('Our policies'!$C$4:$C$503,_calc!$E$757)))=0,"","Insurer: "&amp;IF(LEN(INDEX('Our policies'!$C$4:$C$503,_calc!$E$757))=0,"",INDEX('Our policies'!$C$4:$C$503,_calc!$E$757))&amp;". ")&amp;IF(LEN(IF(LEN(INDEX('Our policies'!$D$4:$D$503,_calc!$E$757))=0,"",INDEX('Our policies'!$D$4:$D$503,_calc!$E$757)))=0,"","Broker: "&amp;IF(LEN(INDEX('Our policies'!$D$4:$D$503,_calc!$E$757))=0,"",INDEX('Our policies'!$D$4:$D$503,_calc!$E$757))&amp;". ")&amp;IF(LEN(IF(LEN(INDEX('Our policies'!$E$4:$E$503,_calc!$E$757))=0,"",INDEX('Our policies'!$E$4:$E$503,_calc!$E$757)))=0,"","Policy no.: "&amp;IF(LEN(INDEX('Our policies'!$E$4:$E$503,_calc!$E$757))=0,"",INDEX('Our policies'!$E$4:$E$503,_calc!$E$757))&amp;". ")&amp;IF(LEN(IF(LEN(INDEX('Our policies'!$S$4:$S$503,_calc!$E$757))=0,"",INDEX('Our policies'!$S$4:$S$503,_calc!$E$757)))=0,"",IF(LEN(INDEX('Our policies'!$S$4:$S$503,_calc!$E$757))=0,"",INDEX('Our policies'!$S$4:$S$503,_calc!$E$757)))),TRIM(IF(LEN(IF(LEN(INDEX('Vendor COIs'!$C$4:$C$503,(_calc!$E$757-500)))=0,"",INDEX('Vendor COIs'!$C$4:$C$503,(_calc!$E$757-500))))=0,"","Insurer: "&amp;IF(LEN(INDEX('Vendor COIs'!$C$4:$C$503,(_calc!$E$757-500)))=0,"",INDEX('Vendor COIs'!$C$4:$C$503,(_calc!$E$757-500)))&amp;". ")&amp;IF(LEN(IF(LEN(INDEX('Vendor COIs'!$D$4:$D$503,(_calc!$E$757-500)))=0,"",INDEX('Vendor COIs'!$D$4:$D$503,(_calc!$E$757-500))))=0,"","Policy no.: "&amp;IF(LEN(INDEX('Vendor COIs'!$D$4:$D$503,(_calc!$E$757-500)))=0,"",INDEX('Vendor COIs'!$D$4:$D$503,(_calc!$E$757-500)))&amp;". ")&amp;IF(LEN(IF(LEN(INDEX('Vendor COIs'!$F$4:$F$503,(_calc!$E$757-500)))=0,"",INDEX('Vendor COIs'!$F$4:$F$503,(_calc!$E$757-500))))=0,"","Meets minimum: "&amp;IF(LEN(INDEX('Vendor COIs'!$F$4:$F$503,(_calc!$E$757-500)))=0,"",INDEX('Vendor COIs'!$F$4:$F$503,(_calc!$E$757-500)))&amp;". ")&amp;IF(LEN(IF(LEN(INDEX('Vendor COIs'!$G$4:$G$503,(_calc!$E$757-500)))=0,"",INDEX('Vendor COIs'!$G$4:$G$503,(_calc!$E$757-500))))=0,"","Additional insured: "&amp;IF(LEN(INDEX('Vendor COIs'!$G$4:$G$503,(_calc!$E$757-500)))=0,"",INDEX('Vendor COIs'!$G$4:$G$503,(_calc!$E$757-500)))&amp;". ")&amp;IF(LEN(IF(LEN(INDEX('Vendor COIs'!$M$4:$M$503,(_calc!$E$757-500)))=0,"",INDEX('Vendor COIs'!$M$4:$M$503,(_calc!$E$757-500))))=0,"","Vendor contact: "&amp;IF(LEN(INDEX('Vendor COIs'!$M$4:$M$503,(_calc!$E$757-500)))=0,"",INDEX('Vendor COIs'!$M$4:$M$503,(_calc!$E$757-500)))&amp;". ")&amp;IF(LEN(IF(LEN(INDEX('Vendor COIs'!$P$4:$P$503,(_calc!$E$757-500)))=0,"",INDEX('Vendor COIs'!$P$4:$P$503,(_calc!$E$757-500))))=0,"",IF(LEN(INDEX('Vendor COIs'!$P$4:$P$503,(_calc!$E$757-500)))=0,"",INDEX('Vendor COIs'!$P$4:$P$503,(_calc!$E$757-500)))))))</f>
        <v/>
      </c>
      <c r="G755" s="46">
        <f>IF(_calc!$E$757="","",IF(_calc!$E$757&lt;=500,IF(LEN(INDEX('Our policies'!$R$4:$R$503,_calc!$E$757))=0,"",INDEX('Our policies'!$R$4:$R$503,_calc!$E$757)),IF(LEN(INDEX('Vendor COIs'!$O$4:$O$503,(_calc!$E$757-500)))=0,"",INDEX('Vendor COIs'!$O$4:$O$503,(_calc!$E$757-500)))))</f>
        <v/>
      </c>
      <c r="H755" s="46">
        <f>IF(_calc!$E$757="","",IF(_calc!$E$757&lt;=500,IF(LEN(INDEX('Our policies'!$G$4:$G$503,_calc!$E$757))=0,"",INDEX('Our policies'!$G$4:$G$503,_calc!$E$757)),""))</f>
        <v/>
      </c>
      <c r="I755" s="46">
        <f>IF(_calc!$E$757="","",IF(_calc!$E$757&lt;=500,IF(LEN(INDEX('Our policies'!$H$4:$H$503,_calc!$E$757))=0,"",INDEX('Our policies'!$H$4:$H$503,_calc!$E$757)),""))</f>
        <v/>
      </c>
      <c r="K755" s="46">
        <f>IF(_calc!$E$757="","",IF(_calc!$E$757&lt;=500,IF(LEN(INDEX('Our policies'!$P$4:$P$503,_calc!$E$757))=0,"",INDEX('Our policies'!$P$4:$P$503,_calc!$E$757)),IF(LEN(INDEX('Vendor COIs'!$N$4:$N$503,(_calc!$E$757-500)))=0,"",INDEX('Vendor COIs'!$N$4:$N$503,(_calc!$E$757-500)))))</f>
        <v/>
      </c>
    </row>
    <row r="756">
      <c r="A756" s="46">
        <f>IF(_calc!$E$758="","",IF(_calc!$E$758&lt;=500,IF(LEN(INDEX('Our policies'!$A$4:$A$503,_calc!$E$758))=0,"",INDEX('Our policies'!$A$4:$A$503,_calc!$E$758)),"COI – "&amp;IF(LEN(INDEX('Vendor COIs'!$A$4:$A$503,(_calc!$E$758-500)))=0,"",INDEX('Vendor COIs'!$A$4:$A$503,(_calc!$E$758-500)))&amp;" – "&amp;IF(LEN(INDEX('Vendor COIs'!$B$4:$B$503,(_calc!$E$758-500)))=0,"",INDEX('Vendor COIs'!$B$4:$B$503,(_calc!$E$758-500)))))</f>
        <v/>
      </c>
      <c r="B756" s="46">
        <f>IF(_calc!$E$758="","",IF(_calc!$E$758&lt;=500,IF(ISNUMBER(INDEX('Our policies'!$J$4:$J$503,_calc!$E$758)),TEXT(INDEX('Our policies'!$J$4:$J$503,_calc!$E$758),"yyyy-mm-dd"),""),IF(ISNUMBER(INDEX('Vendor COIs'!$H$4:$H$503,(_calc!$E$758-500))),TEXT(INDEX('Vendor COIs'!$H$4:$H$503,(_calc!$E$758-500)),"yyyy-mm-dd"),"")))</f>
        <v/>
      </c>
      <c r="C756" s="46">
        <f>IF(_calc!$E$758="","",IF(_calc!$E$758&lt;=500,"Insurance","Certificate of insurance"))</f>
        <v/>
      </c>
      <c r="D756" s="46">
        <f>IF(_calc!$E$758="","",IF(_calc!$E$758&lt;=500,IF(ISNUMBER(INDEX('Our policies'!$I$4:$I$503,_calc!$E$758)),TEXT(INDEX('Our policies'!$I$4:$I$503,_calc!$E$758),"yyyy-mm-dd"),""),""))</f>
        <v/>
      </c>
      <c r="E756" s="46">
        <f>IF(_calc!$E$758="","",IF(_calc!$E$758&lt;=500,IF(LEN(INDEX('Our policies'!$Q$4:$Q$503,_calc!$E$758))=0,"",INDEX('Our policies'!$Q$4:$Q$503,_calc!$E$758)),"Medium"))</f>
        <v/>
      </c>
      <c r="F756" s="46">
        <f>IF(_calc!$E$758="","",IF(_calc!$E$758&lt;=500,TRIM(IF(LEN(IF(LEN(INDEX('Our policies'!$B$4:$B$503,_calc!$E$758))=0,"",INDEX('Our policies'!$B$4:$B$503,_calc!$E$758)))=0,"","Cover: "&amp;IF(LEN(INDEX('Our policies'!$B$4:$B$503,_calc!$E$758))=0,"",INDEX('Our policies'!$B$4:$B$503,_calc!$E$758))&amp;". ")&amp;IF(LEN(IF(LEN(INDEX('Our policies'!$C$4:$C$503,_calc!$E$758))=0,"",INDEX('Our policies'!$C$4:$C$503,_calc!$E$758)))=0,"","Insurer: "&amp;IF(LEN(INDEX('Our policies'!$C$4:$C$503,_calc!$E$758))=0,"",INDEX('Our policies'!$C$4:$C$503,_calc!$E$758))&amp;". ")&amp;IF(LEN(IF(LEN(INDEX('Our policies'!$D$4:$D$503,_calc!$E$758))=0,"",INDEX('Our policies'!$D$4:$D$503,_calc!$E$758)))=0,"","Broker: "&amp;IF(LEN(INDEX('Our policies'!$D$4:$D$503,_calc!$E$758))=0,"",INDEX('Our policies'!$D$4:$D$503,_calc!$E$758))&amp;". ")&amp;IF(LEN(IF(LEN(INDEX('Our policies'!$E$4:$E$503,_calc!$E$758))=0,"",INDEX('Our policies'!$E$4:$E$503,_calc!$E$758)))=0,"","Policy no.: "&amp;IF(LEN(INDEX('Our policies'!$E$4:$E$503,_calc!$E$758))=0,"",INDEX('Our policies'!$E$4:$E$503,_calc!$E$758))&amp;". ")&amp;IF(LEN(IF(LEN(INDEX('Our policies'!$S$4:$S$503,_calc!$E$758))=0,"",INDEX('Our policies'!$S$4:$S$503,_calc!$E$758)))=0,"",IF(LEN(INDEX('Our policies'!$S$4:$S$503,_calc!$E$758))=0,"",INDEX('Our policies'!$S$4:$S$503,_calc!$E$758)))),TRIM(IF(LEN(IF(LEN(INDEX('Vendor COIs'!$C$4:$C$503,(_calc!$E$758-500)))=0,"",INDEX('Vendor COIs'!$C$4:$C$503,(_calc!$E$758-500))))=0,"","Insurer: "&amp;IF(LEN(INDEX('Vendor COIs'!$C$4:$C$503,(_calc!$E$758-500)))=0,"",INDEX('Vendor COIs'!$C$4:$C$503,(_calc!$E$758-500)))&amp;". ")&amp;IF(LEN(IF(LEN(INDEX('Vendor COIs'!$D$4:$D$503,(_calc!$E$758-500)))=0,"",INDEX('Vendor COIs'!$D$4:$D$503,(_calc!$E$758-500))))=0,"","Policy no.: "&amp;IF(LEN(INDEX('Vendor COIs'!$D$4:$D$503,(_calc!$E$758-500)))=0,"",INDEX('Vendor COIs'!$D$4:$D$503,(_calc!$E$758-500)))&amp;". ")&amp;IF(LEN(IF(LEN(INDEX('Vendor COIs'!$F$4:$F$503,(_calc!$E$758-500)))=0,"",INDEX('Vendor COIs'!$F$4:$F$503,(_calc!$E$758-500))))=0,"","Meets minimum: "&amp;IF(LEN(INDEX('Vendor COIs'!$F$4:$F$503,(_calc!$E$758-500)))=0,"",INDEX('Vendor COIs'!$F$4:$F$503,(_calc!$E$758-500)))&amp;". ")&amp;IF(LEN(IF(LEN(INDEX('Vendor COIs'!$G$4:$G$503,(_calc!$E$758-500)))=0,"",INDEX('Vendor COIs'!$G$4:$G$503,(_calc!$E$758-500))))=0,"","Additional insured: "&amp;IF(LEN(INDEX('Vendor COIs'!$G$4:$G$503,(_calc!$E$758-500)))=0,"",INDEX('Vendor COIs'!$G$4:$G$503,(_calc!$E$758-500)))&amp;". ")&amp;IF(LEN(IF(LEN(INDEX('Vendor COIs'!$M$4:$M$503,(_calc!$E$758-500)))=0,"",INDEX('Vendor COIs'!$M$4:$M$503,(_calc!$E$758-500))))=0,"","Vendor contact: "&amp;IF(LEN(INDEX('Vendor COIs'!$M$4:$M$503,(_calc!$E$758-500)))=0,"",INDEX('Vendor COIs'!$M$4:$M$503,(_calc!$E$758-500)))&amp;". ")&amp;IF(LEN(IF(LEN(INDEX('Vendor COIs'!$P$4:$P$503,(_calc!$E$758-500)))=0,"",INDEX('Vendor COIs'!$P$4:$P$503,(_calc!$E$758-500))))=0,"",IF(LEN(INDEX('Vendor COIs'!$P$4:$P$503,(_calc!$E$758-500)))=0,"",INDEX('Vendor COIs'!$P$4:$P$503,(_calc!$E$758-500)))))))</f>
        <v/>
      </c>
      <c r="G756" s="46">
        <f>IF(_calc!$E$758="","",IF(_calc!$E$758&lt;=500,IF(LEN(INDEX('Our policies'!$R$4:$R$503,_calc!$E$758))=0,"",INDEX('Our policies'!$R$4:$R$503,_calc!$E$758)),IF(LEN(INDEX('Vendor COIs'!$O$4:$O$503,(_calc!$E$758-500)))=0,"",INDEX('Vendor COIs'!$O$4:$O$503,(_calc!$E$758-500)))))</f>
        <v/>
      </c>
      <c r="H756" s="46">
        <f>IF(_calc!$E$758="","",IF(_calc!$E$758&lt;=500,IF(LEN(INDEX('Our policies'!$G$4:$G$503,_calc!$E$758))=0,"",INDEX('Our policies'!$G$4:$G$503,_calc!$E$758)),""))</f>
        <v/>
      </c>
      <c r="I756" s="46">
        <f>IF(_calc!$E$758="","",IF(_calc!$E$758&lt;=500,IF(LEN(INDEX('Our policies'!$H$4:$H$503,_calc!$E$758))=0,"",INDEX('Our policies'!$H$4:$H$503,_calc!$E$758)),""))</f>
        <v/>
      </c>
      <c r="K756" s="46">
        <f>IF(_calc!$E$758="","",IF(_calc!$E$758&lt;=500,IF(LEN(INDEX('Our policies'!$P$4:$P$503,_calc!$E$758))=0,"",INDEX('Our policies'!$P$4:$P$503,_calc!$E$758)),IF(LEN(INDEX('Vendor COIs'!$N$4:$N$503,(_calc!$E$758-500)))=0,"",INDEX('Vendor COIs'!$N$4:$N$503,(_calc!$E$758-500)))))</f>
        <v/>
      </c>
    </row>
    <row r="757">
      <c r="A757" s="46">
        <f>IF(_calc!$E$759="","",IF(_calc!$E$759&lt;=500,IF(LEN(INDEX('Our policies'!$A$4:$A$503,_calc!$E$759))=0,"",INDEX('Our policies'!$A$4:$A$503,_calc!$E$759)),"COI – "&amp;IF(LEN(INDEX('Vendor COIs'!$A$4:$A$503,(_calc!$E$759-500)))=0,"",INDEX('Vendor COIs'!$A$4:$A$503,(_calc!$E$759-500)))&amp;" – "&amp;IF(LEN(INDEX('Vendor COIs'!$B$4:$B$503,(_calc!$E$759-500)))=0,"",INDEX('Vendor COIs'!$B$4:$B$503,(_calc!$E$759-500)))))</f>
        <v/>
      </c>
      <c r="B757" s="46">
        <f>IF(_calc!$E$759="","",IF(_calc!$E$759&lt;=500,IF(ISNUMBER(INDEX('Our policies'!$J$4:$J$503,_calc!$E$759)),TEXT(INDEX('Our policies'!$J$4:$J$503,_calc!$E$759),"yyyy-mm-dd"),""),IF(ISNUMBER(INDEX('Vendor COIs'!$H$4:$H$503,(_calc!$E$759-500))),TEXT(INDEX('Vendor COIs'!$H$4:$H$503,(_calc!$E$759-500)),"yyyy-mm-dd"),"")))</f>
        <v/>
      </c>
      <c r="C757" s="46">
        <f>IF(_calc!$E$759="","",IF(_calc!$E$759&lt;=500,"Insurance","Certificate of insurance"))</f>
        <v/>
      </c>
      <c r="D757" s="46">
        <f>IF(_calc!$E$759="","",IF(_calc!$E$759&lt;=500,IF(ISNUMBER(INDEX('Our policies'!$I$4:$I$503,_calc!$E$759)),TEXT(INDEX('Our policies'!$I$4:$I$503,_calc!$E$759),"yyyy-mm-dd"),""),""))</f>
        <v/>
      </c>
      <c r="E757" s="46">
        <f>IF(_calc!$E$759="","",IF(_calc!$E$759&lt;=500,IF(LEN(INDEX('Our policies'!$Q$4:$Q$503,_calc!$E$759))=0,"",INDEX('Our policies'!$Q$4:$Q$503,_calc!$E$759)),"Medium"))</f>
        <v/>
      </c>
      <c r="F757" s="46">
        <f>IF(_calc!$E$759="","",IF(_calc!$E$759&lt;=500,TRIM(IF(LEN(IF(LEN(INDEX('Our policies'!$B$4:$B$503,_calc!$E$759))=0,"",INDEX('Our policies'!$B$4:$B$503,_calc!$E$759)))=0,"","Cover: "&amp;IF(LEN(INDEX('Our policies'!$B$4:$B$503,_calc!$E$759))=0,"",INDEX('Our policies'!$B$4:$B$503,_calc!$E$759))&amp;". ")&amp;IF(LEN(IF(LEN(INDEX('Our policies'!$C$4:$C$503,_calc!$E$759))=0,"",INDEX('Our policies'!$C$4:$C$503,_calc!$E$759)))=0,"","Insurer: "&amp;IF(LEN(INDEX('Our policies'!$C$4:$C$503,_calc!$E$759))=0,"",INDEX('Our policies'!$C$4:$C$503,_calc!$E$759))&amp;". ")&amp;IF(LEN(IF(LEN(INDEX('Our policies'!$D$4:$D$503,_calc!$E$759))=0,"",INDEX('Our policies'!$D$4:$D$503,_calc!$E$759)))=0,"","Broker: "&amp;IF(LEN(INDEX('Our policies'!$D$4:$D$503,_calc!$E$759))=0,"",INDEX('Our policies'!$D$4:$D$503,_calc!$E$759))&amp;". ")&amp;IF(LEN(IF(LEN(INDEX('Our policies'!$E$4:$E$503,_calc!$E$759))=0,"",INDEX('Our policies'!$E$4:$E$503,_calc!$E$759)))=0,"","Policy no.: "&amp;IF(LEN(INDEX('Our policies'!$E$4:$E$503,_calc!$E$759))=0,"",INDEX('Our policies'!$E$4:$E$503,_calc!$E$759))&amp;". ")&amp;IF(LEN(IF(LEN(INDEX('Our policies'!$S$4:$S$503,_calc!$E$759))=0,"",INDEX('Our policies'!$S$4:$S$503,_calc!$E$759)))=0,"",IF(LEN(INDEX('Our policies'!$S$4:$S$503,_calc!$E$759))=0,"",INDEX('Our policies'!$S$4:$S$503,_calc!$E$759)))),TRIM(IF(LEN(IF(LEN(INDEX('Vendor COIs'!$C$4:$C$503,(_calc!$E$759-500)))=0,"",INDEX('Vendor COIs'!$C$4:$C$503,(_calc!$E$759-500))))=0,"","Insurer: "&amp;IF(LEN(INDEX('Vendor COIs'!$C$4:$C$503,(_calc!$E$759-500)))=0,"",INDEX('Vendor COIs'!$C$4:$C$503,(_calc!$E$759-500)))&amp;". ")&amp;IF(LEN(IF(LEN(INDEX('Vendor COIs'!$D$4:$D$503,(_calc!$E$759-500)))=0,"",INDEX('Vendor COIs'!$D$4:$D$503,(_calc!$E$759-500))))=0,"","Policy no.: "&amp;IF(LEN(INDEX('Vendor COIs'!$D$4:$D$503,(_calc!$E$759-500)))=0,"",INDEX('Vendor COIs'!$D$4:$D$503,(_calc!$E$759-500)))&amp;". ")&amp;IF(LEN(IF(LEN(INDEX('Vendor COIs'!$F$4:$F$503,(_calc!$E$759-500)))=0,"",INDEX('Vendor COIs'!$F$4:$F$503,(_calc!$E$759-500))))=0,"","Meets minimum: "&amp;IF(LEN(INDEX('Vendor COIs'!$F$4:$F$503,(_calc!$E$759-500)))=0,"",INDEX('Vendor COIs'!$F$4:$F$503,(_calc!$E$759-500)))&amp;". ")&amp;IF(LEN(IF(LEN(INDEX('Vendor COIs'!$G$4:$G$503,(_calc!$E$759-500)))=0,"",INDEX('Vendor COIs'!$G$4:$G$503,(_calc!$E$759-500))))=0,"","Additional insured: "&amp;IF(LEN(INDEX('Vendor COIs'!$G$4:$G$503,(_calc!$E$759-500)))=0,"",INDEX('Vendor COIs'!$G$4:$G$503,(_calc!$E$759-500)))&amp;". ")&amp;IF(LEN(IF(LEN(INDEX('Vendor COIs'!$M$4:$M$503,(_calc!$E$759-500)))=0,"",INDEX('Vendor COIs'!$M$4:$M$503,(_calc!$E$759-500))))=0,"","Vendor contact: "&amp;IF(LEN(INDEX('Vendor COIs'!$M$4:$M$503,(_calc!$E$759-500)))=0,"",INDEX('Vendor COIs'!$M$4:$M$503,(_calc!$E$759-500)))&amp;". ")&amp;IF(LEN(IF(LEN(INDEX('Vendor COIs'!$P$4:$P$503,(_calc!$E$759-500)))=0,"",INDEX('Vendor COIs'!$P$4:$P$503,(_calc!$E$759-500))))=0,"",IF(LEN(INDEX('Vendor COIs'!$P$4:$P$503,(_calc!$E$759-500)))=0,"",INDEX('Vendor COIs'!$P$4:$P$503,(_calc!$E$759-500)))))))</f>
        <v/>
      </c>
      <c r="G757" s="46">
        <f>IF(_calc!$E$759="","",IF(_calc!$E$759&lt;=500,IF(LEN(INDEX('Our policies'!$R$4:$R$503,_calc!$E$759))=0,"",INDEX('Our policies'!$R$4:$R$503,_calc!$E$759)),IF(LEN(INDEX('Vendor COIs'!$O$4:$O$503,(_calc!$E$759-500)))=0,"",INDEX('Vendor COIs'!$O$4:$O$503,(_calc!$E$759-500)))))</f>
        <v/>
      </c>
      <c r="H757" s="46">
        <f>IF(_calc!$E$759="","",IF(_calc!$E$759&lt;=500,IF(LEN(INDEX('Our policies'!$G$4:$G$503,_calc!$E$759))=0,"",INDEX('Our policies'!$G$4:$G$503,_calc!$E$759)),""))</f>
        <v/>
      </c>
      <c r="I757" s="46">
        <f>IF(_calc!$E$759="","",IF(_calc!$E$759&lt;=500,IF(LEN(INDEX('Our policies'!$H$4:$H$503,_calc!$E$759))=0,"",INDEX('Our policies'!$H$4:$H$503,_calc!$E$759)),""))</f>
        <v/>
      </c>
      <c r="K757" s="46">
        <f>IF(_calc!$E$759="","",IF(_calc!$E$759&lt;=500,IF(LEN(INDEX('Our policies'!$P$4:$P$503,_calc!$E$759))=0,"",INDEX('Our policies'!$P$4:$P$503,_calc!$E$759)),IF(LEN(INDEX('Vendor COIs'!$N$4:$N$503,(_calc!$E$759-500)))=0,"",INDEX('Vendor COIs'!$N$4:$N$503,(_calc!$E$759-500)))))</f>
        <v/>
      </c>
    </row>
    <row r="758">
      <c r="A758" s="46">
        <f>IF(_calc!$E$760="","",IF(_calc!$E$760&lt;=500,IF(LEN(INDEX('Our policies'!$A$4:$A$503,_calc!$E$760))=0,"",INDEX('Our policies'!$A$4:$A$503,_calc!$E$760)),"COI – "&amp;IF(LEN(INDEX('Vendor COIs'!$A$4:$A$503,(_calc!$E$760-500)))=0,"",INDEX('Vendor COIs'!$A$4:$A$503,(_calc!$E$760-500)))&amp;" – "&amp;IF(LEN(INDEX('Vendor COIs'!$B$4:$B$503,(_calc!$E$760-500)))=0,"",INDEX('Vendor COIs'!$B$4:$B$503,(_calc!$E$760-500)))))</f>
        <v/>
      </c>
      <c r="B758" s="46">
        <f>IF(_calc!$E$760="","",IF(_calc!$E$760&lt;=500,IF(ISNUMBER(INDEX('Our policies'!$J$4:$J$503,_calc!$E$760)),TEXT(INDEX('Our policies'!$J$4:$J$503,_calc!$E$760),"yyyy-mm-dd"),""),IF(ISNUMBER(INDEX('Vendor COIs'!$H$4:$H$503,(_calc!$E$760-500))),TEXT(INDEX('Vendor COIs'!$H$4:$H$503,(_calc!$E$760-500)),"yyyy-mm-dd"),"")))</f>
        <v/>
      </c>
      <c r="C758" s="46">
        <f>IF(_calc!$E$760="","",IF(_calc!$E$760&lt;=500,"Insurance","Certificate of insurance"))</f>
        <v/>
      </c>
      <c r="D758" s="46">
        <f>IF(_calc!$E$760="","",IF(_calc!$E$760&lt;=500,IF(ISNUMBER(INDEX('Our policies'!$I$4:$I$503,_calc!$E$760)),TEXT(INDEX('Our policies'!$I$4:$I$503,_calc!$E$760),"yyyy-mm-dd"),""),""))</f>
        <v/>
      </c>
      <c r="E758" s="46">
        <f>IF(_calc!$E$760="","",IF(_calc!$E$760&lt;=500,IF(LEN(INDEX('Our policies'!$Q$4:$Q$503,_calc!$E$760))=0,"",INDEX('Our policies'!$Q$4:$Q$503,_calc!$E$760)),"Medium"))</f>
        <v/>
      </c>
      <c r="F758" s="46">
        <f>IF(_calc!$E$760="","",IF(_calc!$E$760&lt;=500,TRIM(IF(LEN(IF(LEN(INDEX('Our policies'!$B$4:$B$503,_calc!$E$760))=0,"",INDEX('Our policies'!$B$4:$B$503,_calc!$E$760)))=0,"","Cover: "&amp;IF(LEN(INDEX('Our policies'!$B$4:$B$503,_calc!$E$760))=0,"",INDEX('Our policies'!$B$4:$B$503,_calc!$E$760))&amp;". ")&amp;IF(LEN(IF(LEN(INDEX('Our policies'!$C$4:$C$503,_calc!$E$760))=0,"",INDEX('Our policies'!$C$4:$C$503,_calc!$E$760)))=0,"","Insurer: "&amp;IF(LEN(INDEX('Our policies'!$C$4:$C$503,_calc!$E$760))=0,"",INDEX('Our policies'!$C$4:$C$503,_calc!$E$760))&amp;". ")&amp;IF(LEN(IF(LEN(INDEX('Our policies'!$D$4:$D$503,_calc!$E$760))=0,"",INDEX('Our policies'!$D$4:$D$503,_calc!$E$760)))=0,"","Broker: "&amp;IF(LEN(INDEX('Our policies'!$D$4:$D$503,_calc!$E$760))=0,"",INDEX('Our policies'!$D$4:$D$503,_calc!$E$760))&amp;". ")&amp;IF(LEN(IF(LEN(INDEX('Our policies'!$E$4:$E$503,_calc!$E$760))=0,"",INDEX('Our policies'!$E$4:$E$503,_calc!$E$760)))=0,"","Policy no.: "&amp;IF(LEN(INDEX('Our policies'!$E$4:$E$503,_calc!$E$760))=0,"",INDEX('Our policies'!$E$4:$E$503,_calc!$E$760))&amp;". ")&amp;IF(LEN(IF(LEN(INDEX('Our policies'!$S$4:$S$503,_calc!$E$760))=0,"",INDEX('Our policies'!$S$4:$S$503,_calc!$E$760)))=0,"",IF(LEN(INDEX('Our policies'!$S$4:$S$503,_calc!$E$760))=0,"",INDEX('Our policies'!$S$4:$S$503,_calc!$E$760)))),TRIM(IF(LEN(IF(LEN(INDEX('Vendor COIs'!$C$4:$C$503,(_calc!$E$760-500)))=0,"",INDEX('Vendor COIs'!$C$4:$C$503,(_calc!$E$760-500))))=0,"","Insurer: "&amp;IF(LEN(INDEX('Vendor COIs'!$C$4:$C$503,(_calc!$E$760-500)))=0,"",INDEX('Vendor COIs'!$C$4:$C$503,(_calc!$E$760-500)))&amp;". ")&amp;IF(LEN(IF(LEN(INDEX('Vendor COIs'!$D$4:$D$503,(_calc!$E$760-500)))=0,"",INDEX('Vendor COIs'!$D$4:$D$503,(_calc!$E$760-500))))=0,"","Policy no.: "&amp;IF(LEN(INDEX('Vendor COIs'!$D$4:$D$503,(_calc!$E$760-500)))=0,"",INDEX('Vendor COIs'!$D$4:$D$503,(_calc!$E$760-500)))&amp;". ")&amp;IF(LEN(IF(LEN(INDEX('Vendor COIs'!$F$4:$F$503,(_calc!$E$760-500)))=0,"",INDEX('Vendor COIs'!$F$4:$F$503,(_calc!$E$760-500))))=0,"","Meets minimum: "&amp;IF(LEN(INDEX('Vendor COIs'!$F$4:$F$503,(_calc!$E$760-500)))=0,"",INDEX('Vendor COIs'!$F$4:$F$503,(_calc!$E$760-500)))&amp;". ")&amp;IF(LEN(IF(LEN(INDEX('Vendor COIs'!$G$4:$G$503,(_calc!$E$760-500)))=0,"",INDEX('Vendor COIs'!$G$4:$G$503,(_calc!$E$760-500))))=0,"","Additional insured: "&amp;IF(LEN(INDEX('Vendor COIs'!$G$4:$G$503,(_calc!$E$760-500)))=0,"",INDEX('Vendor COIs'!$G$4:$G$503,(_calc!$E$760-500)))&amp;". ")&amp;IF(LEN(IF(LEN(INDEX('Vendor COIs'!$M$4:$M$503,(_calc!$E$760-500)))=0,"",INDEX('Vendor COIs'!$M$4:$M$503,(_calc!$E$760-500))))=0,"","Vendor contact: "&amp;IF(LEN(INDEX('Vendor COIs'!$M$4:$M$503,(_calc!$E$760-500)))=0,"",INDEX('Vendor COIs'!$M$4:$M$503,(_calc!$E$760-500)))&amp;". ")&amp;IF(LEN(IF(LEN(INDEX('Vendor COIs'!$P$4:$P$503,(_calc!$E$760-500)))=0,"",INDEX('Vendor COIs'!$P$4:$P$503,(_calc!$E$760-500))))=0,"",IF(LEN(INDEX('Vendor COIs'!$P$4:$P$503,(_calc!$E$760-500)))=0,"",INDEX('Vendor COIs'!$P$4:$P$503,(_calc!$E$760-500)))))))</f>
        <v/>
      </c>
      <c r="G758" s="46">
        <f>IF(_calc!$E$760="","",IF(_calc!$E$760&lt;=500,IF(LEN(INDEX('Our policies'!$R$4:$R$503,_calc!$E$760))=0,"",INDEX('Our policies'!$R$4:$R$503,_calc!$E$760)),IF(LEN(INDEX('Vendor COIs'!$O$4:$O$503,(_calc!$E$760-500)))=0,"",INDEX('Vendor COIs'!$O$4:$O$503,(_calc!$E$760-500)))))</f>
        <v/>
      </c>
      <c r="H758" s="46">
        <f>IF(_calc!$E$760="","",IF(_calc!$E$760&lt;=500,IF(LEN(INDEX('Our policies'!$G$4:$G$503,_calc!$E$760))=0,"",INDEX('Our policies'!$G$4:$G$503,_calc!$E$760)),""))</f>
        <v/>
      </c>
      <c r="I758" s="46">
        <f>IF(_calc!$E$760="","",IF(_calc!$E$760&lt;=500,IF(LEN(INDEX('Our policies'!$H$4:$H$503,_calc!$E$760))=0,"",INDEX('Our policies'!$H$4:$H$503,_calc!$E$760)),""))</f>
        <v/>
      </c>
      <c r="K758" s="46">
        <f>IF(_calc!$E$760="","",IF(_calc!$E$760&lt;=500,IF(LEN(INDEX('Our policies'!$P$4:$P$503,_calc!$E$760))=0,"",INDEX('Our policies'!$P$4:$P$503,_calc!$E$760)),IF(LEN(INDEX('Vendor COIs'!$N$4:$N$503,(_calc!$E$760-500)))=0,"",INDEX('Vendor COIs'!$N$4:$N$503,(_calc!$E$760-500)))))</f>
        <v/>
      </c>
    </row>
    <row r="759">
      <c r="A759" s="46">
        <f>IF(_calc!$E$761="","",IF(_calc!$E$761&lt;=500,IF(LEN(INDEX('Our policies'!$A$4:$A$503,_calc!$E$761))=0,"",INDEX('Our policies'!$A$4:$A$503,_calc!$E$761)),"COI – "&amp;IF(LEN(INDEX('Vendor COIs'!$A$4:$A$503,(_calc!$E$761-500)))=0,"",INDEX('Vendor COIs'!$A$4:$A$503,(_calc!$E$761-500)))&amp;" – "&amp;IF(LEN(INDEX('Vendor COIs'!$B$4:$B$503,(_calc!$E$761-500)))=0,"",INDEX('Vendor COIs'!$B$4:$B$503,(_calc!$E$761-500)))))</f>
        <v/>
      </c>
      <c r="B759" s="46">
        <f>IF(_calc!$E$761="","",IF(_calc!$E$761&lt;=500,IF(ISNUMBER(INDEX('Our policies'!$J$4:$J$503,_calc!$E$761)),TEXT(INDEX('Our policies'!$J$4:$J$503,_calc!$E$761),"yyyy-mm-dd"),""),IF(ISNUMBER(INDEX('Vendor COIs'!$H$4:$H$503,(_calc!$E$761-500))),TEXT(INDEX('Vendor COIs'!$H$4:$H$503,(_calc!$E$761-500)),"yyyy-mm-dd"),"")))</f>
        <v/>
      </c>
      <c r="C759" s="46">
        <f>IF(_calc!$E$761="","",IF(_calc!$E$761&lt;=500,"Insurance","Certificate of insurance"))</f>
        <v/>
      </c>
      <c r="D759" s="46">
        <f>IF(_calc!$E$761="","",IF(_calc!$E$761&lt;=500,IF(ISNUMBER(INDEX('Our policies'!$I$4:$I$503,_calc!$E$761)),TEXT(INDEX('Our policies'!$I$4:$I$503,_calc!$E$761),"yyyy-mm-dd"),""),""))</f>
        <v/>
      </c>
      <c r="E759" s="46">
        <f>IF(_calc!$E$761="","",IF(_calc!$E$761&lt;=500,IF(LEN(INDEX('Our policies'!$Q$4:$Q$503,_calc!$E$761))=0,"",INDEX('Our policies'!$Q$4:$Q$503,_calc!$E$761)),"Medium"))</f>
        <v/>
      </c>
      <c r="F759" s="46">
        <f>IF(_calc!$E$761="","",IF(_calc!$E$761&lt;=500,TRIM(IF(LEN(IF(LEN(INDEX('Our policies'!$B$4:$B$503,_calc!$E$761))=0,"",INDEX('Our policies'!$B$4:$B$503,_calc!$E$761)))=0,"","Cover: "&amp;IF(LEN(INDEX('Our policies'!$B$4:$B$503,_calc!$E$761))=0,"",INDEX('Our policies'!$B$4:$B$503,_calc!$E$761))&amp;". ")&amp;IF(LEN(IF(LEN(INDEX('Our policies'!$C$4:$C$503,_calc!$E$761))=0,"",INDEX('Our policies'!$C$4:$C$503,_calc!$E$761)))=0,"","Insurer: "&amp;IF(LEN(INDEX('Our policies'!$C$4:$C$503,_calc!$E$761))=0,"",INDEX('Our policies'!$C$4:$C$503,_calc!$E$761))&amp;". ")&amp;IF(LEN(IF(LEN(INDEX('Our policies'!$D$4:$D$503,_calc!$E$761))=0,"",INDEX('Our policies'!$D$4:$D$503,_calc!$E$761)))=0,"","Broker: "&amp;IF(LEN(INDEX('Our policies'!$D$4:$D$503,_calc!$E$761))=0,"",INDEX('Our policies'!$D$4:$D$503,_calc!$E$761))&amp;". ")&amp;IF(LEN(IF(LEN(INDEX('Our policies'!$E$4:$E$503,_calc!$E$761))=0,"",INDEX('Our policies'!$E$4:$E$503,_calc!$E$761)))=0,"","Policy no.: "&amp;IF(LEN(INDEX('Our policies'!$E$4:$E$503,_calc!$E$761))=0,"",INDEX('Our policies'!$E$4:$E$503,_calc!$E$761))&amp;". ")&amp;IF(LEN(IF(LEN(INDEX('Our policies'!$S$4:$S$503,_calc!$E$761))=0,"",INDEX('Our policies'!$S$4:$S$503,_calc!$E$761)))=0,"",IF(LEN(INDEX('Our policies'!$S$4:$S$503,_calc!$E$761))=0,"",INDEX('Our policies'!$S$4:$S$503,_calc!$E$761)))),TRIM(IF(LEN(IF(LEN(INDEX('Vendor COIs'!$C$4:$C$503,(_calc!$E$761-500)))=0,"",INDEX('Vendor COIs'!$C$4:$C$503,(_calc!$E$761-500))))=0,"","Insurer: "&amp;IF(LEN(INDEX('Vendor COIs'!$C$4:$C$503,(_calc!$E$761-500)))=0,"",INDEX('Vendor COIs'!$C$4:$C$503,(_calc!$E$761-500)))&amp;". ")&amp;IF(LEN(IF(LEN(INDEX('Vendor COIs'!$D$4:$D$503,(_calc!$E$761-500)))=0,"",INDEX('Vendor COIs'!$D$4:$D$503,(_calc!$E$761-500))))=0,"","Policy no.: "&amp;IF(LEN(INDEX('Vendor COIs'!$D$4:$D$503,(_calc!$E$761-500)))=0,"",INDEX('Vendor COIs'!$D$4:$D$503,(_calc!$E$761-500)))&amp;". ")&amp;IF(LEN(IF(LEN(INDEX('Vendor COIs'!$F$4:$F$503,(_calc!$E$761-500)))=0,"",INDEX('Vendor COIs'!$F$4:$F$503,(_calc!$E$761-500))))=0,"","Meets minimum: "&amp;IF(LEN(INDEX('Vendor COIs'!$F$4:$F$503,(_calc!$E$761-500)))=0,"",INDEX('Vendor COIs'!$F$4:$F$503,(_calc!$E$761-500)))&amp;". ")&amp;IF(LEN(IF(LEN(INDEX('Vendor COIs'!$G$4:$G$503,(_calc!$E$761-500)))=0,"",INDEX('Vendor COIs'!$G$4:$G$503,(_calc!$E$761-500))))=0,"","Additional insured: "&amp;IF(LEN(INDEX('Vendor COIs'!$G$4:$G$503,(_calc!$E$761-500)))=0,"",INDEX('Vendor COIs'!$G$4:$G$503,(_calc!$E$761-500)))&amp;". ")&amp;IF(LEN(IF(LEN(INDEX('Vendor COIs'!$M$4:$M$503,(_calc!$E$761-500)))=0,"",INDEX('Vendor COIs'!$M$4:$M$503,(_calc!$E$761-500))))=0,"","Vendor contact: "&amp;IF(LEN(INDEX('Vendor COIs'!$M$4:$M$503,(_calc!$E$761-500)))=0,"",INDEX('Vendor COIs'!$M$4:$M$503,(_calc!$E$761-500)))&amp;". ")&amp;IF(LEN(IF(LEN(INDEX('Vendor COIs'!$P$4:$P$503,(_calc!$E$761-500)))=0,"",INDEX('Vendor COIs'!$P$4:$P$503,(_calc!$E$761-500))))=0,"",IF(LEN(INDEX('Vendor COIs'!$P$4:$P$503,(_calc!$E$761-500)))=0,"",INDEX('Vendor COIs'!$P$4:$P$503,(_calc!$E$761-500)))))))</f>
        <v/>
      </c>
      <c r="G759" s="46">
        <f>IF(_calc!$E$761="","",IF(_calc!$E$761&lt;=500,IF(LEN(INDEX('Our policies'!$R$4:$R$503,_calc!$E$761))=0,"",INDEX('Our policies'!$R$4:$R$503,_calc!$E$761)),IF(LEN(INDEX('Vendor COIs'!$O$4:$O$503,(_calc!$E$761-500)))=0,"",INDEX('Vendor COIs'!$O$4:$O$503,(_calc!$E$761-500)))))</f>
        <v/>
      </c>
      <c r="H759" s="46">
        <f>IF(_calc!$E$761="","",IF(_calc!$E$761&lt;=500,IF(LEN(INDEX('Our policies'!$G$4:$G$503,_calc!$E$761))=0,"",INDEX('Our policies'!$G$4:$G$503,_calc!$E$761)),""))</f>
        <v/>
      </c>
      <c r="I759" s="46">
        <f>IF(_calc!$E$761="","",IF(_calc!$E$761&lt;=500,IF(LEN(INDEX('Our policies'!$H$4:$H$503,_calc!$E$761))=0,"",INDEX('Our policies'!$H$4:$H$503,_calc!$E$761)),""))</f>
        <v/>
      </c>
      <c r="K759" s="46">
        <f>IF(_calc!$E$761="","",IF(_calc!$E$761&lt;=500,IF(LEN(INDEX('Our policies'!$P$4:$P$503,_calc!$E$761))=0,"",INDEX('Our policies'!$P$4:$P$503,_calc!$E$761)),IF(LEN(INDEX('Vendor COIs'!$N$4:$N$503,(_calc!$E$761-500)))=0,"",INDEX('Vendor COIs'!$N$4:$N$503,(_calc!$E$761-500)))))</f>
        <v/>
      </c>
    </row>
    <row r="760">
      <c r="A760" s="46">
        <f>IF(_calc!$E$762="","",IF(_calc!$E$762&lt;=500,IF(LEN(INDEX('Our policies'!$A$4:$A$503,_calc!$E$762))=0,"",INDEX('Our policies'!$A$4:$A$503,_calc!$E$762)),"COI – "&amp;IF(LEN(INDEX('Vendor COIs'!$A$4:$A$503,(_calc!$E$762-500)))=0,"",INDEX('Vendor COIs'!$A$4:$A$503,(_calc!$E$762-500)))&amp;" – "&amp;IF(LEN(INDEX('Vendor COIs'!$B$4:$B$503,(_calc!$E$762-500)))=0,"",INDEX('Vendor COIs'!$B$4:$B$503,(_calc!$E$762-500)))))</f>
        <v/>
      </c>
      <c r="B760" s="46">
        <f>IF(_calc!$E$762="","",IF(_calc!$E$762&lt;=500,IF(ISNUMBER(INDEX('Our policies'!$J$4:$J$503,_calc!$E$762)),TEXT(INDEX('Our policies'!$J$4:$J$503,_calc!$E$762),"yyyy-mm-dd"),""),IF(ISNUMBER(INDEX('Vendor COIs'!$H$4:$H$503,(_calc!$E$762-500))),TEXT(INDEX('Vendor COIs'!$H$4:$H$503,(_calc!$E$762-500)),"yyyy-mm-dd"),"")))</f>
        <v/>
      </c>
      <c r="C760" s="46">
        <f>IF(_calc!$E$762="","",IF(_calc!$E$762&lt;=500,"Insurance","Certificate of insurance"))</f>
        <v/>
      </c>
      <c r="D760" s="46">
        <f>IF(_calc!$E$762="","",IF(_calc!$E$762&lt;=500,IF(ISNUMBER(INDEX('Our policies'!$I$4:$I$503,_calc!$E$762)),TEXT(INDEX('Our policies'!$I$4:$I$503,_calc!$E$762),"yyyy-mm-dd"),""),""))</f>
        <v/>
      </c>
      <c r="E760" s="46">
        <f>IF(_calc!$E$762="","",IF(_calc!$E$762&lt;=500,IF(LEN(INDEX('Our policies'!$Q$4:$Q$503,_calc!$E$762))=0,"",INDEX('Our policies'!$Q$4:$Q$503,_calc!$E$762)),"Medium"))</f>
        <v/>
      </c>
      <c r="F760" s="46">
        <f>IF(_calc!$E$762="","",IF(_calc!$E$762&lt;=500,TRIM(IF(LEN(IF(LEN(INDEX('Our policies'!$B$4:$B$503,_calc!$E$762))=0,"",INDEX('Our policies'!$B$4:$B$503,_calc!$E$762)))=0,"","Cover: "&amp;IF(LEN(INDEX('Our policies'!$B$4:$B$503,_calc!$E$762))=0,"",INDEX('Our policies'!$B$4:$B$503,_calc!$E$762))&amp;". ")&amp;IF(LEN(IF(LEN(INDEX('Our policies'!$C$4:$C$503,_calc!$E$762))=0,"",INDEX('Our policies'!$C$4:$C$503,_calc!$E$762)))=0,"","Insurer: "&amp;IF(LEN(INDEX('Our policies'!$C$4:$C$503,_calc!$E$762))=0,"",INDEX('Our policies'!$C$4:$C$503,_calc!$E$762))&amp;". ")&amp;IF(LEN(IF(LEN(INDEX('Our policies'!$D$4:$D$503,_calc!$E$762))=0,"",INDEX('Our policies'!$D$4:$D$503,_calc!$E$762)))=0,"","Broker: "&amp;IF(LEN(INDEX('Our policies'!$D$4:$D$503,_calc!$E$762))=0,"",INDEX('Our policies'!$D$4:$D$503,_calc!$E$762))&amp;". ")&amp;IF(LEN(IF(LEN(INDEX('Our policies'!$E$4:$E$503,_calc!$E$762))=0,"",INDEX('Our policies'!$E$4:$E$503,_calc!$E$762)))=0,"","Policy no.: "&amp;IF(LEN(INDEX('Our policies'!$E$4:$E$503,_calc!$E$762))=0,"",INDEX('Our policies'!$E$4:$E$503,_calc!$E$762))&amp;". ")&amp;IF(LEN(IF(LEN(INDEX('Our policies'!$S$4:$S$503,_calc!$E$762))=0,"",INDEX('Our policies'!$S$4:$S$503,_calc!$E$762)))=0,"",IF(LEN(INDEX('Our policies'!$S$4:$S$503,_calc!$E$762))=0,"",INDEX('Our policies'!$S$4:$S$503,_calc!$E$762)))),TRIM(IF(LEN(IF(LEN(INDEX('Vendor COIs'!$C$4:$C$503,(_calc!$E$762-500)))=0,"",INDEX('Vendor COIs'!$C$4:$C$503,(_calc!$E$762-500))))=0,"","Insurer: "&amp;IF(LEN(INDEX('Vendor COIs'!$C$4:$C$503,(_calc!$E$762-500)))=0,"",INDEX('Vendor COIs'!$C$4:$C$503,(_calc!$E$762-500)))&amp;". ")&amp;IF(LEN(IF(LEN(INDEX('Vendor COIs'!$D$4:$D$503,(_calc!$E$762-500)))=0,"",INDEX('Vendor COIs'!$D$4:$D$503,(_calc!$E$762-500))))=0,"","Policy no.: "&amp;IF(LEN(INDEX('Vendor COIs'!$D$4:$D$503,(_calc!$E$762-500)))=0,"",INDEX('Vendor COIs'!$D$4:$D$503,(_calc!$E$762-500)))&amp;". ")&amp;IF(LEN(IF(LEN(INDEX('Vendor COIs'!$F$4:$F$503,(_calc!$E$762-500)))=0,"",INDEX('Vendor COIs'!$F$4:$F$503,(_calc!$E$762-500))))=0,"","Meets minimum: "&amp;IF(LEN(INDEX('Vendor COIs'!$F$4:$F$503,(_calc!$E$762-500)))=0,"",INDEX('Vendor COIs'!$F$4:$F$503,(_calc!$E$762-500)))&amp;". ")&amp;IF(LEN(IF(LEN(INDEX('Vendor COIs'!$G$4:$G$503,(_calc!$E$762-500)))=0,"",INDEX('Vendor COIs'!$G$4:$G$503,(_calc!$E$762-500))))=0,"","Additional insured: "&amp;IF(LEN(INDEX('Vendor COIs'!$G$4:$G$503,(_calc!$E$762-500)))=0,"",INDEX('Vendor COIs'!$G$4:$G$503,(_calc!$E$762-500)))&amp;". ")&amp;IF(LEN(IF(LEN(INDEX('Vendor COIs'!$M$4:$M$503,(_calc!$E$762-500)))=0,"",INDEX('Vendor COIs'!$M$4:$M$503,(_calc!$E$762-500))))=0,"","Vendor contact: "&amp;IF(LEN(INDEX('Vendor COIs'!$M$4:$M$503,(_calc!$E$762-500)))=0,"",INDEX('Vendor COIs'!$M$4:$M$503,(_calc!$E$762-500)))&amp;". ")&amp;IF(LEN(IF(LEN(INDEX('Vendor COIs'!$P$4:$P$503,(_calc!$E$762-500)))=0,"",INDEX('Vendor COIs'!$P$4:$P$503,(_calc!$E$762-500))))=0,"",IF(LEN(INDEX('Vendor COIs'!$P$4:$P$503,(_calc!$E$762-500)))=0,"",INDEX('Vendor COIs'!$P$4:$P$503,(_calc!$E$762-500)))))))</f>
        <v/>
      </c>
      <c r="G760" s="46">
        <f>IF(_calc!$E$762="","",IF(_calc!$E$762&lt;=500,IF(LEN(INDEX('Our policies'!$R$4:$R$503,_calc!$E$762))=0,"",INDEX('Our policies'!$R$4:$R$503,_calc!$E$762)),IF(LEN(INDEX('Vendor COIs'!$O$4:$O$503,(_calc!$E$762-500)))=0,"",INDEX('Vendor COIs'!$O$4:$O$503,(_calc!$E$762-500)))))</f>
        <v/>
      </c>
      <c r="H760" s="46">
        <f>IF(_calc!$E$762="","",IF(_calc!$E$762&lt;=500,IF(LEN(INDEX('Our policies'!$G$4:$G$503,_calc!$E$762))=0,"",INDEX('Our policies'!$G$4:$G$503,_calc!$E$762)),""))</f>
        <v/>
      </c>
      <c r="I760" s="46">
        <f>IF(_calc!$E$762="","",IF(_calc!$E$762&lt;=500,IF(LEN(INDEX('Our policies'!$H$4:$H$503,_calc!$E$762))=0,"",INDEX('Our policies'!$H$4:$H$503,_calc!$E$762)),""))</f>
        <v/>
      </c>
      <c r="K760" s="46">
        <f>IF(_calc!$E$762="","",IF(_calc!$E$762&lt;=500,IF(LEN(INDEX('Our policies'!$P$4:$P$503,_calc!$E$762))=0,"",INDEX('Our policies'!$P$4:$P$503,_calc!$E$762)),IF(LEN(INDEX('Vendor COIs'!$N$4:$N$503,(_calc!$E$762-500)))=0,"",INDEX('Vendor COIs'!$N$4:$N$503,(_calc!$E$762-500)))))</f>
        <v/>
      </c>
    </row>
    <row r="761">
      <c r="A761" s="46">
        <f>IF(_calc!$E$763="","",IF(_calc!$E$763&lt;=500,IF(LEN(INDEX('Our policies'!$A$4:$A$503,_calc!$E$763))=0,"",INDEX('Our policies'!$A$4:$A$503,_calc!$E$763)),"COI – "&amp;IF(LEN(INDEX('Vendor COIs'!$A$4:$A$503,(_calc!$E$763-500)))=0,"",INDEX('Vendor COIs'!$A$4:$A$503,(_calc!$E$763-500)))&amp;" – "&amp;IF(LEN(INDEX('Vendor COIs'!$B$4:$B$503,(_calc!$E$763-500)))=0,"",INDEX('Vendor COIs'!$B$4:$B$503,(_calc!$E$763-500)))))</f>
        <v/>
      </c>
      <c r="B761" s="46">
        <f>IF(_calc!$E$763="","",IF(_calc!$E$763&lt;=500,IF(ISNUMBER(INDEX('Our policies'!$J$4:$J$503,_calc!$E$763)),TEXT(INDEX('Our policies'!$J$4:$J$503,_calc!$E$763),"yyyy-mm-dd"),""),IF(ISNUMBER(INDEX('Vendor COIs'!$H$4:$H$503,(_calc!$E$763-500))),TEXT(INDEX('Vendor COIs'!$H$4:$H$503,(_calc!$E$763-500)),"yyyy-mm-dd"),"")))</f>
        <v/>
      </c>
      <c r="C761" s="46">
        <f>IF(_calc!$E$763="","",IF(_calc!$E$763&lt;=500,"Insurance","Certificate of insurance"))</f>
        <v/>
      </c>
      <c r="D761" s="46">
        <f>IF(_calc!$E$763="","",IF(_calc!$E$763&lt;=500,IF(ISNUMBER(INDEX('Our policies'!$I$4:$I$503,_calc!$E$763)),TEXT(INDEX('Our policies'!$I$4:$I$503,_calc!$E$763),"yyyy-mm-dd"),""),""))</f>
        <v/>
      </c>
      <c r="E761" s="46">
        <f>IF(_calc!$E$763="","",IF(_calc!$E$763&lt;=500,IF(LEN(INDEX('Our policies'!$Q$4:$Q$503,_calc!$E$763))=0,"",INDEX('Our policies'!$Q$4:$Q$503,_calc!$E$763)),"Medium"))</f>
        <v/>
      </c>
      <c r="F761" s="46">
        <f>IF(_calc!$E$763="","",IF(_calc!$E$763&lt;=500,TRIM(IF(LEN(IF(LEN(INDEX('Our policies'!$B$4:$B$503,_calc!$E$763))=0,"",INDEX('Our policies'!$B$4:$B$503,_calc!$E$763)))=0,"","Cover: "&amp;IF(LEN(INDEX('Our policies'!$B$4:$B$503,_calc!$E$763))=0,"",INDEX('Our policies'!$B$4:$B$503,_calc!$E$763))&amp;". ")&amp;IF(LEN(IF(LEN(INDEX('Our policies'!$C$4:$C$503,_calc!$E$763))=0,"",INDEX('Our policies'!$C$4:$C$503,_calc!$E$763)))=0,"","Insurer: "&amp;IF(LEN(INDEX('Our policies'!$C$4:$C$503,_calc!$E$763))=0,"",INDEX('Our policies'!$C$4:$C$503,_calc!$E$763))&amp;". ")&amp;IF(LEN(IF(LEN(INDEX('Our policies'!$D$4:$D$503,_calc!$E$763))=0,"",INDEX('Our policies'!$D$4:$D$503,_calc!$E$763)))=0,"","Broker: "&amp;IF(LEN(INDEX('Our policies'!$D$4:$D$503,_calc!$E$763))=0,"",INDEX('Our policies'!$D$4:$D$503,_calc!$E$763))&amp;". ")&amp;IF(LEN(IF(LEN(INDEX('Our policies'!$E$4:$E$503,_calc!$E$763))=0,"",INDEX('Our policies'!$E$4:$E$503,_calc!$E$763)))=0,"","Policy no.: "&amp;IF(LEN(INDEX('Our policies'!$E$4:$E$503,_calc!$E$763))=0,"",INDEX('Our policies'!$E$4:$E$503,_calc!$E$763))&amp;". ")&amp;IF(LEN(IF(LEN(INDEX('Our policies'!$S$4:$S$503,_calc!$E$763))=0,"",INDEX('Our policies'!$S$4:$S$503,_calc!$E$763)))=0,"",IF(LEN(INDEX('Our policies'!$S$4:$S$503,_calc!$E$763))=0,"",INDEX('Our policies'!$S$4:$S$503,_calc!$E$763)))),TRIM(IF(LEN(IF(LEN(INDEX('Vendor COIs'!$C$4:$C$503,(_calc!$E$763-500)))=0,"",INDEX('Vendor COIs'!$C$4:$C$503,(_calc!$E$763-500))))=0,"","Insurer: "&amp;IF(LEN(INDEX('Vendor COIs'!$C$4:$C$503,(_calc!$E$763-500)))=0,"",INDEX('Vendor COIs'!$C$4:$C$503,(_calc!$E$763-500)))&amp;". ")&amp;IF(LEN(IF(LEN(INDEX('Vendor COIs'!$D$4:$D$503,(_calc!$E$763-500)))=0,"",INDEX('Vendor COIs'!$D$4:$D$503,(_calc!$E$763-500))))=0,"","Policy no.: "&amp;IF(LEN(INDEX('Vendor COIs'!$D$4:$D$503,(_calc!$E$763-500)))=0,"",INDEX('Vendor COIs'!$D$4:$D$503,(_calc!$E$763-500)))&amp;". ")&amp;IF(LEN(IF(LEN(INDEX('Vendor COIs'!$F$4:$F$503,(_calc!$E$763-500)))=0,"",INDEX('Vendor COIs'!$F$4:$F$503,(_calc!$E$763-500))))=0,"","Meets minimum: "&amp;IF(LEN(INDEX('Vendor COIs'!$F$4:$F$503,(_calc!$E$763-500)))=0,"",INDEX('Vendor COIs'!$F$4:$F$503,(_calc!$E$763-500)))&amp;". ")&amp;IF(LEN(IF(LEN(INDEX('Vendor COIs'!$G$4:$G$503,(_calc!$E$763-500)))=0,"",INDEX('Vendor COIs'!$G$4:$G$503,(_calc!$E$763-500))))=0,"","Additional insured: "&amp;IF(LEN(INDEX('Vendor COIs'!$G$4:$G$503,(_calc!$E$763-500)))=0,"",INDEX('Vendor COIs'!$G$4:$G$503,(_calc!$E$763-500)))&amp;". ")&amp;IF(LEN(IF(LEN(INDEX('Vendor COIs'!$M$4:$M$503,(_calc!$E$763-500)))=0,"",INDEX('Vendor COIs'!$M$4:$M$503,(_calc!$E$763-500))))=0,"","Vendor contact: "&amp;IF(LEN(INDEX('Vendor COIs'!$M$4:$M$503,(_calc!$E$763-500)))=0,"",INDEX('Vendor COIs'!$M$4:$M$503,(_calc!$E$763-500)))&amp;". ")&amp;IF(LEN(IF(LEN(INDEX('Vendor COIs'!$P$4:$P$503,(_calc!$E$763-500)))=0,"",INDEX('Vendor COIs'!$P$4:$P$503,(_calc!$E$763-500))))=0,"",IF(LEN(INDEX('Vendor COIs'!$P$4:$P$503,(_calc!$E$763-500)))=0,"",INDEX('Vendor COIs'!$P$4:$P$503,(_calc!$E$763-500)))))))</f>
        <v/>
      </c>
      <c r="G761" s="46">
        <f>IF(_calc!$E$763="","",IF(_calc!$E$763&lt;=500,IF(LEN(INDEX('Our policies'!$R$4:$R$503,_calc!$E$763))=0,"",INDEX('Our policies'!$R$4:$R$503,_calc!$E$763)),IF(LEN(INDEX('Vendor COIs'!$O$4:$O$503,(_calc!$E$763-500)))=0,"",INDEX('Vendor COIs'!$O$4:$O$503,(_calc!$E$763-500)))))</f>
        <v/>
      </c>
      <c r="H761" s="46">
        <f>IF(_calc!$E$763="","",IF(_calc!$E$763&lt;=500,IF(LEN(INDEX('Our policies'!$G$4:$G$503,_calc!$E$763))=0,"",INDEX('Our policies'!$G$4:$G$503,_calc!$E$763)),""))</f>
        <v/>
      </c>
      <c r="I761" s="46">
        <f>IF(_calc!$E$763="","",IF(_calc!$E$763&lt;=500,IF(LEN(INDEX('Our policies'!$H$4:$H$503,_calc!$E$763))=0,"",INDEX('Our policies'!$H$4:$H$503,_calc!$E$763)),""))</f>
        <v/>
      </c>
      <c r="K761" s="46">
        <f>IF(_calc!$E$763="","",IF(_calc!$E$763&lt;=500,IF(LEN(INDEX('Our policies'!$P$4:$P$503,_calc!$E$763))=0,"",INDEX('Our policies'!$P$4:$P$503,_calc!$E$763)),IF(LEN(INDEX('Vendor COIs'!$N$4:$N$503,(_calc!$E$763-500)))=0,"",INDEX('Vendor COIs'!$N$4:$N$503,(_calc!$E$763-500)))))</f>
        <v/>
      </c>
    </row>
    <row r="762">
      <c r="A762" s="46">
        <f>IF(_calc!$E$764="","",IF(_calc!$E$764&lt;=500,IF(LEN(INDEX('Our policies'!$A$4:$A$503,_calc!$E$764))=0,"",INDEX('Our policies'!$A$4:$A$503,_calc!$E$764)),"COI – "&amp;IF(LEN(INDEX('Vendor COIs'!$A$4:$A$503,(_calc!$E$764-500)))=0,"",INDEX('Vendor COIs'!$A$4:$A$503,(_calc!$E$764-500)))&amp;" – "&amp;IF(LEN(INDEX('Vendor COIs'!$B$4:$B$503,(_calc!$E$764-500)))=0,"",INDEX('Vendor COIs'!$B$4:$B$503,(_calc!$E$764-500)))))</f>
        <v/>
      </c>
      <c r="B762" s="46">
        <f>IF(_calc!$E$764="","",IF(_calc!$E$764&lt;=500,IF(ISNUMBER(INDEX('Our policies'!$J$4:$J$503,_calc!$E$764)),TEXT(INDEX('Our policies'!$J$4:$J$503,_calc!$E$764),"yyyy-mm-dd"),""),IF(ISNUMBER(INDEX('Vendor COIs'!$H$4:$H$503,(_calc!$E$764-500))),TEXT(INDEX('Vendor COIs'!$H$4:$H$503,(_calc!$E$764-500)),"yyyy-mm-dd"),"")))</f>
        <v/>
      </c>
      <c r="C762" s="46">
        <f>IF(_calc!$E$764="","",IF(_calc!$E$764&lt;=500,"Insurance","Certificate of insurance"))</f>
        <v/>
      </c>
      <c r="D762" s="46">
        <f>IF(_calc!$E$764="","",IF(_calc!$E$764&lt;=500,IF(ISNUMBER(INDEX('Our policies'!$I$4:$I$503,_calc!$E$764)),TEXT(INDEX('Our policies'!$I$4:$I$503,_calc!$E$764),"yyyy-mm-dd"),""),""))</f>
        <v/>
      </c>
      <c r="E762" s="46">
        <f>IF(_calc!$E$764="","",IF(_calc!$E$764&lt;=500,IF(LEN(INDEX('Our policies'!$Q$4:$Q$503,_calc!$E$764))=0,"",INDEX('Our policies'!$Q$4:$Q$503,_calc!$E$764)),"Medium"))</f>
        <v/>
      </c>
      <c r="F762" s="46">
        <f>IF(_calc!$E$764="","",IF(_calc!$E$764&lt;=500,TRIM(IF(LEN(IF(LEN(INDEX('Our policies'!$B$4:$B$503,_calc!$E$764))=0,"",INDEX('Our policies'!$B$4:$B$503,_calc!$E$764)))=0,"","Cover: "&amp;IF(LEN(INDEX('Our policies'!$B$4:$B$503,_calc!$E$764))=0,"",INDEX('Our policies'!$B$4:$B$503,_calc!$E$764))&amp;". ")&amp;IF(LEN(IF(LEN(INDEX('Our policies'!$C$4:$C$503,_calc!$E$764))=0,"",INDEX('Our policies'!$C$4:$C$503,_calc!$E$764)))=0,"","Insurer: "&amp;IF(LEN(INDEX('Our policies'!$C$4:$C$503,_calc!$E$764))=0,"",INDEX('Our policies'!$C$4:$C$503,_calc!$E$764))&amp;". ")&amp;IF(LEN(IF(LEN(INDEX('Our policies'!$D$4:$D$503,_calc!$E$764))=0,"",INDEX('Our policies'!$D$4:$D$503,_calc!$E$764)))=0,"","Broker: "&amp;IF(LEN(INDEX('Our policies'!$D$4:$D$503,_calc!$E$764))=0,"",INDEX('Our policies'!$D$4:$D$503,_calc!$E$764))&amp;". ")&amp;IF(LEN(IF(LEN(INDEX('Our policies'!$E$4:$E$503,_calc!$E$764))=0,"",INDEX('Our policies'!$E$4:$E$503,_calc!$E$764)))=0,"","Policy no.: "&amp;IF(LEN(INDEX('Our policies'!$E$4:$E$503,_calc!$E$764))=0,"",INDEX('Our policies'!$E$4:$E$503,_calc!$E$764))&amp;". ")&amp;IF(LEN(IF(LEN(INDEX('Our policies'!$S$4:$S$503,_calc!$E$764))=0,"",INDEX('Our policies'!$S$4:$S$503,_calc!$E$764)))=0,"",IF(LEN(INDEX('Our policies'!$S$4:$S$503,_calc!$E$764))=0,"",INDEX('Our policies'!$S$4:$S$503,_calc!$E$764)))),TRIM(IF(LEN(IF(LEN(INDEX('Vendor COIs'!$C$4:$C$503,(_calc!$E$764-500)))=0,"",INDEX('Vendor COIs'!$C$4:$C$503,(_calc!$E$764-500))))=0,"","Insurer: "&amp;IF(LEN(INDEX('Vendor COIs'!$C$4:$C$503,(_calc!$E$764-500)))=0,"",INDEX('Vendor COIs'!$C$4:$C$503,(_calc!$E$764-500)))&amp;". ")&amp;IF(LEN(IF(LEN(INDEX('Vendor COIs'!$D$4:$D$503,(_calc!$E$764-500)))=0,"",INDEX('Vendor COIs'!$D$4:$D$503,(_calc!$E$764-500))))=0,"","Policy no.: "&amp;IF(LEN(INDEX('Vendor COIs'!$D$4:$D$503,(_calc!$E$764-500)))=0,"",INDEX('Vendor COIs'!$D$4:$D$503,(_calc!$E$764-500)))&amp;". ")&amp;IF(LEN(IF(LEN(INDEX('Vendor COIs'!$F$4:$F$503,(_calc!$E$764-500)))=0,"",INDEX('Vendor COIs'!$F$4:$F$503,(_calc!$E$764-500))))=0,"","Meets minimum: "&amp;IF(LEN(INDEX('Vendor COIs'!$F$4:$F$503,(_calc!$E$764-500)))=0,"",INDEX('Vendor COIs'!$F$4:$F$503,(_calc!$E$764-500)))&amp;". ")&amp;IF(LEN(IF(LEN(INDEX('Vendor COIs'!$G$4:$G$503,(_calc!$E$764-500)))=0,"",INDEX('Vendor COIs'!$G$4:$G$503,(_calc!$E$764-500))))=0,"","Additional insured: "&amp;IF(LEN(INDEX('Vendor COIs'!$G$4:$G$503,(_calc!$E$764-500)))=0,"",INDEX('Vendor COIs'!$G$4:$G$503,(_calc!$E$764-500)))&amp;". ")&amp;IF(LEN(IF(LEN(INDEX('Vendor COIs'!$M$4:$M$503,(_calc!$E$764-500)))=0,"",INDEX('Vendor COIs'!$M$4:$M$503,(_calc!$E$764-500))))=0,"","Vendor contact: "&amp;IF(LEN(INDEX('Vendor COIs'!$M$4:$M$503,(_calc!$E$764-500)))=0,"",INDEX('Vendor COIs'!$M$4:$M$503,(_calc!$E$764-500)))&amp;". ")&amp;IF(LEN(IF(LEN(INDEX('Vendor COIs'!$P$4:$P$503,(_calc!$E$764-500)))=0,"",INDEX('Vendor COIs'!$P$4:$P$503,(_calc!$E$764-500))))=0,"",IF(LEN(INDEX('Vendor COIs'!$P$4:$P$503,(_calc!$E$764-500)))=0,"",INDEX('Vendor COIs'!$P$4:$P$503,(_calc!$E$764-500)))))))</f>
        <v/>
      </c>
      <c r="G762" s="46">
        <f>IF(_calc!$E$764="","",IF(_calc!$E$764&lt;=500,IF(LEN(INDEX('Our policies'!$R$4:$R$503,_calc!$E$764))=0,"",INDEX('Our policies'!$R$4:$R$503,_calc!$E$764)),IF(LEN(INDEX('Vendor COIs'!$O$4:$O$503,(_calc!$E$764-500)))=0,"",INDEX('Vendor COIs'!$O$4:$O$503,(_calc!$E$764-500)))))</f>
        <v/>
      </c>
      <c r="H762" s="46">
        <f>IF(_calc!$E$764="","",IF(_calc!$E$764&lt;=500,IF(LEN(INDEX('Our policies'!$G$4:$G$503,_calc!$E$764))=0,"",INDEX('Our policies'!$G$4:$G$503,_calc!$E$764)),""))</f>
        <v/>
      </c>
      <c r="I762" s="46">
        <f>IF(_calc!$E$764="","",IF(_calc!$E$764&lt;=500,IF(LEN(INDEX('Our policies'!$H$4:$H$503,_calc!$E$764))=0,"",INDEX('Our policies'!$H$4:$H$503,_calc!$E$764)),""))</f>
        <v/>
      </c>
      <c r="K762" s="46">
        <f>IF(_calc!$E$764="","",IF(_calc!$E$764&lt;=500,IF(LEN(INDEX('Our policies'!$P$4:$P$503,_calc!$E$764))=0,"",INDEX('Our policies'!$P$4:$P$503,_calc!$E$764)),IF(LEN(INDEX('Vendor COIs'!$N$4:$N$503,(_calc!$E$764-500)))=0,"",INDEX('Vendor COIs'!$N$4:$N$503,(_calc!$E$764-500)))))</f>
        <v/>
      </c>
    </row>
    <row r="763">
      <c r="A763" s="46">
        <f>IF(_calc!$E$765="","",IF(_calc!$E$765&lt;=500,IF(LEN(INDEX('Our policies'!$A$4:$A$503,_calc!$E$765))=0,"",INDEX('Our policies'!$A$4:$A$503,_calc!$E$765)),"COI – "&amp;IF(LEN(INDEX('Vendor COIs'!$A$4:$A$503,(_calc!$E$765-500)))=0,"",INDEX('Vendor COIs'!$A$4:$A$503,(_calc!$E$765-500)))&amp;" – "&amp;IF(LEN(INDEX('Vendor COIs'!$B$4:$B$503,(_calc!$E$765-500)))=0,"",INDEX('Vendor COIs'!$B$4:$B$503,(_calc!$E$765-500)))))</f>
        <v/>
      </c>
      <c r="B763" s="46">
        <f>IF(_calc!$E$765="","",IF(_calc!$E$765&lt;=500,IF(ISNUMBER(INDEX('Our policies'!$J$4:$J$503,_calc!$E$765)),TEXT(INDEX('Our policies'!$J$4:$J$503,_calc!$E$765),"yyyy-mm-dd"),""),IF(ISNUMBER(INDEX('Vendor COIs'!$H$4:$H$503,(_calc!$E$765-500))),TEXT(INDEX('Vendor COIs'!$H$4:$H$503,(_calc!$E$765-500)),"yyyy-mm-dd"),"")))</f>
        <v/>
      </c>
      <c r="C763" s="46">
        <f>IF(_calc!$E$765="","",IF(_calc!$E$765&lt;=500,"Insurance","Certificate of insurance"))</f>
        <v/>
      </c>
      <c r="D763" s="46">
        <f>IF(_calc!$E$765="","",IF(_calc!$E$765&lt;=500,IF(ISNUMBER(INDEX('Our policies'!$I$4:$I$503,_calc!$E$765)),TEXT(INDEX('Our policies'!$I$4:$I$503,_calc!$E$765),"yyyy-mm-dd"),""),""))</f>
        <v/>
      </c>
      <c r="E763" s="46">
        <f>IF(_calc!$E$765="","",IF(_calc!$E$765&lt;=500,IF(LEN(INDEX('Our policies'!$Q$4:$Q$503,_calc!$E$765))=0,"",INDEX('Our policies'!$Q$4:$Q$503,_calc!$E$765)),"Medium"))</f>
        <v/>
      </c>
      <c r="F763" s="46">
        <f>IF(_calc!$E$765="","",IF(_calc!$E$765&lt;=500,TRIM(IF(LEN(IF(LEN(INDEX('Our policies'!$B$4:$B$503,_calc!$E$765))=0,"",INDEX('Our policies'!$B$4:$B$503,_calc!$E$765)))=0,"","Cover: "&amp;IF(LEN(INDEX('Our policies'!$B$4:$B$503,_calc!$E$765))=0,"",INDEX('Our policies'!$B$4:$B$503,_calc!$E$765))&amp;". ")&amp;IF(LEN(IF(LEN(INDEX('Our policies'!$C$4:$C$503,_calc!$E$765))=0,"",INDEX('Our policies'!$C$4:$C$503,_calc!$E$765)))=0,"","Insurer: "&amp;IF(LEN(INDEX('Our policies'!$C$4:$C$503,_calc!$E$765))=0,"",INDEX('Our policies'!$C$4:$C$503,_calc!$E$765))&amp;". ")&amp;IF(LEN(IF(LEN(INDEX('Our policies'!$D$4:$D$503,_calc!$E$765))=0,"",INDEX('Our policies'!$D$4:$D$503,_calc!$E$765)))=0,"","Broker: "&amp;IF(LEN(INDEX('Our policies'!$D$4:$D$503,_calc!$E$765))=0,"",INDEX('Our policies'!$D$4:$D$503,_calc!$E$765))&amp;". ")&amp;IF(LEN(IF(LEN(INDEX('Our policies'!$E$4:$E$503,_calc!$E$765))=0,"",INDEX('Our policies'!$E$4:$E$503,_calc!$E$765)))=0,"","Policy no.: "&amp;IF(LEN(INDEX('Our policies'!$E$4:$E$503,_calc!$E$765))=0,"",INDEX('Our policies'!$E$4:$E$503,_calc!$E$765))&amp;". ")&amp;IF(LEN(IF(LEN(INDEX('Our policies'!$S$4:$S$503,_calc!$E$765))=0,"",INDEX('Our policies'!$S$4:$S$503,_calc!$E$765)))=0,"",IF(LEN(INDEX('Our policies'!$S$4:$S$503,_calc!$E$765))=0,"",INDEX('Our policies'!$S$4:$S$503,_calc!$E$765)))),TRIM(IF(LEN(IF(LEN(INDEX('Vendor COIs'!$C$4:$C$503,(_calc!$E$765-500)))=0,"",INDEX('Vendor COIs'!$C$4:$C$503,(_calc!$E$765-500))))=0,"","Insurer: "&amp;IF(LEN(INDEX('Vendor COIs'!$C$4:$C$503,(_calc!$E$765-500)))=0,"",INDEX('Vendor COIs'!$C$4:$C$503,(_calc!$E$765-500)))&amp;". ")&amp;IF(LEN(IF(LEN(INDEX('Vendor COIs'!$D$4:$D$503,(_calc!$E$765-500)))=0,"",INDEX('Vendor COIs'!$D$4:$D$503,(_calc!$E$765-500))))=0,"","Policy no.: "&amp;IF(LEN(INDEX('Vendor COIs'!$D$4:$D$503,(_calc!$E$765-500)))=0,"",INDEX('Vendor COIs'!$D$4:$D$503,(_calc!$E$765-500)))&amp;". ")&amp;IF(LEN(IF(LEN(INDEX('Vendor COIs'!$F$4:$F$503,(_calc!$E$765-500)))=0,"",INDEX('Vendor COIs'!$F$4:$F$503,(_calc!$E$765-500))))=0,"","Meets minimum: "&amp;IF(LEN(INDEX('Vendor COIs'!$F$4:$F$503,(_calc!$E$765-500)))=0,"",INDEX('Vendor COIs'!$F$4:$F$503,(_calc!$E$765-500)))&amp;". ")&amp;IF(LEN(IF(LEN(INDEX('Vendor COIs'!$G$4:$G$503,(_calc!$E$765-500)))=0,"",INDEX('Vendor COIs'!$G$4:$G$503,(_calc!$E$765-500))))=0,"","Additional insured: "&amp;IF(LEN(INDEX('Vendor COIs'!$G$4:$G$503,(_calc!$E$765-500)))=0,"",INDEX('Vendor COIs'!$G$4:$G$503,(_calc!$E$765-500)))&amp;". ")&amp;IF(LEN(IF(LEN(INDEX('Vendor COIs'!$M$4:$M$503,(_calc!$E$765-500)))=0,"",INDEX('Vendor COIs'!$M$4:$M$503,(_calc!$E$765-500))))=0,"","Vendor contact: "&amp;IF(LEN(INDEX('Vendor COIs'!$M$4:$M$503,(_calc!$E$765-500)))=0,"",INDEX('Vendor COIs'!$M$4:$M$503,(_calc!$E$765-500)))&amp;". ")&amp;IF(LEN(IF(LEN(INDEX('Vendor COIs'!$P$4:$P$503,(_calc!$E$765-500)))=0,"",INDEX('Vendor COIs'!$P$4:$P$503,(_calc!$E$765-500))))=0,"",IF(LEN(INDEX('Vendor COIs'!$P$4:$P$503,(_calc!$E$765-500)))=0,"",INDEX('Vendor COIs'!$P$4:$P$503,(_calc!$E$765-500)))))))</f>
        <v/>
      </c>
      <c r="G763" s="46">
        <f>IF(_calc!$E$765="","",IF(_calc!$E$765&lt;=500,IF(LEN(INDEX('Our policies'!$R$4:$R$503,_calc!$E$765))=0,"",INDEX('Our policies'!$R$4:$R$503,_calc!$E$765)),IF(LEN(INDEX('Vendor COIs'!$O$4:$O$503,(_calc!$E$765-500)))=0,"",INDEX('Vendor COIs'!$O$4:$O$503,(_calc!$E$765-500)))))</f>
        <v/>
      </c>
      <c r="H763" s="46">
        <f>IF(_calc!$E$765="","",IF(_calc!$E$765&lt;=500,IF(LEN(INDEX('Our policies'!$G$4:$G$503,_calc!$E$765))=0,"",INDEX('Our policies'!$G$4:$G$503,_calc!$E$765)),""))</f>
        <v/>
      </c>
      <c r="I763" s="46">
        <f>IF(_calc!$E$765="","",IF(_calc!$E$765&lt;=500,IF(LEN(INDEX('Our policies'!$H$4:$H$503,_calc!$E$765))=0,"",INDEX('Our policies'!$H$4:$H$503,_calc!$E$765)),""))</f>
        <v/>
      </c>
      <c r="K763" s="46">
        <f>IF(_calc!$E$765="","",IF(_calc!$E$765&lt;=500,IF(LEN(INDEX('Our policies'!$P$4:$P$503,_calc!$E$765))=0,"",INDEX('Our policies'!$P$4:$P$503,_calc!$E$765)),IF(LEN(INDEX('Vendor COIs'!$N$4:$N$503,(_calc!$E$765-500)))=0,"",INDEX('Vendor COIs'!$N$4:$N$503,(_calc!$E$765-500)))))</f>
        <v/>
      </c>
    </row>
    <row r="764">
      <c r="A764" s="46">
        <f>IF(_calc!$E$766="","",IF(_calc!$E$766&lt;=500,IF(LEN(INDEX('Our policies'!$A$4:$A$503,_calc!$E$766))=0,"",INDEX('Our policies'!$A$4:$A$503,_calc!$E$766)),"COI – "&amp;IF(LEN(INDEX('Vendor COIs'!$A$4:$A$503,(_calc!$E$766-500)))=0,"",INDEX('Vendor COIs'!$A$4:$A$503,(_calc!$E$766-500)))&amp;" – "&amp;IF(LEN(INDEX('Vendor COIs'!$B$4:$B$503,(_calc!$E$766-500)))=0,"",INDEX('Vendor COIs'!$B$4:$B$503,(_calc!$E$766-500)))))</f>
        <v/>
      </c>
      <c r="B764" s="46">
        <f>IF(_calc!$E$766="","",IF(_calc!$E$766&lt;=500,IF(ISNUMBER(INDEX('Our policies'!$J$4:$J$503,_calc!$E$766)),TEXT(INDEX('Our policies'!$J$4:$J$503,_calc!$E$766),"yyyy-mm-dd"),""),IF(ISNUMBER(INDEX('Vendor COIs'!$H$4:$H$503,(_calc!$E$766-500))),TEXT(INDEX('Vendor COIs'!$H$4:$H$503,(_calc!$E$766-500)),"yyyy-mm-dd"),"")))</f>
        <v/>
      </c>
      <c r="C764" s="46">
        <f>IF(_calc!$E$766="","",IF(_calc!$E$766&lt;=500,"Insurance","Certificate of insurance"))</f>
        <v/>
      </c>
      <c r="D764" s="46">
        <f>IF(_calc!$E$766="","",IF(_calc!$E$766&lt;=500,IF(ISNUMBER(INDEX('Our policies'!$I$4:$I$503,_calc!$E$766)),TEXT(INDEX('Our policies'!$I$4:$I$503,_calc!$E$766),"yyyy-mm-dd"),""),""))</f>
        <v/>
      </c>
      <c r="E764" s="46">
        <f>IF(_calc!$E$766="","",IF(_calc!$E$766&lt;=500,IF(LEN(INDEX('Our policies'!$Q$4:$Q$503,_calc!$E$766))=0,"",INDEX('Our policies'!$Q$4:$Q$503,_calc!$E$766)),"Medium"))</f>
        <v/>
      </c>
      <c r="F764" s="46">
        <f>IF(_calc!$E$766="","",IF(_calc!$E$766&lt;=500,TRIM(IF(LEN(IF(LEN(INDEX('Our policies'!$B$4:$B$503,_calc!$E$766))=0,"",INDEX('Our policies'!$B$4:$B$503,_calc!$E$766)))=0,"","Cover: "&amp;IF(LEN(INDEX('Our policies'!$B$4:$B$503,_calc!$E$766))=0,"",INDEX('Our policies'!$B$4:$B$503,_calc!$E$766))&amp;". ")&amp;IF(LEN(IF(LEN(INDEX('Our policies'!$C$4:$C$503,_calc!$E$766))=0,"",INDEX('Our policies'!$C$4:$C$503,_calc!$E$766)))=0,"","Insurer: "&amp;IF(LEN(INDEX('Our policies'!$C$4:$C$503,_calc!$E$766))=0,"",INDEX('Our policies'!$C$4:$C$503,_calc!$E$766))&amp;". ")&amp;IF(LEN(IF(LEN(INDEX('Our policies'!$D$4:$D$503,_calc!$E$766))=0,"",INDEX('Our policies'!$D$4:$D$503,_calc!$E$766)))=0,"","Broker: "&amp;IF(LEN(INDEX('Our policies'!$D$4:$D$503,_calc!$E$766))=0,"",INDEX('Our policies'!$D$4:$D$503,_calc!$E$766))&amp;". ")&amp;IF(LEN(IF(LEN(INDEX('Our policies'!$E$4:$E$503,_calc!$E$766))=0,"",INDEX('Our policies'!$E$4:$E$503,_calc!$E$766)))=0,"","Policy no.: "&amp;IF(LEN(INDEX('Our policies'!$E$4:$E$503,_calc!$E$766))=0,"",INDEX('Our policies'!$E$4:$E$503,_calc!$E$766))&amp;". ")&amp;IF(LEN(IF(LEN(INDEX('Our policies'!$S$4:$S$503,_calc!$E$766))=0,"",INDEX('Our policies'!$S$4:$S$503,_calc!$E$766)))=0,"",IF(LEN(INDEX('Our policies'!$S$4:$S$503,_calc!$E$766))=0,"",INDEX('Our policies'!$S$4:$S$503,_calc!$E$766)))),TRIM(IF(LEN(IF(LEN(INDEX('Vendor COIs'!$C$4:$C$503,(_calc!$E$766-500)))=0,"",INDEX('Vendor COIs'!$C$4:$C$503,(_calc!$E$766-500))))=0,"","Insurer: "&amp;IF(LEN(INDEX('Vendor COIs'!$C$4:$C$503,(_calc!$E$766-500)))=0,"",INDEX('Vendor COIs'!$C$4:$C$503,(_calc!$E$766-500)))&amp;". ")&amp;IF(LEN(IF(LEN(INDEX('Vendor COIs'!$D$4:$D$503,(_calc!$E$766-500)))=0,"",INDEX('Vendor COIs'!$D$4:$D$503,(_calc!$E$766-500))))=0,"","Policy no.: "&amp;IF(LEN(INDEX('Vendor COIs'!$D$4:$D$503,(_calc!$E$766-500)))=0,"",INDEX('Vendor COIs'!$D$4:$D$503,(_calc!$E$766-500)))&amp;". ")&amp;IF(LEN(IF(LEN(INDEX('Vendor COIs'!$F$4:$F$503,(_calc!$E$766-500)))=0,"",INDEX('Vendor COIs'!$F$4:$F$503,(_calc!$E$766-500))))=0,"","Meets minimum: "&amp;IF(LEN(INDEX('Vendor COIs'!$F$4:$F$503,(_calc!$E$766-500)))=0,"",INDEX('Vendor COIs'!$F$4:$F$503,(_calc!$E$766-500)))&amp;". ")&amp;IF(LEN(IF(LEN(INDEX('Vendor COIs'!$G$4:$G$503,(_calc!$E$766-500)))=0,"",INDEX('Vendor COIs'!$G$4:$G$503,(_calc!$E$766-500))))=0,"","Additional insured: "&amp;IF(LEN(INDEX('Vendor COIs'!$G$4:$G$503,(_calc!$E$766-500)))=0,"",INDEX('Vendor COIs'!$G$4:$G$503,(_calc!$E$766-500)))&amp;". ")&amp;IF(LEN(IF(LEN(INDEX('Vendor COIs'!$M$4:$M$503,(_calc!$E$766-500)))=0,"",INDEX('Vendor COIs'!$M$4:$M$503,(_calc!$E$766-500))))=0,"","Vendor contact: "&amp;IF(LEN(INDEX('Vendor COIs'!$M$4:$M$503,(_calc!$E$766-500)))=0,"",INDEX('Vendor COIs'!$M$4:$M$503,(_calc!$E$766-500)))&amp;". ")&amp;IF(LEN(IF(LEN(INDEX('Vendor COIs'!$P$4:$P$503,(_calc!$E$766-500)))=0,"",INDEX('Vendor COIs'!$P$4:$P$503,(_calc!$E$766-500))))=0,"",IF(LEN(INDEX('Vendor COIs'!$P$4:$P$503,(_calc!$E$766-500)))=0,"",INDEX('Vendor COIs'!$P$4:$P$503,(_calc!$E$766-500)))))))</f>
        <v/>
      </c>
      <c r="G764" s="46">
        <f>IF(_calc!$E$766="","",IF(_calc!$E$766&lt;=500,IF(LEN(INDEX('Our policies'!$R$4:$R$503,_calc!$E$766))=0,"",INDEX('Our policies'!$R$4:$R$503,_calc!$E$766)),IF(LEN(INDEX('Vendor COIs'!$O$4:$O$503,(_calc!$E$766-500)))=0,"",INDEX('Vendor COIs'!$O$4:$O$503,(_calc!$E$766-500)))))</f>
        <v/>
      </c>
      <c r="H764" s="46">
        <f>IF(_calc!$E$766="","",IF(_calc!$E$766&lt;=500,IF(LEN(INDEX('Our policies'!$G$4:$G$503,_calc!$E$766))=0,"",INDEX('Our policies'!$G$4:$G$503,_calc!$E$766)),""))</f>
        <v/>
      </c>
      <c r="I764" s="46">
        <f>IF(_calc!$E$766="","",IF(_calc!$E$766&lt;=500,IF(LEN(INDEX('Our policies'!$H$4:$H$503,_calc!$E$766))=0,"",INDEX('Our policies'!$H$4:$H$503,_calc!$E$766)),""))</f>
        <v/>
      </c>
      <c r="K764" s="46">
        <f>IF(_calc!$E$766="","",IF(_calc!$E$766&lt;=500,IF(LEN(INDEX('Our policies'!$P$4:$P$503,_calc!$E$766))=0,"",INDEX('Our policies'!$P$4:$P$503,_calc!$E$766)),IF(LEN(INDEX('Vendor COIs'!$N$4:$N$503,(_calc!$E$766-500)))=0,"",INDEX('Vendor COIs'!$N$4:$N$503,(_calc!$E$766-500)))))</f>
        <v/>
      </c>
    </row>
    <row r="765">
      <c r="A765" s="46">
        <f>IF(_calc!$E$767="","",IF(_calc!$E$767&lt;=500,IF(LEN(INDEX('Our policies'!$A$4:$A$503,_calc!$E$767))=0,"",INDEX('Our policies'!$A$4:$A$503,_calc!$E$767)),"COI – "&amp;IF(LEN(INDEX('Vendor COIs'!$A$4:$A$503,(_calc!$E$767-500)))=0,"",INDEX('Vendor COIs'!$A$4:$A$503,(_calc!$E$767-500)))&amp;" – "&amp;IF(LEN(INDEX('Vendor COIs'!$B$4:$B$503,(_calc!$E$767-500)))=0,"",INDEX('Vendor COIs'!$B$4:$B$503,(_calc!$E$767-500)))))</f>
        <v/>
      </c>
      <c r="B765" s="46">
        <f>IF(_calc!$E$767="","",IF(_calc!$E$767&lt;=500,IF(ISNUMBER(INDEX('Our policies'!$J$4:$J$503,_calc!$E$767)),TEXT(INDEX('Our policies'!$J$4:$J$503,_calc!$E$767),"yyyy-mm-dd"),""),IF(ISNUMBER(INDEX('Vendor COIs'!$H$4:$H$503,(_calc!$E$767-500))),TEXT(INDEX('Vendor COIs'!$H$4:$H$503,(_calc!$E$767-500)),"yyyy-mm-dd"),"")))</f>
        <v/>
      </c>
      <c r="C765" s="46">
        <f>IF(_calc!$E$767="","",IF(_calc!$E$767&lt;=500,"Insurance","Certificate of insurance"))</f>
        <v/>
      </c>
      <c r="D765" s="46">
        <f>IF(_calc!$E$767="","",IF(_calc!$E$767&lt;=500,IF(ISNUMBER(INDEX('Our policies'!$I$4:$I$503,_calc!$E$767)),TEXT(INDEX('Our policies'!$I$4:$I$503,_calc!$E$767),"yyyy-mm-dd"),""),""))</f>
        <v/>
      </c>
      <c r="E765" s="46">
        <f>IF(_calc!$E$767="","",IF(_calc!$E$767&lt;=500,IF(LEN(INDEX('Our policies'!$Q$4:$Q$503,_calc!$E$767))=0,"",INDEX('Our policies'!$Q$4:$Q$503,_calc!$E$767)),"Medium"))</f>
        <v/>
      </c>
      <c r="F765" s="46">
        <f>IF(_calc!$E$767="","",IF(_calc!$E$767&lt;=500,TRIM(IF(LEN(IF(LEN(INDEX('Our policies'!$B$4:$B$503,_calc!$E$767))=0,"",INDEX('Our policies'!$B$4:$B$503,_calc!$E$767)))=0,"","Cover: "&amp;IF(LEN(INDEX('Our policies'!$B$4:$B$503,_calc!$E$767))=0,"",INDEX('Our policies'!$B$4:$B$503,_calc!$E$767))&amp;". ")&amp;IF(LEN(IF(LEN(INDEX('Our policies'!$C$4:$C$503,_calc!$E$767))=0,"",INDEX('Our policies'!$C$4:$C$503,_calc!$E$767)))=0,"","Insurer: "&amp;IF(LEN(INDEX('Our policies'!$C$4:$C$503,_calc!$E$767))=0,"",INDEX('Our policies'!$C$4:$C$503,_calc!$E$767))&amp;". ")&amp;IF(LEN(IF(LEN(INDEX('Our policies'!$D$4:$D$503,_calc!$E$767))=0,"",INDEX('Our policies'!$D$4:$D$503,_calc!$E$767)))=0,"","Broker: "&amp;IF(LEN(INDEX('Our policies'!$D$4:$D$503,_calc!$E$767))=0,"",INDEX('Our policies'!$D$4:$D$503,_calc!$E$767))&amp;". ")&amp;IF(LEN(IF(LEN(INDEX('Our policies'!$E$4:$E$503,_calc!$E$767))=0,"",INDEX('Our policies'!$E$4:$E$503,_calc!$E$767)))=0,"","Policy no.: "&amp;IF(LEN(INDEX('Our policies'!$E$4:$E$503,_calc!$E$767))=0,"",INDEX('Our policies'!$E$4:$E$503,_calc!$E$767))&amp;". ")&amp;IF(LEN(IF(LEN(INDEX('Our policies'!$S$4:$S$503,_calc!$E$767))=0,"",INDEX('Our policies'!$S$4:$S$503,_calc!$E$767)))=0,"",IF(LEN(INDEX('Our policies'!$S$4:$S$503,_calc!$E$767))=0,"",INDEX('Our policies'!$S$4:$S$503,_calc!$E$767)))),TRIM(IF(LEN(IF(LEN(INDEX('Vendor COIs'!$C$4:$C$503,(_calc!$E$767-500)))=0,"",INDEX('Vendor COIs'!$C$4:$C$503,(_calc!$E$767-500))))=0,"","Insurer: "&amp;IF(LEN(INDEX('Vendor COIs'!$C$4:$C$503,(_calc!$E$767-500)))=0,"",INDEX('Vendor COIs'!$C$4:$C$503,(_calc!$E$767-500)))&amp;". ")&amp;IF(LEN(IF(LEN(INDEX('Vendor COIs'!$D$4:$D$503,(_calc!$E$767-500)))=0,"",INDEX('Vendor COIs'!$D$4:$D$503,(_calc!$E$767-500))))=0,"","Policy no.: "&amp;IF(LEN(INDEX('Vendor COIs'!$D$4:$D$503,(_calc!$E$767-500)))=0,"",INDEX('Vendor COIs'!$D$4:$D$503,(_calc!$E$767-500)))&amp;". ")&amp;IF(LEN(IF(LEN(INDEX('Vendor COIs'!$F$4:$F$503,(_calc!$E$767-500)))=0,"",INDEX('Vendor COIs'!$F$4:$F$503,(_calc!$E$767-500))))=0,"","Meets minimum: "&amp;IF(LEN(INDEX('Vendor COIs'!$F$4:$F$503,(_calc!$E$767-500)))=0,"",INDEX('Vendor COIs'!$F$4:$F$503,(_calc!$E$767-500)))&amp;". ")&amp;IF(LEN(IF(LEN(INDEX('Vendor COIs'!$G$4:$G$503,(_calc!$E$767-500)))=0,"",INDEX('Vendor COIs'!$G$4:$G$503,(_calc!$E$767-500))))=0,"","Additional insured: "&amp;IF(LEN(INDEX('Vendor COIs'!$G$4:$G$503,(_calc!$E$767-500)))=0,"",INDEX('Vendor COIs'!$G$4:$G$503,(_calc!$E$767-500)))&amp;". ")&amp;IF(LEN(IF(LEN(INDEX('Vendor COIs'!$M$4:$M$503,(_calc!$E$767-500)))=0,"",INDEX('Vendor COIs'!$M$4:$M$503,(_calc!$E$767-500))))=0,"","Vendor contact: "&amp;IF(LEN(INDEX('Vendor COIs'!$M$4:$M$503,(_calc!$E$767-500)))=0,"",INDEX('Vendor COIs'!$M$4:$M$503,(_calc!$E$767-500)))&amp;". ")&amp;IF(LEN(IF(LEN(INDEX('Vendor COIs'!$P$4:$P$503,(_calc!$E$767-500)))=0,"",INDEX('Vendor COIs'!$P$4:$P$503,(_calc!$E$767-500))))=0,"",IF(LEN(INDEX('Vendor COIs'!$P$4:$P$503,(_calc!$E$767-500)))=0,"",INDEX('Vendor COIs'!$P$4:$P$503,(_calc!$E$767-500)))))))</f>
        <v/>
      </c>
      <c r="G765" s="46">
        <f>IF(_calc!$E$767="","",IF(_calc!$E$767&lt;=500,IF(LEN(INDEX('Our policies'!$R$4:$R$503,_calc!$E$767))=0,"",INDEX('Our policies'!$R$4:$R$503,_calc!$E$767)),IF(LEN(INDEX('Vendor COIs'!$O$4:$O$503,(_calc!$E$767-500)))=0,"",INDEX('Vendor COIs'!$O$4:$O$503,(_calc!$E$767-500)))))</f>
        <v/>
      </c>
      <c r="H765" s="46">
        <f>IF(_calc!$E$767="","",IF(_calc!$E$767&lt;=500,IF(LEN(INDEX('Our policies'!$G$4:$G$503,_calc!$E$767))=0,"",INDEX('Our policies'!$G$4:$G$503,_calc!$E$767)),""))</f>
        <v/>
      </c>
      <c r="I765" s="46">
        <f>IF(_calc!$E$767="","",IF(_calc!$E$767&lt;=500,IF(LEN(INDEX('Our policies'!$H$4:$H$503,_calc!$E$767))=0,"",INDEX('Our policies'!$H$4:$H$503,_calc!$E$767)),""))</f>
        <v/>
      </c>
      <c r="K765" s="46">
        <f>IF(_calc!$E$767="","",IF(_calc!$E$767&lt;=500,IF(LEN(INDEX('Our policies'!$P$4:$P$503,_calc!$E$767))=0,"",INDEX('Our policies'!$P$4:$P$503,_calc!$E$767)),IF(LEN(INDEX('Vendor COIs'!$N$4:$N$503,(_calc!$E$767-500)))=0,"",INDEX('Vendor COIs'!$N$4:$N$503,(_calc!$E$767-500)))))</f>
        <v/>
      </c>
    </row>
    <row r="766">
      <c r="A766" s="46">
        <f>IF(_calc!$E$768="","",IF(_calc!$E$768&lt;=500,IF(LEN(INDEX('Our policies'!$A$4:$A$503,_calc!$E$768))=0,"",INDEX('Our policies'!$A$4:$A$503,_calc!$E$768)),"COI – "&amp;IF(LEN(INDEX('Vendor COIs'!$A$4:$A$503,(_calc!$E$768-500)))=0,"",INDEX('Vendor COIs'!$A$4:$A$503,(_calc!$E$768-500)))&amp;" – "&amp;IF(LEN(INDEX('Vendor COIs'!$B$4:$B$503,(_calc!$E$768-500)))=0,"",INDEX('Vendor COIs'!$B$4:$B$503,(_calc!$E$768-500)))))</f>
        <v/>
      </c>
      <c r="B766" s="46">
        <f>IF(_calc!$E$768="","",IF(_calc!$E$768&lt;=500,IF(ISNUMBER(INDEX('Our policies'!$J$4:$J$503,_calc!$E$768)),TEXT(INDEX('Our policies'!$J$4:$J$503,_calc!$E$768),"yyyy-mm-dd"),""),IF(ISNUMBER(INDEX('Vendor COIs'!$H$4:$H$503,(_calc!$E$768-500))),TEXT(INDEX('Vendor COIs'!$H$4:$H$503,(_calc!$E$768-500)),"yyyy-mm-dd"),"")))</f>
        <v/>
      </c>
      <c r="C766" s="46">
        <f>IF(_calc!$E$768="","",IF(_calc!$E$768&lt;=500,"Insurance","Certificate of insurance"))</f>
        <v/>
      </c>
      <c r="D766" s="46">
        <f>IF(_calc!$E$768="","",IF(_calc!$E$768&lt;=500,IF(ISNUMBER(INDEX('Our policies'!$I$4:$I$503,_calc!$E$768)),TEXT(INDEX('Our policies'!$I$4:$I$503,_calc!$E$768),"yyyy-mm-dd"),""),""))</f>
        <v/>
      </c>
      <c r="E766" s="46">
        <f>IF(_calc!$E$768="","",IF(_calc!$E$768&lt;=500,IF(LEN(INDEX('Our policies'!$Q$4:$Q$503,_calc!$E$768))=0,"",INDEX('Our policies'!$Q$4:$Q$503,_calc!$E$768)),"Medium"))</f>
        <v/>
      </c>
      <c r="F766" s="46">
        <f>IF(_calc!$E$768="","",IF(_calc!$E$768&lt;=500,TRIM(IF(LEN(IF(LEN(INDEX('Our policies'!$B$4:$B$503,_calc!$E$768))=0,"",INDEX('Our policies'!$B$4:$B$503,_calc!$E$768)))=0,"","Cover: "&amp;IF(LEN(INDEX('Our policies'!$B$4:$B$503,_calc!$E$768))=0,"",INDEX('Our policies'!$B$4:$B$503,_calc!$E$768))&amp;". ")&amp;IF(LEN(IF(LEN(INDEX('Our policies'!$C$4:$C$503,_calc!$E$768))=0,"",INDEX('Our policies'!$C$4:$C$503,_calc!$E$768)))=0,"","Insurer: "&amp;IF(LEN(INDEX('Our policies'!$C$4:$C$503,_calc!$E$768))=0,"",INDEX('Our policies'!$C$4:$C$503,_calc!$E$768))&amp;". ")&amp;IF(LEN(IF(LEN(INDEX('Our policies'!$D$4:$D$503,_calc!$E$768))=0,"",INDEX('Our policies'!$D$4:$D$503,_calc!$E$768)))=0,"","Broker: "&amp;IF(LEN(INDEX('Our policies'!$D$4:$D$503,_calc!$E$768))=0,"",INDEX('Our policies'!$D$4:$D$503,_calc!$E$768))&amp;". ")&amp;IF(LEN(IF(LEN(INDEX('Our policies'!$E$4:$E$503,_calc!$E$768))=0,"",INDEX('Our policies'!$E$4:$E$503,_calc!$E$768)))=0,"","Policy no.: "&amp;IF(LEN(INDEX('Our policies'!$E$4:$E$503,_calc!$E$768))=0,"",INDEX('Our policies'!$E$4:$E$503,_calc!$E$768))&amp;". ")&amp;IF(LEN(IF(LEN(INDEX('Our policies'!$S$4:$S$503,_calc!$E$768))=0,"",INDEX('Our policies'!$S$4:$S$503,_calc!$E$768)))=0,"",IF(LEN(INDEX('Our policies'!$S$4:$S$503,_calc!$E$768))=0,"",INDEX('Our policies'!$S$4:$S$503,_calc!$E$768)))),TRIM(IF(LEN(IF(LEN(INDEX('Vendor COIs'!$C$4:$C$503,(_calc!$E$768-500)))=0,"",INDEX('Vendor COIs'!$C$4:$C$503,(_calc!$E$768-500))))=0,"","Insurer: "&amp;IF(LEN(INDEX('Vendor COIs'!$C$4:$C$503,(_calc!$E$768-500)))=0,"",INDEX('Vendor COIs'!$C$4:$C$503,(_calc!$E$768-500)))&amp;". ")&amp;IF(LEN(IF(LEN(INDEX('Vendor COIs'!$D$4:$D$503,(_calc!$E$768-500)))=0,"",INDEX('Vendor COIs'!$D$4:$D$503,(_calc!$E$768-500))))=0,"","Policy no.: "&amp;IF(LEN(INDEX('Vendor COIs'!$D$4:$D$503,(_calc!$E$768-500)))=0,"",INDEX('Vendor COIs'!$D$4:$D$503,(_calc!$E$768-500)))&amp;". ")&amp;IF(LEN(IF(LEN(INDEX('Vendor COIs'!$F$4:$F$503,(_calc!$E$768-500)))=0,"",INDEX('Vendor COIs'!$F$4:$F$503,(_calc!$E$768-500))))=0,"","Meets minimum: "&amp;IF(LEN(INDEX('Vendor COIs'!$F$4:$F$503,(_calc!$E$768-500)))=0,"",INDEX('Vendor COIs'!$F$4:$F$503,(_calc!$E$768-500)))&amp;". ")&amp;IF(LEN(IF(LEN(INDEX('Vendor COIs'!$G$4:$G$503,(_calc!$E$768-500)))=0,"",INDEX('Vendor COIs'!$G$4:$G$503,(_calc!$E$768-500))))=0,"","Additional insured: "&amp;IF(LEN(INDEX('Vendor COIs'!$G$4:$G$503,(_calc!$E$768-500)))=0,"",INDEX('Vendor COIs'!$G$4:$G$503,(_calc!$E$768-500)))&amp;". ")&amp;IF(LEN(IF(LEN(INDEX('Vendor COIs'!$M$4:$M$503,(_calc!$E$768-500)))=0,"",INDEX('Vendor COIs'!$M$4:$M$503,(_calc!$E$768-500))))=0,"","Vendor contact: "&amp;IF(LEN(INDEX('Vendor COIs'!$M$4:$M$503,(_calc!$E$768-500)))=0,"",INDEX('Vendor COIs'!$M$4:$M$503,(_calc!$E$768-500)))&amp;". ")&amp;IF(LEN(IF(LEN(INDEX('Vendor COIs'!$P$4:$P$503,(_calc!$E$768-500)))=0,"",INDEX('Vendor COIs'!$P$4:$P$503,(_calc!$E$768-500))))=0,"",IF(LEN(INDEX('Vendor COIs'!$P$4:$P$503,(_calc!$E$768-500)))=0,"",INDEX('Vendor COIs'!$P$4:$P$503,(_calc!$E$768-500)))))))</f>
        <v/>
      </c>
      <c r="G766" s="46">
        <f>IF(_calc!$E$768="","",IF(_calc!$E$768&lt;=500,IF(LEN(INDEX('Our policies'!$R$4:$R$503,_calc!$E$768))=0,"",INDEX('Our policies'!$R$4:$R$503,_calc!$E$768)),IF(LEN(INDEX('Vendor COIs'!$O$4:$O$503,(_calc!$E$768-500)))=0,"",INDEX('Vendor COIs'!$O$4:$O$503,(_calc!$E$768-500)))))</f>
        <v/>
      </c>
      <c r="H766" s="46">
        <f>IF(_calc!$E$768="","",IF(_calc!$E$768&lt;=500,IF(LEN(INDEX('Our policies'!$G$4:$G$503,_calc!$E$768))=0,"",INDEX('Our policies'!$G$4:$G$503,_calc!$E$768)),""))</f>
        <v/>
      </c>
      <c r="I766" s="46">
        <f>IF(_calc!$E$768="","",IF(_calc!$E$768&lt;=500,IF(LEN(INDEX('Our policies'!$H$4:$H$503,_calc!$E$768))=0,"",INDEX('Our policies'!$H$4:$H$503,_calc!$E$768)),""))</f>
        <v/>
      </c>
      <c r="K766" s="46">
        <f>IF(_calc!$E$768="","",IF(_calc!$E$768&lt;=500,IF(LEN(INDEX('Our policies'!$P$4:$P$503,_calc!$E$768))=0,"",INDEX('Our policies'!$P$4:$P$503,_calc!$E$768)),IF(LEN(INDEX('Vendor COIs'!$N$4:$N$503,(_calc!$E$768-500)))=0,"",INDEX('Vendor COIs'!$N$4:$N$503,(_calc!$E$768-500)))))</f>
        <v/>
      </c>
    </row>
    <row r="767">
      <c r="A767" s="46">
        <f>IF(_calc!$E$769="","",IF(_calc!$E$769&lt;=500,IF(LEN(INDEX('Our policies'!$A$4:$A$503,_calc!$E$769))=0,"",INDEX('Our policies'!$A$4:$A$503,_calc!$E$769)),"COI – "&amp;IF(LEN(INDEX('Vendor COIs'!$A$4:$A$503,(_calc!$E$769-500)))=0,"",INDEX('Vendor COIs'!$A$4:$A$503,(_calc!$E$769-500)))&amp;" – "&amp;IF(LEN(INDEX('Vendor COIs'!$B$4:$B$503,(_calc!$E$769-500)))=0,"",INDEX('Vendor COIs'!$B$4:$B$503,(_calc!$E$769-500)))))</f>
        <v/>
      </c>
      <c r="B767" s="46">
        <f>IF(_calc!$E$769="","",IF(_calc!$E$769&lt;=500,IF(ISNUMBER(INDEX('Our policies'!$J$4:$J$503,_calc!$E$769)),TEXT(INDEX('Our policies'!$J$4:$J$503,_calc!$E$769),"yyyy-mm-dd"),""),IF(ISNUMBER(INDEX('Vendor COIs'!$H$4:$H$503,(_calc!$E$769-500))),TEXT(INDEX('Vendor COIs'!$H$4:$H$503,(_calc!$E$769-500)),"yyyy-mm-dd"),"")))</f>
        <v/>
      </c>
      <c r="C767" s="46">
        <f>IF(_calc!$E$769="","",IF(_calc!$E$769&lt;=500,"Insurance","Certificate of insurance"))</f>
        <v/>
      </c>
      <c r="D767" s="46">
        <f>IF(_calc!$E$769="","",IF(_calc!$E$769&lt;=500,IF(ISNUMBER(INDEX('Our policies'!$I$4:$I$503,_calc!$E$769)),TEXT(INDEX('Our policies'!$I$4:$I$503,_calc!$E$769),"yyyy-mm-dd"),""),""))</f>
        <v/>
      </c>
      <c r="E767" s="46">
        <f>IF(_calc!$E$769="","",IF(_calc!$E$769&lt;=500,IF(LEN(INDEX('Our policies'!$Q$4:$Q$503,_calc!$E$769))=0,"",INDEX('Our policies'!$Q$4:$Q$503,_calc!$E$769)),"Medium"))</f>
        <v/>
      </c>
      <c r="F767" s="46">
        <f>IF(_calc!$E$769="","",IF(_calc!$E$769&lt;=500,TRIM(IF(LEN(IF(LEN(INDEX('Our policies'!$B$4:$B$503,_calc!$E$769))=0,"",INDEX('Our policies'!$B$4:$B$503,_calc!$E$769)))=0,"","Cover: "&amp;IF(LEN(INDEX('Our policies'!$B$4:$B$503,_calc!$E$769))=0,"",INDEX('Our policies'!$B$4:$B$503,_calc!$E$769))&amp;". ")&amp;IF(LEN(IF(LEN(INDEX('Our policies'!$C$4:$C$503,_calc!$E$769))=0,"",INDEX('Our policies'!$C$4:$C$503,_calc!$E$769)))=0,"","Insurer: "&amp;IF(LEN(INDEX('Our policies'!$C$4:$C$503,_calc!$E$769))=0,"",INDEX('Our policies'!$C$4:$C$503,_calc!$E$769))&amp;". ")&amp;IF(LEN(IF(LEN(INDEX('Our policies'!$D$4:$D$503,_calc!$E$769))=0,"",INDEX('Our policies'!$D$4:$D$503,_calc!$E$769)))=0,"","Broker: "&amp;IF(LEN(INDEX('Our policies'!$D$4:$D$503,_calc!$E$769))=0,"",INDEX('Our policies'!$D$4:$D$503,_calc!$E$769))&amp;". ")&amp;IF(LEN(IF(LEN(INDEX('Our policies'!$E$4:$E$503,_calc!$E$769))=0,"",INDEX('Our policies'!$E$4:$E$503,_calc!$E$769)))=0,"","Policy no.: "&amp;IF(LEN(INDEX('Our policies'!$E$4:$E$503,_calc!$E$769))=0,"",INDEX('Our policies'!$E$4:$E$503,_calc!$E$769))&amp;". ")&amp;IF(LEN(IF(LEN(INDEX('Our policies'!$S$4:$S$503,_calc!$E$769))=0,"",INDEX('Our policies'!$S$4:$S$503,_calc!$E$769)))=0,"",IF(LEN(INDEX('Our policies'!$S$4:$S$503,_calc!$E$769))=0,"",INDEX('Our policies'!$S$4:$S$503,_calc!$E$769)))),TRIM(IF(LEN(IF(LEN(INDEX('Vendor COIs'!$C$4:$C$503,(_calc!$E$769-500)))=0,"",INDEX('Vendor COIs'!$C$4:$C$503,(_calc!$E$769-500))))=0,"","Insurer: "&amp;IF(LEN(INDEX('Vendor COIs'!$C$4:$C$503,(_calc!$E$769-500)))=0,"",INDEX('Vendor COIs'!$C$4:$C$503,(_calc!$E$769-500)))&amp;". ")&amp;IF(LEN(IF(LEN(INDEX('Vendor COIs'!$D$4:$D$503,(_calc!$E$769-500)))=0,"",INDEX('Vendor COIs'!$D$4:$D$503,(_calc!$E$769-500))))=0,"","Policy no.: "&amp;IF(LEN(INDEX('Vendor COIs'!$D$4:$D$503,(_calc!$E$769-500)))=0,"",INDEX('Vendor COIs'!$D$4:$D$503,(_calc!$E$769-500)))&amp;". ")&amp;IF(LEN(IF(LEN(INDEX('Vendor COIs'!$F$4:$F$503,(_calc!$E$769-500)))=0,"",INDEX('Vendor COIs'!$F$4:$F$503,(_calc!$E$769-500))))=0,"","Meets minimum: "&amp;IF(LEN(INDEX('Vendor COIs'!$F$4:$F$503,(_calc!$E$769-500)))=0,"",INDEX('Vendor COIs'!$F$4:$F$503,(_calc!$E$769-500)))&amp;". ")&amp;IF(LEN(IF(LEN(INDEX('Vendor COIs'!$G$4:$G$503,(_calc!$E$769-500)))=0,"",INDEX('Vendor COIs'!$G$4:$G$503,(_calc!$E$769-500))))=0,"","Additional insured: "&amp;IF(LEN(INDEX('Vendor COIs'!$G$4:$G$503,(_calc!$E$769-500)))=0,"",INDEX('Vendor COIs'!$G$4:$G$503,(_calc!$E$769-500)))&amp;". ")&amp;IF(LEN(IF(LEN(INDEX('Vendor COIs'!$M$4:$M$503,(_calc!$E$769-500)))=0,"",INDEX('Vendor COIs'!$M$4:$M$503,(_calc!$E$769-500))))=0,"","Vendor contact: "&amp;IF(LEN(INDEX('Vendor COIs'!$M$4:$M$503,(_calc!$E$769-500)))=0,"",INDEX('Vendor COIs'!$M$4:$M$503,(_calc!$E$769-500)))&amp;". ")&amp;IF(LEN(IF(LEN(INDEX('Vendor COIs'!$P$4:$P$503,(_calc!$E$769-500)))=0,"",INDEX('Vendor COIs'!$P$4:$P$503,(_calc!$E$769-500))))=0,"",IF(LEN(INDEX('Vendor COIs'!$P$4:$P$503,(_calc!$E$769-500)))=0,"",INDEX('Vendor COIs'!$P$4:$P$503,(_calc!$E$769-500)))))))</f>
        <v/>
      </c>
      <c r="G767" s="46">
        <f>IF(_calc!$E$769="","",IF(_calc!$E$769&lt;=500,IF(LEN(INDEX('Our policies'!$R$4:$R$503,_calc!$E$769))=0,"",INDEX('Our policies'!$R$4:$R$503,_calc!$E$769)),IF(LEN(INDEX('Vendor COIs'!$O$4:$O$503,(_calc!$E$769-500)))=0,"",INDEX('Vendor COIs'!$O$4:$O$503,(_calc!$E$769-500)))))</f>
        <v/>
      </c>
      <c r="H767" s="46">
        <f>IF(_calc!$E$769="","",IF(_calc!$E$769&lt;=500,IF(LEN(INDEX('Our policies'!$G$4:$G$503,_calc!$E$769))=0,"",INDEX('Our policies'!$G$4:$G$503,_calc!$E$769)),""))</f>
        <v/>
      </c>
      <c r="I767" s="46">
        <f>IF(_calc!$E$769="","",IF(_calc!$E$769&lt;=500,IF(LEN(INDEX('Our policies'!$H$4:$H$503,_calc!$E$769))=0,"",INDEX('Our policies'!$H$4:$H$503,_calc!$E$769)),""))</f>
        <v/>
      </c>
      <c r="K767" s="46">
        <f>IF(_calc!$E$769="","",IF(_calc!$E$769&lt;=500,IF(LEN(INDEX('Our policies'!$P$4:$P$503,_calc!$E$769))=0,"",INDEX('Our policies'!$P$4:$P$503,_calc!$E$769)),IF(LEN(INDEX('Vendor COIs'!$N$4:$N$503,(_calc!$E$769-500)))=0,"",INDEX('Vendor COIs'!$N$4:$N$503,(_calc!$E$769-500)))))</f>
        <v/>
      </c>
    </row>
    <row r="768">
      <c r="A768" s="46">
        <f>IF(_calc!$E$770="","",IF(_calc!$E$770&lt;=500,IF(LEN(INDEX('Our policies'!$A$4:$A$503,_calc!$E$770))=0,"",INDEX('Our policies'!$A$4:$A$503,_calc!$E$770)),"COI – "&amp;IF(LEN(INDEX('Vendor COIs'!$A$4:$A$503,(_calc!$E$770-500)))=0,"",INDEX('Vendor COIs'!$A$4:$A$503,(_calc!$E$770-500)))&amp;" – "&amp;IF(LEN(INDEX('Vendor COIs'!$B$4:$B$503,(_calc!$E$770-500)))=0,"",INDEX('Vendor COIs'!$B$4:$B$503,(_calc!$E$770-500)))))</f>
        <v/>
      </c>
      <c r="B768" s="46">
        <f>IF(_calc!$E$770="","",IF(_calc!$E$770&lt;=500,IF(ISNUMBER(INDEX('Our policies'!$J$4:$J$503,_calc!$E$770)),TEXT(INDEX('Our policies'!$J$4:$J$503,_calc!$E$770),"yyyy-mm-dd"),""),IF(ISNUMBER(INDEX('Vendor COIs'!$H$4:$H$503,(_calc!$E$770-500))),TEXT(INDEX('Vendor COIs'!$H$4:$H$503,(_calc!$E$770-500)),"yyyy-mm-dd"),"")))</f>
        <v/>
      </c>
      <c r="C768" s="46">
        <f>IF(_calc!$E$770="","",IF(_calc!$E$770&lt;=500,"Insurance","Certificate of insurance"))</f>
        <v/>
      </c>
      <c r="D768" s="46">
        <f>IF(_calc!$E$770="","",IF(_calc!$E$770&lt;=500,IF(ISNUMBER(INDEX('Our policies'!$I$4:$I$503,_calc!$E$770)),TEXT(INDEX('Our policies'!$I$4:$I$503,_calc!$E$770),"yyyy-mm-dd"),""),""))</f>
        <v/>
      </c>
      <c r="E768" s="46">
        <f>IF(_calc!$E$770="","",IF(_calc!$E$770&lt;=500,IF(LEN(INDEX('Our policies'!$Q$4:$Q$503,_calc!$E$770))=0,"",INDEX('Our policies'!$Q$4:$Q$503,_calc!$E$770)),"Medium"))</f>
        <v/>
      </c>
      <c r="F768" s="46">
        <f>IF(_calc!$E$770="","",IF(_calc!$E$770&lt;=500,TRIM(IF(LEN(IF(LEN(INDEX('Our policies'!$B$4:$B$503,_calc!$E$770))=0,"",INDEX('Our policies'!$B$4:$B$503,_calc!$E$770)))=0,"","Cover: "&amp;IF(LEN(INDEX('Our policies'!$B$4:$B$503,_calc!$E$770))=0,"",INDEX('Our policies'!$B$4:$B$503,_calc!$E$770))&amp;". ")&amp;IF(LEN(IF(LEN(INDEX('Our policies'!$C$4:$C$503,_calc!$E$770))=0,"",INDEX('Our policies'!$C$4:$C$503,_calc!$E$770)))=0,"","Insurer: "&amp;IF(LEN(INDEX('Our policies'!$C$4:$C$503,_calc!$E$770))=0,"",INDEX('Our policies'!$C$4:$C$503,_calc!$E$770))&amp;". ")&amp;IF(LEN(IF(LEN(INDEX('Our policies'!$D$4:$D$503,_calc!$E$770))=0,"",INDEX('Our policies'!$D$4:$D$503,_calc!$E$770)))=0,"","Broker: "&amp;IF(LEN(INDEX('Our policies'!$D$4:$D$503,_calc!$E$770))=0,"",INDEX('Our policies'!$D$4:$D$503,_calc!$E$770))&amp;". ")&amp;IF(LEN(IF(LEN(INDEX('Our policies'!$E$4:$E$503,_calc!$E$770))=0,"",INDEX('Our policies'!$E$4:$E$503,_calc!$E$770)))=0,"","Policy no.: "&amp;IF(LEN(INDEX('Our policies'!$E$4:$E$503,_calc!$E$770))=0,"",INDEX('Our policies'!$E$4:$E$503,_calc!$E$770))&amp;". ")&amp;IF(LEN(IF(LEN(INDEX('Our policies'!$S$4:$S$503,_calc!$E$770))=0,"",INDEX('Our policies'!$S$4:$S$503,_calc!$E$770)))=0,"",IF(LEN(INDEX('Our policies'!$S$4:$S$503,_calc!$E$770))=0,"",INDEX('Our policies'!$S$4:$S$503,_calc!$E$770)))),TRIM(IF(LEN(IF(LEN(INDEX('Vendor COIs'!$C$4:$C$503,(_calc!$E$770-500)))=0,"",INDEX('Vendor COIs'!$C$4:$C$503,(_calc!$E$770-500))))=0,"","Insurer: "&amp;IF(LEN(INDEX('Vendor COIs'!$C$4:$C$503,(_calc!$E$770-500)))=0,"",INDEX('Vendor COIs'!$C$4:$C$503,(_calc!$E$770-500)))&amp;". ")&amp;IF(LEN(IF(LEN(INDEX('Vendor COIs'!$D$4:$D$503,(_calc!$E$770-500)))=0,"",INDEX('Vendor COIs'!$D$4:$D$503,(_calc!$E$770-500))))=0,"","Policy no.: "&amp;IF(LEN(INDEX('Vendor COIs'!$D$4:$D$503,(_calc!$E$770-500)))=0,"",INDEX('Vendor COIs'!$D$4:$D$503,(_calc!$E$770-500)))&amp;". ")&amp;IF(LEN(IF(LEN(INDEX('Vendor COIs'!$F$4:$F$503,(_calc!$E$770-500)))=0,"",INDEX('Vendor COIs'!$F$4:$F$503,(_calc!$E$770-500))))=0,"","Meets minimum: "&amp;IF(LEN(INDEX('Vendor COIs'!$F$4:$F$503,(_calc!$E$770-500)))=0,"",INDEX('Vendor COIs'!$F$4:$F$503,(_calc!$E$770-500)))&amp;". ")&amp;IF(LEN(IF(LEN(INDEX('Vendor COIs'!$G$4:$G$503,(_calc!$E$770-500)))=0,"",INDEX('Vendor COIs'!$G$4:$G$503,(_calc!$E$770-500))))=0,"","Additional insured: "&amp;IF(LEN(INDEX('Vendor COIs'!$G$4:$G$503,(_calc!$E$770-500)))=0,"",INDEX('Vendor COIs'!$G$4:$G$503,(_calc!$E$770-500)))&amp;". ")&amp;IF(LEN(IF(LEN(INDEX('Vendor COIs'!$M$4:$M$503,(_calc!$E$770-500)))=0,"",INDEX('Vendor COIs'!$M$4:$M$503,(_calc!$E$770-500))))=0,"","Vendor contact: "&amp;IF(LEN(INDEX('Vendor COIs'!$M$4:$M$503,(_calc!$E$770-500)))=0,"",INDEX('Vendor COIs'!$M$4:$M$503,(_calc!$E$770-500)))&amp;". ")&amp;IF(LEN(IF(LEN(INDEX('Vendor COIs'!$P$4:$P$503,(_calc!$E$770-500)))=0,"",INDEX('Vendor COIs'!$P$4:$P$503,(_calc!$E$770-500))))=0,"",IF(LEN(INDEX('Vendor COIs'!$P$4:$P$503,(_calc!$E$770-500)))=0,"",INDEX('Vendor COIs'!$P$4:$P$503,(_calc!$E$770-500)))))))</f>
        <v/>
      </c>
      <c r="G768" s="46">
        <f>IF(_calc!$E$770="","",IF(_calc!$E$770&lt;=500,IF(LEN(INDEX('Our policies'!$R$4:$R$503,_calc!$E$770))=0,"",INDEX('Our policies'!$R$4:$R$503,_calc!$E$770)),IF(LEN(INDEX('Vendor COIs'!$O$4:$O$503,(_calc!$E$770-500)))=0,"",INDEX('Vendor COIs'!$O$4:$O$503,(_calc!$E$770-500)))))</f>
        <v/>
      </c>
      <c r="H768" s="46">
        <f>IF(_calc!$E$770="","",IF(_calc!$E$770&lt;=500,IF(LEN(INDEX('Our policies'!$G$4:$G$503,_calc!$E$770))=0,"",INDEX('Our policies'!$G$4:$G$503,_calc!$E$770)),""))</f>
        <v/>
      </c>
      <c r="I768" s="46">
        <f>IF(_calc!$E$770="","",IF(_calc!$E$770&lt;=500,IF(LEN(INDEX('Our policies'!$H$4:$H$503,_calc!$E$770))=0,"",INDEX('Our policies'!$H$4:$H$503,_calc!$E$770)),""))</f>
        <v/>
      </c>
      <c r="K768" s="46">
        <f>IF(_calc!$E$770="","",IF(_calc!$E$770&lt;=500,IF(LEN(INDEX('Our policies'!$P$4:$P$503,_calc!$E$770))=0,"",INDEX('Our policies'!$P$4:$P$503,_calc!$E$770)),IF(LEN(INDEX('Vendor COIs'!$N$4:$N$503,(_calc!$E$770-500)))=0,"",INDEX('Vendor COIs'!$N$4:$N$503,(_calc!$E$770-500)))))</f>
        <v/>
      </c>
    </row>
    <row r="769">
      <c r="A769" s="46">
        <f>IF(_calc!$E$771="","",IF(_calc!$E$771&lt;=500,IF(LEN(INDEX('Our policies'!$A$4:$A$503,_calc!$E$771))=0,"",INDEX('Our policies'!$A$4:$A$503,_calc!$E$771)),"COI – "&amp;IF(LEN(INDEX('Vendor COIs'!$A$4:$A$503,(_calc!$E$771-500)))=0,"",INDEX('Vendor COIs'!$A$4:$A$503,(_calc!$E$771-500)))&amp;" – "&amp;IF(LEN(INDEX('Vendor COIs'!$B$4:$B$503,(_calc!$E$771-500)))=0,"",INDEX('Vendor COIs'!$B$4:$B$503,(_calc!$E$771-500)))))</f>
        <v/>
      </c>
      <c r="B769" s="46">
        <f>IF(_calc!$E$771="","",IF(_calc!$E$771&lt;=500,IF(ISNUMBER(INDEX('Our policies'!$J$4:$J$503,_calc!$E$771)),TEXT(INDEX('Our policies'!$J$4:$J$503,_calc!$E$771),"yyyy-mm-dd"),""),IF(ISNUMBER(INDEX('Vendor COIs'!$H$4:$H$503,(_calc!$E$771-500))),TEXT(INDEX('Vendor COIs'!$H$4:$H$503,(_calc!$E$771-500)),"yyyy-mm-dd"),"")))</f>
        <v/>
      </c>
      <c r="C769" s="46">
        <f>IF(_calc!$E$771="","",IF(_calc!$E$771&lt;=500,"Insurance","Certificate of insurance"))</f>
        <v/>
      </c>
      <c r="D769" s="46">
        <f>IF(_calc!$E$771="","",IF(_calc!$E$771&lt;=500,IF(ISNUMBER(INDEX('Our policies'!$I$4:$I$503,_calc!$E$771)),TEXT(INDEX('Our policies'!$I$4:$I$503,_calc!$E$771),"yyyy-mm-dd"),""),""))</f>
        <v/>
      </c>
      <c r="E769" s="46">
        <f>IF(_calc!$E$771="","",IF(_calc!$E$771&lt;=500,IF(LEN(INDEX('Our policies'!$Q$4:$Q$503,_calc!$E$771))=0,"",INDEX('Our policies'!$Q$4:$Q$503,_calc!$E$771)),"Medium"))</f>
        <v/>
      </c>
      <c r="F769" s="46">
        <f>IF(_calc!$E$771="","",IF(_calc!$E$771&lt;=500,TRIM(IF(LEN(IF(LEN(INDEX('Our policies'!$B$4:$B$503,_calc!$E$771))=0,"",INDEX('Our policies'!$B$4:$B$503,_calc!$E$771)))=0,"","Cover: "&amp;IF(LEN(INDEX('Our policies'!$B$4:$B$503,_calc!$E$771))=0,"",INDEX('Our policies'!$B$4:$B$503,_calc!$E$771))&amp;". ")&amp;IF(LEN(IF(LEN(INDEX('Our policies'!$C$4:$C$503,_calc!$E$771))=0,"",INDEX('Our policies'!$C$4:$C$503,_calc!$E$771)))=0,"","Insurer: "&amp;IF(LEN(INDEX('Our policies'!$C$4:$C$503,_calc!$E$771))=0,"",INDEX('Our policies'!$C$4:$C$503,_calc!$E$771))&amp;". ")&amp;IF(LEN(IF(LEN(INDEX('Our policies'!$D$4:$D$503,_calc!$E$771))=0,"",INDEX('Our policies'!$D$4:$D$503,_calc!$E$771)))=0,"","Broker: "&amp;IF(LEN(INDEX('Our policies'!$D$4:$D$503,_calc!$E$771))=0,"",INDEX('Our policies'!$D$4:$D$503,_calc!$E$771))&amp;". ")&amp;IF(LEN(IF(LEN(INDEX('Our policies'!$E$4:$E$503,_calc!$E$771))=0,"",INDEX('Our policies'!$E$4:$E$503,_calc!$E$771)))=0,"","Policy no.: "&amp;IF(LEN(INDEX('Our policies'!$E$4:$E$503,_calc!$E$771))=0,"",INDEX('Our policies'!$E$4:$E$503,_calc!$E$771))&amp;". ")&amp;IF(LEN(IF(LEN(INDEX('Our policies'!$S$4:$S$503,_calc!$E$771))=0,"",INDEX('Our policies'!$S$4:$S$503,_calc!$E$771)))=0,"",IF(LEN(INDEX('Our policies'!$S$4:$S$503,_calc!$E$771))=0,"",INDEX('Our policies'!$S$4:$S$503,_calc!$E$771)))),TRIM(IF(LEN(IF(LEN(INDEX('Vendor COIs'!$C$4:$C$503,(_calc!$E$771-500)))=0,"",INDEX('Vendor COIs'!$C$4:$C$503,(_calc!$E$771-500))))=0,"","Insurer: "&amp;IF(LEN(INDEX('Vendor COIs'!$C$4:$C$503,(_calc!$E$771-500)))=0,"",INDEX('Vendor COIs'!$C$4:$C$503,(_calc!$E$771-500)))&amp;". ")&amp;IF(LEN(IF(LEN(INDEX('Vendor COIs'!$D$4:$D$503,(_calc!$E$771-500)))=0,"",INDEX('Vendor COIs'!$D$4:$D$503,(_calc!$E$771-500))))=0,"","Policy no.: "&amp;IF(LEN(INDEX('Vendor COIs'!$D$4:$D$503,(_calc!$E$771-500)))=0,"",INDEX('Vendor COIs'!$D$4:$D$503,(_calc!$E$771-500)))&amp;". ")&amp;IF(LEN(IF(LEN(INDEX('Vendor COIs'!$F$4:$F$503,(_calc!$E$771-500)))=0,"",INDEX('Vendor COIs'!$F$4:$F$503,(_calc!$E$771-500))))=0,"","Meets minimum: "&amp;IF(LEN(INDEX('Vendor COIs'!$F$4:$F$503,(_calc!$E$771-500)))=0,"",INDEX('Vendor COIs'!$F$4:$F$503,(_calc!$E$771-500)))&amp;". ")&amp;IF(LEN(IF(LEN(INDEX('Vendor COIs'!$G$4:$G$503,(_calc!$E$771-500)))=0,"",INDEX('Vendor COIs'!$G$4:$G$503,(_calc!$E$771-500))))=0,"","Additional insured: "&amp;IF(LEN(INDEX('Vendor COIs'!$G$4:$G$503,(_calc!$E$771-500)))=0,"",INDEX('Vendor COIs'!$G$4:$G$503,(_calc!$E$771-500)))&amp;". ")&amp;IF(LEN(IF(LEN(INDEX('Vendor COIs'!$M$4:$M$503,(_calc!$E$771-500)))=0,"",INDEX('Vendor COIs'!$M$4:$M$503,(_calc!$E$771-500))))=0,"","Vendor contact: "&amp;IF(LEN(INDEX('Vendor COIs'!$M$4:$M$503,(_calc!$E$771-500)))=0,"",INDEX('Vendor COIs'!$M$4:$M$503,(_calc!$E$771-500)))&amp;". ")&amp;IF(LEN(IF(LEN(INDEX('Vendor COIs'!$P$4:$P$503,(_calc!$E$771-500)))=0,"",INDEX('Vendor COIs'!$P$4:$P$503,(_calc!$E$771-500))))=0,"",IF(LEN(INDEX('Vendor COIs'!$P$4:$P$503,(_calc!$E$771-500)))=0,"",INDEX('Vendor COIs'!$P$4:$P$503,(_calc!$E$771-500)))))))</f>
        <v/>
      </c>
      <c r="G769" s="46">
        <f>IF(_calc!$E$771="","",IF(_calc!$E$771&lt;=500,IF(LEN(INDEX('Our policies'!$R$4:$R$503,_calc!$E$771))=0,"",INDEX('Our policies'!$R$4:$R$503,_calc!$E$771)),IF(LEN(INDEX('Vendor COIs'!$O$4:$O$503,(_calc!$E$771-500)))=0,"",INDEX('Vendor COIs'!$O$4:$O$503,(_calc!$E$771-500)))))</f>
        <v/>
      </c>
      <c r="H769" s="46">
        <f>IF(_calc!$E$771="","",IF(_calc!$E$771&lt;=500,IF(LEN(INDEX('Our policies'!$G$4:$G$503,_calc!$E$771))=0,"",INDEX('Our policies'!$G$4:$G$503,_calc!$E$771)),""))</f>
        <v/>
      </c>
      <c r="I769" s="46">
        <f>IF(_calc!$E$771="","",IF(_calc!$E$771&lt;=500,IF(LEN(INDEX('Our policies'!$H$4:$H$503,_calc!$E$771))=0,"",INDEX('Our policies'!$H$4:$H$503,_calc!$E$771)),""))</f>
        <v/>
      </c>
      <c r="K769" s="46">
        <f>IF(_calc!$E$771="","",IF(_calc!$E$771&lt;=500,IF(LEN(INDEX('Our policies'!$P$4:$P$503,_calc!$E$771))=0,"",INDEX('Our policies'!$P$4:$P$503,_calc!$E$771)),IF(LEN(INDEX('Vendor COIs'!$N$4:$N$503,(_calc!$E$771-500)))=0,"",INDEX('Vendor COIs'!$N$4:$N$503,(_calc!$E$771-500)))))</f>
        <v/>
      </c>
    </row>
    <row r="770">
      <c r="A770" s="46">
        <f>IF(_calc!$E$772="","",IF(_calc!$E$772&lt;=500,IF(LEN(INDEX('Our policies'!$A$4:$A$503,_calc!$E$772))=0,"",INDEX('Our policies'!$A$4:$A$503,_calc!$E$772)),"COI – "&amp;IF(LEN(INDEX('Vendor COIs'!$A$4:$A$503,(_calc!$E$772-500)))=0,"",INDEX('Vendor COIs'!$A$4:$A$503,(_calc!$E$772-500)))&amp;" – "&amp;IF(LEN(INDEX('Vendor COIs'!$B$4:$B$503,(_calc!$E$772-500)))=0,"",INDEX('Vendor COIs'!$B$4:$B$503,(_calc!$E$772-500)))))</f>
        <v/>
      </c>
      <c r="B770" s="46">
        <f>IF(_calc!$E$772="","",IF(_calc!$E$772&lt;=500,IF(ISNUMBER(INDEX('Our policies'!$J$4:$J$503,_calc!$E$772)),TEXT(INDEX('Our policies'!$J$4:$J$503,_calc!$E$772),"yyyy-mm-dd"),""),IF(ISNUMBER(INDEX('Vendor COIs'!$H$4:$H$503,(_calc!$E$772-500))),TEXT(INDEX('Vendor COIs'!$H$4:$H$503,(_calc!$E$772-500)),"yyyy-mm-dd"),"")))</f>
        <v/>
      </c>
      <c r="C770" s="46">
        <f>IF(_calc!$E$772="","",IF(_calc!$E$772&lt;=500,"Insurance","Certificate of insurance"))</f>
        <v/>
      </c>
      <c r="D770" s="46">
        <f>IF(_calc!$E$772="","",IF(_calc!$E$772&lt;=500,IF(ISNUMBER(INDEX('Our policies'!$I$4:$I$503,_calc!$E$772)),TEXT(INDEX('Our policies'!$I$4:$I$503,_calc!$E$772),"yyyy-mm-dd"),""),""))</f>
        <v/>
      </c>
      <c r="E770" s="46">
        <f>IF(_calc!$E$772="","",IF(_calc!$E$772&lt;=500,IF(LEN(INDEX('Our policies'!$Q$4:$Q$503,_calc!$E$772))=0,"",INDEX('Our policies'!$Q$4:$Q$503,_calc!$E$772)),"Medium"))</f>
        <v/>
      </c>
      <c r="F770" s="46">
        <f>IF(_calc!$E$772="","",IF(_calc!$E$772&lt;=500,TRIM(IF(LEN(IF(LEN(INDEX('Our policies'!$B$4:$B$503,_calc!$E$772))=0,"",INDEX('Our policies'!$B$4:$B$503,_calc!$E$772)))=0,"","Cover: "&amp;IF(LEN(INDEX('Our policies'!$B$4:$B$503,_calc!$E$772))=0,"",INDEX('Our policies'!$B$4:$B$503,_calc!$E$772))&amp;". ")&amp;IF(LEN(IF(LEN(INDEX('Our policies'!$C$4:$C$503,_calc!$E$772))=0,"",INDEX('Our policies'!$C$4:$C$503,_calc!$E$772)))=0,"","Insurer: "&amp;IF(LEN(INDEX('Our policies'!$C$4:$C$503,_calc!$E$772))=0,"",INDEX('Our policies'!$C$4:$C$503,_calc!$E$772))&amp;". ")&amp;IF(LEN(IF(LEN(INDEX('Our policies'!$D$4:$D$503,_calc!$E$772))=0,"",INDEX('Our policies'!$D$4:$D$503,_calc!$E$772)))=0,"","Broker: "&amp;IF(LEN(INDEX('Our policies'!$D$4:$D$503,_calc!$E$772))=0,"",INDEX('Our policies'!$D$4:$D$503,_calc!$E$772))&amp;". ")&amp;IF(LEN(IF(LEN(INDEX('Our policies'!$E$4:$E$503,_calc!$E$772))=0,"",INDEX('Our policies'!$E$4:$E$503,_calc!$E$772)))=0,"","Policy no.: "&amp;IF(LEN(INDEX('Our policies'!$E$4:$E$503,_calc!$E$772))=0,"",INDEX('Our policies'!$E$4:$E$503,_calc!$E$772))&amp;". ")&amp;IF(LEN(IF(LEN(INDEX('Our policies'!$S$4:$S$503,_calc!$E$772))=0,"",INDEX('Our policies'!$S$4:$S$503,_calc!$E$772)))=0,"",IF(LEN(INDEX('Our policies'!$S$4:$S$503,_calc!$E$772))=0,"",INDEX('Our policies'!$S$4:$S$503,_calc!$E$772)))),TRIM(IF(LEN(IF(LEN(INDEX('Vendor COIs'!$C$4:$C$503,(_calc!$E$772-500)))=0,"",INDEX('Vendor COIs'!$C$4:$C$503,(_calc!$E$772-500))))=0,"","Insurer: "&amp;IF(LEN(INDEX('Vendor COIs'!$C$4:$C$503,(_calc!$E$772-500)))=0,"",INDEX('Vendor COIs'!$C$4:$C$503,(_calc!$E$772-500)))&amp;". ")&amp;IF(LEN(IF(LEN(INDEX('Vendor COIs'!$D$4:$D$503,(_calc!$E$772-500)))=0,"",INDEX('Vendor COIs'!$D$4:$D$503,(_calc!$E$772-500))))=0,"","Policy no.: "&amp;IF(LEN(INDEX('Vendor COIs'!$D$4:$D$503,(_calc!$E$772-500)))=0,"",INDEX('Vendor COIs'!$D$4:$D$503,(_calc!$E$772-500)))&amp;". ")&amp;IF(LEN(IF(LEN(INDEX('Vendor COIs'!$F$4:$F$503,(_calc!$E$772-500)))=0,"",INDEX('Vendor COIs'!$F$4:$F$503,(_calc!$E$772-500))))=0,"","Meets minimum: "&amp;IF(LEN(INDEX('Vendor COIs'!$F$4:$F$503,(_calc!$E$772-500)))=0,"",INDEX('Vendor COIs'!$F$4:$F$503,(_calc!$E$772-500)))&amp;". ")&amp;IF(LEN(IF(LEN(INDEX('Vendor COIs'!$G$4:$G$503,(_calc!$E$772-500)))=0,"",INDEX('Vendor COIs'!$G$4:$G$503,(_calc!$E$772-500))))=0,"","Additional insured: "&amp;IF(LEN(INDEX('Vendor COIs'!$G$4:$G$503,(_calc!$E$772-500)))=0,"",INDEX('Vendor COIs'!$G$4:$G$503,(_calc!$E$772-500)))&amp;". ")&amp;IF(LEN(IF(LEN(INDEX('Vendor COIs'!$M$4:$M$503,(_calc!$E$772-500)))=0,"",INDEX('Vendor COIs'!$M$4:$M$503,(_calc!$E$772-500))))=0,"","Vendor contact: "&amp;IF(LEN(INDEX('Vendor COIs'!$M$4:$M$503,(_calc!$E$772-500)))=0,"",INDEX('Vendor COIs'!$M$4:$M$503,(_calc!$E$772-500)))&amp;". ")&amp;IF(LEN(IF(LEN(INDEX('Vendor COIs'!$P$4:$P$503,(_calc!$E$772-500)))=0,"",INDEX('Vendor COIs'!$P$4:$P$503,(_calc!$E$772-500))))=0,"",IF(LEN(INDEX('Vendor COIs'!$P$4:$P$503,(_calc!$E$772-500)))=0,"",INDEX('Vendor COIs'!$P$4:$P$503,(_calc!$E$772-500)))))))</f>
        <v/>
      </c>
      <c r="G770" s="46">
        <f>IF(_calc!$E$772="","",IF(_calc!$E$772&lt;=500,IF(LEN(INDEX('Our policies'!$R$4:$R$503,_calc!$E$772))=0,"",INDEX('Our policies'!$R$4:$R$503,_calc!$E$772)),IF(LEN(INDEX('Vendor COIs'!$O$4:$O$503,(_calc!$E$772-500)))=0,"",INDEX('Vendor COIs'!$O$4:$O$503,(_calc!$E$772-500)))))</f>
        <v/>
      </c>
      <c r="H770" s="46">
        <f>IF(_calc!$E$772="","",IF(_calc!$E$772&lt;=500,IF(LEN(INDEX('Our policies'!$G$4:$G$503,_calc!$E$772))=0,"",INDEX('Our policies'!$G$4:$G$503,_calc!$E$772)),""))</f>
        <v/>
      </c>
      <c r="I770" s="46">
        <f>IF(_calc!$E$772="","",IF(_calc!$E$772&lt;=500,IF(LEN(INDEX('Our policies'!$H$4:$H$503,_calc!$E$772))=0,"",INDEX('Our policies'!$H$4:$H$503,_calc!$E$772)),""))</f>
        <v/>
      </c>
      <c r="K770" s="46">
        <f>IF(_calc!$E$772="","",IF(_calc!$E$772&lt;=500,IF(LEN(INDEX('Our policies'!$P$4:$P$503,_calc!$E$772))=0,"",INDEX('Our policies'!$P$4:$P$503,_calc!$E$772)),IF(LEN(INDEX('Vendor COIs'!$N$4:$N$503,(_calc!$E$772-500)))=0,"",INDEX('Vendor COIs'!$N$4:$N$503,(_calc!$E$772-500)))))</f>
        <v/>
      </c>
    </row>
    <row r="771">
      <c r="A771" s="46">
        <f>IF(_calc!$E$773="","",IF(_calc!$E$773&lt;=500,IF(LEN(INDEX('Our policies'!$A$4:$A$503,_calc!$E$773))=0,"",INDEX('Our policies'!$A$4:$A$503,_calc!$E$773)),"COI – "&amp;IF(LEN(INDEX('Vendor COIs'!$A$4:$A$503,(_calc!$E$773-500)))=0,"",INDEX('Vendor COIs'!$A$4:$A$503,(_calc!$E$773-500)))&amp;" – "&amp;IF(LEN(INDEX('Vendor COIs'!$B$4:$B$503,(_calc!$E$773-500)))=0,"",INDEX('Vendor COIs'!$B$4:$B$503,(_calc!$E$773-500)))))</f>
        <v/>
      </c>
      <c r="B771" s="46">
        <f>IF(_calc!$E$773="","",IF(_calc!$E$773&lt;=500,IF(ISNUMBER(INDEX('Our policies'!$J$4:$J$503,_calc!$E$773)),TEXT(INDEX('Our policies'!$J$4:$J$503,_calc!$E$773),"yyyy-mm-dd"),""),IF(ISNUMBER(INDEX('Vendor COIs'!$H$4:$H$503,(_calc!$E$773-500))),TEXT(INDEX('Vendor COIs'!$H$4:$H$503,(_calc!$E$773-500)),"yyyy-mm-dd"),"")))</f>
        <v/>
      </c>
      <c r="C771" s="46">
        <f>IF(_calc!$E$773="","",IF(_calc!$E$773&lt;=500,"Insurance","Certificate of insurance"))</f>
        <v/>
      </c>
      <c r="D771" s="46">
        <f>IF(_calc!$E$773="","",IF(_calc!$E$773&lt;=500,IF(ISNUMBER(INDEX('Our policies'!$I$4:$I$503,_calc!$E$773)),TEXT(INDEX('Our policies'!$I$4:$I$503,_calc!$E$773),"yyyy-mm-dd"),""),""))</f>
        <v/>
      </c>
      <c r="E771" s="46">
        <f>IF(_calc!$E$773="","",IF(_calc!$E$773&lt;=500,IF(LEN(INDEX('Our policies'!$Q$4:$Q$503,_calc!$E$773))=0,"",INDEX('Our policies'!$Q$4:$Q$503,_calc!$E$773)),"Medium"))</f>
        <v/>
      </c>
      <c r="F771" s="46">
        <f>IF(_calc!$E$773="","",IF(_calc!$E$773&lt;=500,TRIM(IF(LEN(IF(LEN(INDEX('Our policies'!$B$4:$B$503,_calc!$E$773))=0,"",INDEX('Our policies'!$B$4:$B$503,_calc!$E$773)))=0,"","Cover: "&amp;IF(LEN(INDEX('Our policies'!$B$4:$B$503,_calc!$E$773))=0,"",INDEX('Our policies'!$B$4:$B$503,_calc!$E$773))&amp;". ")&amp;IF(LEN(IF(LEN(INDEX('Our policies'!$C$4:$C$503,_calc!$E$773))=0,"",INDEX('Our policies'!$C$4:$C$503,_calc!$E$773)))=0,"","Insurer: "&amp;IF(LEN(INDEX('Our policies'!$C$4:$C$503,_calc!$E$773))=0,"",INDEX('Our policies'!$C$4:$C$503,_calc!$E$773))&amp;". ")&amp;IF(LEN(IF(LEN(INDEX('Our policies'!$D$4:$D$503,_calc!$E$773))=0,"",INDEX('Our policies'!$D$4:$D$503,_calc!$E$773)))=0,"","Broker: "&amp;IF(LEN(INDEX('Our policies'!$D$4:$D$503,_calc!$E$773))=0,"",INDEX('Our policies'!$D$4:$D$503,_calc!$E$773))&amp;". ")&amp;IF(LEN(IF(LEN(INDEX('Our policies'!$E$4:$E$503,_calc!$E$773))=0,"",INDEX('Our policies'!$E$4:$E$503,_calc!$E$773)))=0,"","Policy no.: "&amp;IF(LEN(INDEX('Our policies'!$E$4:$E$503,_calc!$E$773))=0,"",INDEX('Our policies'!$E$4:$E$503,_calc!$E$773))&amp;". ")&amp;IF(LEN(IF(LEN(INDEX('Our policies'!$S$4:$S$503,_calc!$E$773))=0,"",INDEX('Our policies'!$S$4:$S$503,_calc!$E$773)))=0,"",IF(LEN(INDEX('Our policies'!$S$4:$S$503,_calc!$E$773))=0,"",INDEX('Our policies'!$S$4:$S$503,_calc!$E$773)))),TRIM(IF(LEN(IF(LEN(INDEX('Vendor COIs'!$C$4:$C$503,(_calc!$E$773-500)))=0,"",INDEX('Vendor COIs'!$C$4:$C$503,(_calc!$E$773-500))))=0,"","Insurer: "&amp;IF(LEN(INDEX('Vendor COIs'!$C$4:$C$503,(_calc!$E$773-500)))=0,"",INDEX('Vendor COIs'!$C$4:$C$503,(_calc!$E$773-500)))&amp;". ")&amp;IF(LEN(IF(LEN(INDEX('Vendor COIs'!$D$4:$D$503,(_calc!$E$773-500)))=0,"",INDEX('Vendor COIs'!$D$4:$D$503,(_calc!$E$773-500))))=0,"","Policy no.: "&amp;IF(LEN(INDEX('Vendor COIs'!$D$4:$D$503,(_calc!$E$773-500)))=0,"",INDEX('Vendor COIs'!$D$4:$D$503,(_calc!$E$773-500)))&amp;". ")&amp;IF(LEN(IF(LEN(INDEX('Vendor COIs'!$F$4:$F$503,(_calc!$E$773-500)))=0,"",INDEX('Vendor COIs'!$F$4:$F$503,(_calc!$E$773-500))))=0,"","Meets minimum: "&amp;IF(LEN(INDEX('Vendor COIs'!$F$4:$F$503,(_calc!$E$773-500)))=0,"",INDEX('Vendor COIs'!$F$4:$F$503,(_calc!$E$773-500)))&amp;". ")&amp;IF(LEN(IF(LEN(INDEX('Vendor COIs'!$G$4:$G$503,(_calc!$E$773-500)))=0,"",INDEX('Vendor COIs'!$G$4:$G$503,(_calc!$E$773-500))))=0,"","Additional insured: "&amp;IF(LEN(INDEX('Vendor COIs'!$G$4:$G$503,(_calc!$E$773-500)))=0,"",INDEX('Vendor COIs'!$G$4:$G$503,(_calc!$E$773-500)))&amp;". ")&amp;IF(LEN(IF(LEN(INDEX('Vendor COIs'!$M$4:$M$503,(_calc!$E$773-500)))=0,"",INDEX('Vendor COIs'!$M$4:$M$503,(_calc!$E$773-500))))=0,"","Vendor contact: "&amp;IF(LEN(INDEX('Vendor COIs'!$M$4:$M$503,(_calc!$E$773-500)))=0,"",INDEX('Vendor COIs'!$M$4:$M$503,(_calc!$E$773-500)))&amp;". ")&amp;IF(LEN(IF(LEN(INDEX('Vendor COIs'!$P$4:$P$503,(_calc!$E$773-500)))=0,"",INDEX('Vendor COIs'!$P$4:$P$503,(_calc!$E$773-500))))=0,"",IF(LEN(INDEX('Vendor COIs'!$P$4:$P$503,(_calc!$E$773-500)))=0,"",INDEX('Vendor COIs'!$P$4:$P$503,(_calc!$E$773-500)))))))</f>
        <v/>
      </c>
      <c r="G771" s="46">
        <f>IF(_calc!$E$773="","",IF(_calc!$E$773&lt;=500,IF(LEN(INDEX('Our policies'!$R$4:$R$503,_calc!$E$773))=0,"",INDEX('Our policies'!$R$4:$R$503,_calc!$E$773)),IF(LEN(INDEX('Vendor COIs'!$O$4:$O$503,(_calc!$E$773-500)))=0,"",INDEX('Vendor COIs'!$O$4:$O$503,(_calc!$E$773-500)))))</f>
        <v/>
      </c>
      <c r="H771" s="46">
        <f>IF(_calc!$E$773="","",IF(_calc!$E$773&lt;=500,IF(LEN(INDEX('Our policies'!$G$4:$G$503,_calc!$E$773))=0,"",INDEX('Our policies'!$G$4:$G$503,_calc!$E$773)),""))</f>
        <v/>
      </c>
      <c r="I771" s="46">
        <f>IF(_calc!$E$773="","",IF(_calc!$E$773&lt;=500,IF(LEN(INDEX('Our policies'!$H$4:$H$503,_calc!$E$773))=0,"",INDEX('Our policies'!$H$4:$H$503,_calc!$E$773)),""))</f>
        <v/>
      </c>
      <c r="K771" s="46">
        <f>IF(_calc!$E$773="","",IF(_calc!$E$773&lt;=500,IF(LEN(INDEX('Our policies'!$P$4:$P$503,_calc!$E$773))=0,"",INDEX('Our policies'!$P$4:$P$503,_calc!$E$773)),IF(LEN(INDEX('Vendor COIs'!$N$4:$N$503,(_calc!$E$773-500)))=0,"",INDEX('Vendor COIs'!$N$4:$N$503,(_calc!$E$773-500)))))</f>
        <v/>
      </c>
    </row>
    <row r="772">
      <c r="A772" s="46">
        <f>IF(_calc!$E$774="","",IF(_calc!$E$774&lt;=500,IF(LEN(INDEX('Our policies'!$A$4:$A$503,_calc!$E$774))=0,"",INDEX('Our policies'!$A$4:$A$503,_calc!$E$774)),"COI – "&amp;IF(LEN(INDEX('Vendor COIs'!$A$4:$A$503,(_calc!$E$774-500)))=0,"",INDEX('Vendor COIs'!$A$4:$A$503,(_calc!$E$774-500)))&amp;" – "&amp;IF(LEN(INDEX('Vendor COIs'!$B$4:$B$503,(_calc!$E$774-500)))=0,"",INDEX('Vendor COIs'!$B$4:$B$503,(_calc!$E$774-500)))))</f>
        <v/>
      </c>
      <c r="B772" s="46">
        <f>IF(_calc!$E$774="","",IF(_calc!$E$774&lt;=500,IF(ISNUMBER(INDEX('Our policies'!$J$4:$J$503,_calc!$E$774)),TEXT(INDEX('Our policies'!$J$4:$J$503,_calc!$E$774),"yyyy-mm-dd"),""),IF(ISNUMBER(INDEX('Vendor COIs'!$H$4:$H$503,(_calc!$E$774-500))),TEXT(INDEX('Vendor COIs'!$H$4:$H$503,(_calc!$E$774-500)),"yyyy-mm-dd"),"")))</f>
        <v/>
      </c>
      <c r="C772" s="46">
        <f>IF(_calc!$E$774="","",IF(_calc!$E$774&lt;=500,"Insurance","Certificate of insurance"))</f>
        <v/>
      </c>
      <c r="D772" s="46">
        <f>IF(_calc!$E$774="","",IF(_calc!$E$774&lt;=500,IF(ISNUMBER(INDEX('Our policies'!$I$4:$I$503,_calc!$E$774)),TEXT(INDEX('Our policies'!$I$4:$I$503,_calc!$E$774),"yyyy-mm-dd"),""),""))</f>
        <v/>
      </c>
      <c r="E772" s="46">
        <f>IF(_calc!$E$774="","",IF(_calc!$E$774&lt;=500,IF(LEN(INDEX('Our policies'!$Q$4:$Q$503,_calc!$E$774))=0,"",INDEX('Our policies'!$Q$4:$Q$503,_calc!$E$774)),"Medium"))</f>
        <v/>
      </c>
      <c r="F772" s="46">
        <f>IF(_calc!$E$774="","",IF(_calc!$E$774&lt;=500,TRIM(IF(LEN(IF(LEN(INDEX('Our policies'!$B$4:$B$503,_calc!$E$774))=0,"",INDEX('Our policies'!$B$4:$B$503,_calc!$E$774)))=0,"","Cover: "&amp;IF(LEN(INDEX('Our policies'!$B$4:$B$503,_calc!$E$774))=0,"",INDEX('Our policies'!$B$4:$B$503,_calc!$E$774))&amp;". ")&amp;IF(LEN(IF(LEN(INDEX('Our policies'!$C$4:$C$503,_calc!$E$774))=0,"",INDEX('Our policies'!$C$4:$C$503,_calc!$E$774)))=0,"","Insurer: "&amp;IF(LEN(INDEX('Our policies'!$C$4:$C$503,_calc!$E$774))=0,"",INDEX('Our policies'!$C$4:$C$503,_calc!$E$774))&amp;". ")&amp;IF(LEN(IF(LEN(INDEX('Our policies'!$D$4:$D$503,_calc!$E$774))=0,"",INDEX('Our policies'!$D$4:$D$503,_calc!$E$774)))=0,"","Broker: "&amp;IF(LEN(INDEX('Our policies'!$D$4:$D$503,_calc!$E$774))=0,"",INDEX('Our policies'!$D$4:$D$503,_calc!$E$774))&amp;". ")&amp;IF(LEN(IF(LEN(INDEX('Our policies'!$E$4:$E$503,_calc!$E$774))=0,"",INDEX('Our policies'!$E$4:$E$503,_calc!$E$774)))=0,"","Policy no.: "&amp;IF(LEN(INDEX('Our policies'!$E$4:$E$503,_calc!$E$774))=0,"",INDEX('Our policies'!$E$4:$E$503,_calc!$E$774))&amp;". ")&amp;IF(LEN(IF(LEN(INDEX('Our policies'!$S$4:$S$503,_calc!$E$774))=0,"",INDEX('Our policies'!$S$4:$S$503,_calc!$E$774)))=0,"",IF(LEN(INDEX('Our policies'!$S$4:$S$503,_calc!$E$774))=0,"",INDEX('Our policies'!$S$4:$S$503,_calc!$E$774)))),TRIM(IF(LEN(IF(LEN(INDEX('Vendor COIs'!$C$4:$C$503,(_calc!$E$774-500)))=0,"",INDEX('Vendor COIs'!$C$4:$C$503,(_calc!$E$774-500))))=0,"","Insurer: "&amp;IF(LEN(INDEX('Vendor COIs'!$C$4:$C$503,(_calc!$E$774-500)))=0,"",INDEX('Vendor COIs'!$C$4:$C$503,(_calc!$E$774-500)))&amp;". ")&amp;IF(LEN(IF(LEN(INDEX('Vendor COIs'!$D$4:$D$503,(_calc!$E$774-500)))=0,"",INDEX('Vendor COIs'!$D$4:$D$503,(_calc!$E$774-500))))=0,"","Policy no.: "&amp;IF(LEN(INDEX('Vendor COIs'!$D$4:$D$503,(_calc!$E$774-500)))=0,"",INDEX('Vendor COIs'!$D$4:$D$503,(_calc!$E$774-500)))&amp;". ")&amp;IF(LEN(IF(LEN(INDEX('Vendor COIs'!$F$4:$F$503,(_calc!$E$774-500)))=0,"",INDEX('Vendor COIs'!$F$4:$F$503,(_calc!$E$774-500))))=0,"","Meets minimum: "&amp;IF(LEN(INDEX('Vendor COIs'!$F$4:$F$503,(_calc!$E$774-500)))=0,"",INDEX('Vendor COIs'!$F$4:$F$503,(_calc!$E$774-500)))&amp;". ")&amp;IF(LEN(IF(LEN(INDEX('Vendor COIs'!$G$4:$G$503,(_calc!$E$774-500)))=0,"",INDEX('Vendor COIs'!$G$4:$G$503,(_calc!$E$774-500))))=0,"","Additional insured: "&amp;IF(LEN(INDEX('Vendor COIs'!$G$4:$G$503,(_calc!$E$774-500)))=0,"",INDEX('Vendor COIs'!$G$4:$G$503,(_calc!$E$774-500)))&amp;". ")&amp;IF(LEN(IF(LEN(INDEX('Vendor COIs'!$M$4:$M$503,(_calc!$E$774-500)))=0,"",INDEX('Vendor COIs'!$M$4:$M$503,(_calc!$E$774-500))))=0,"","Vendor contact: "&amp;IF(LEN(INDEX('Vendor COIs'!$M$4:$M$503,(_calc!$E$774-500)))=0,"",INDEX('Vendor COIs'!$M$4:$M$503,(_calc!$E$774-500)))&amp;". ")&amp;IF(LEN(IF(LEN(INDEX('Vendor COIs'!$P$4:$P$503,(_calc!$E$774-500)))=0,"",INDEX('Vendor COIs'!$P$4:$P$503,(_calc!$E$774-500))))=0,"",IF(LEN(INDEX('Vendor COIs'!$P$4:$P$503,(_calc!$E$774-500)))=0,"",INDEX('Vendor COIs'!$P$4:$P$503,(_calc!$E$774-500)))))))</f>
        <v/>
      </c>
      <c r="G772" s="46">
        <f>IF(_calc!$E$774="","",IF(_calc!$E$774&lt;=500,IF(LEN(INDEX('Our policies'!$R$4:$R$503,_calc!$E$774))=0,"",INDEX('Our policies'!$R$4:$R$503,_calc!$E$774)),IF(LEN(INDEX('Vendor COIs'!$O$4:$O$503,(_calc!$E$774-500)))=0,"",INDEX('Vendor COIs'!$O$4:$O$503,(_calc!$E$774-500)))))</f>
        <v/>
      </c>
      <c r="H772" s="46">
        <f>IF(_calc!$E$774="","",IF(_calc!$E$774&lt;=500,IF(LEN(INDEX('Our policies'!$G$4:$G$503,_calc!$E$774))=0,"",INDEX('Our policies'!$G$4:$G$503,_calc!$E$774)),""))</f>
        <v/>
      </c>
      <c r="I772" s="46">
        <f>IF(_calc!$E$774="","",IF(_calc!$E$774&lt;=500,IF(LEN(INDEX('Our policies'!$H$4:$H$503,_calc!$E$774))=0,"",INDEX('Our policies'!$H$4:$H$503,_calc!$E$774)),""))</f>
        <v/>
      </c>
      <c r="K772" s="46">
        <f>IF(_calc!$E$774="","",IF(_calc!$E$774&lt;=500,IF(LEN(INDEX('Our policies'!$P$4:$P$503,_calc!$E$774))=0,"",INDEX('Our policies'!$P$4:$P$503,_calc!$E$774)),IF(LEN(INDEX('Vendor COIs'!$N$4:$N$503,(_calc!$E$774-500)))=0,"",INDEX('Vendor COIs'!$N$4:$N$503,(_calc!$E$774-500)))))</f>
        <v/>
      </c>
    </row>
    <row r="773">
      <c r="A773" s="46">
        <f>IF(_calc!$E$775="","",IF(_calc!$E$775&lt;=500,IF(LEN(INDEX('Our policies'!$A$4:$A$503,_calc!$E$775))=0,"",INDEX('Our policies'!$A$4:$A$503,_calc!$E$775)),"COI – "&amp;IF(LEN(INDEX('Vendor COIs'!$A$4:$A$503,(_calc!$E$775-500)))=0,"",INDEX('Vendor COIs'!$A$4:$A$503,(_calc!$E$775-500)))&amp;" – "&amp;IF(LEN(INDEX('Vendor COIs'!$B$4:$B$503,(_calc!$E$775-500)))=0,"",INDEX('Vendor COIs'!$B$4:$B$503,(_calc!$E$775-500)))))</f>
        <v/>
      </c>
      <c r="B773" s="46">
        <f>IF(_calc!$E$775="","",IF(_calc!$E$775&lt;=500,IF(ISNUMBER(INDEX('Our policies'!$J$4:$J$503,_calc!$E$775)),TEXT(INDEX('Our policies'!$J$4:$J$503,_calc!$E$775),"yyyy-mm-dd"),""),IF(ISNUMBER(INDEX('Vendor COIs'!$H$4:$H$503,(_calc!$E$775-500))),TEXT(INDEX('Vendor COIs'!$H$4:$H$503,(_calc!$E$775-500)),"yyyy-mm-dd"),"")))</f>
        <v/>
      </c>
      <c r="C773" s="46">
        <f>IF(_calc!$E$775="","",IF(_calc!$E$775&lt;=500,"Insurance","Certificate of insurance"))</f>
        <v/>
      </c>
      <c r="D773" s="46">
        <f>IF(_calc!$E$775="","",IF(_calc!$E$775&lt;=500,IF(ISNUMBER(INDEX('Our policies'!$I$4:$I$503,_calc!$E$775)),TEXT(INDEX('Our policies'!$I$4:$I$503,_calc!$E$775),"yyyy-mm-dd"),""),""))</f>
        <v/>
      </c>
      <c r="E773" s="46">
        <f>IF(_calc!$E$775="","",IF(_calc!$E$775&lt;=500,IF(LEN(INDEX('Our policies'!$Q$4:$Q$503,_calc!$E$775))=0,"",INDEX('Our policies'!$Q$4:$Q$503,_calc!$E$775)),"Medium"))</f>
        <v/>
      </c>
      <c r="F773" s="46">
        <f>IF(_calc!$E$775="","",IF(_calc!$E$775&lt;=500,TRIM(IF(LEN(IF(LEN(INDEX('Our policies'!$B$4:$B$503,_calc!$E$775))=0,"",INDEX('Our policies'!$B$4:$B$503,_calc!$E$775)))=0,"","Cover: "&amp;IF(LEN(INDEX('Our policies'!$B$4:$B$503,_calc!$E$775))=0,"",INDEX('Our policies'!$B$4:$B$503,_calc!$E$775))&amp;". ")&amp;IF(LEN(IF(LEN(INDEX('Our policies'!$C$4:$C$503,_calc!$E$775))=0,"",INDEX('Our policies'!$C$4:$C$503,_calc!$E$775)))=0,"","Insurer: "&amp;IF(LEN(INDEX('Our policies'!$C$4:$C$503,_calc!$E$775))=0,"",INDEX('Our policies'!$C$4:$C$503,_calc!$E$775))&amp;". ")&amp;IF(LEN(IF(LEN(INDEX('Our policies'!$D$4:$D$503,_calc!$E$775))=0,"",INDEX('Our policies'!$D$4:$D$503,_calc!$E$775)))=0,"","Broker: "&amp;IF(LEN(INDEX('Our policies'!$D$4:$D$503,_calc!$E$775))=0,"",INDEX('Our policies'!$D$4:$D$503,_calc!$E$775))&amp;". ")&amp;IF(LEN(IF(LEN(INDEX('Our policies'!$E$4:$E$503,_calc!$E$775))=0,"",INDEX('Our policies'!$E$4:$E$503,_calc!$E$775)))=0,"","Policy no.: "&amp;IF(LEN(INDEX('Our policies'!$E$4:$E$503,_calc!$E$775))=0,"",INDEX('Our policies'!$E$4:$E$503,_calc!$E$775))&amp;". ")&amp;IF(LEN(IF(LEN(INDEX('Our policies'!$S$4:$S$503,_calc!$E$775))=0,"",INDEX('Our policies'!$S$4:$S$503,_calc!$E$775)))=0,"",IF(LEN(INDEX('Our policies'!$S$4:$S$503,_calc!$E$775))=0,"",INDEX('Our policies'!$S$4:$S$503,_calc!$E$775)))),TRIM(IF(LEN(IF(LEN(INDEX('Vendor COIs'!$C$4:$C$503,(_calc!$E$775-500)))=0,"",INDEX('Vendor COIs'!$C$4:$C$503,(_calc!$E$775-500))))=0,"","Insurer: "&amp;IF(LEN(INDEX('Vendor COIs'!$C$4:$C$503,(_calc!$E$775-500)))=0,"",INDEX('Vendor COIs'!$C$4:$C$503,(_calc!$E$775-500)))&amp;". ")&amp;IF(LEN(IF(LEN(INDEX('Vendor COIs'!$D$4:$D$503,(_calc!$E$775-500)))=0,"",INDEX('Vendor COIs'!$D$4:$D$503,(_calc!$E$775-500))))=0,"","Policy no.: "&amp;IF(LEN(INDEX('Vendor COIs'!$D$4:$D$503,(_calc!$E$775-500)))=0,"",INDEX('Vendor COIs'!$D$4:$D$503,(_calc!$E$775-500)))&amp;". ")&amp;IF(LEN(IF(LEN(INDEX('Vendor COIs'!$F$4:$F$503,(_calc!$E$775-500)))=0,"",INDEX('Vendor COIs'!$F$4:$F$503,(_calc!$E$775-500))))=0,"","Meets minimum: "&amp;IF(LEN(INDEX('Vendor COIs'!$F$4:$F$503,(_calc!$E$775-500)))=0,"",INDEX('Vendor COIs'!$F$4:$F$503,(_calc!$E$775-500)))&amp;". ")&amp;IF(LEN(IF(LEN(INDEX('Vendor COIs'!$G$4:$G$503,(_calc!$E$775-500)))=0,"",INDEX('Vendor COIs'!$G$4:$G$503,(_calc!$E$775-500))))=0,"","Additional insured: "&amp;IF(LEN(INDEX('Vendor COIs'!$G$4:$G$503,(_calc!$E$775-500)))=0,"",INDEX('Vendor COIs'!$G$4:$G$503,(_calc!$E$775-500)))&amp;". ")&amp;IF(LEN(IF(LEN(INDEX('Vendor COIs'!$M$4:$M$503,(_calc!$E$775-500)))=0,"",INDEX('Vendor COIs'!$M$4:$M$503,(_calc!$E$775-500))))=0,"","Vendor contact: "&amp;IF(LEN(INDEX('Vendor COIs'!$M$4:$M$503,(_calc!$E$775-500)))=0,"",INDEX('Vendor COIs'!$M$4:$M$503,(_calc!$E$775-500)))&amp;". ")&amp;IF(LEN(IF(LEN(INDEX('Vendor COIs'!$P$4:$P$503,(_calc!$E$775-500)))=0,"",INDEX('Vendor COIs'!$P$4:$P$503,(_calc!$E$775-500))))=0,"",IF(LEN(INDEX('Vendor COIs'!$P$4:$P$503,(_calc!$E$775-500)))=0,"",INDEX('Vendor COIs'!$P$4:$P$503,(_calc!$E$775-500)))))))</f>
        <v/>
      </c>
      <c r="G773" s="46">
        <f>IF(_calc!$E$775="","",IF(_calc!$E$775&lt;=500,IF(LEN(INDEX('Our policies'!$R$4:$R$503,_calc!$E$775))=0,"",INDEX('Our policies'!$R$4:$R$503,_calc!$E$775)),IF(LEN(INDEX('Vendor COIs'!$O$4:$O$503,(_calc!$E$775-500)))=0,"",INDEX('Vendor COIs'!$O$4:$O$503,(_calc!$E$775-500)))))</f>
        <v/>
      </c>
      <c r="H773" s="46">
        <f>IF(_calc!$E$775="","",IF(_calc!$E$775&lt;=500,IF(LEN(INDEX('Our policies'!$G$4:$G$503,_calc!$E$775))=0,"",INDEX('Our policies'!$G$4:$G$503,_calc!$E$775)),""))</f>
        <v/>
      </c>
      <c r="I773" s="46">
        <f>IF(_calc!$E$775="","",IF(_calc!$E$775&lt;=500,IF(LEN(INDEX('Our policies'!$H$4:$H$503,_calc!$E$775))=0,"",INDEX('Our policies'!$H$4:$H$503,_calc!$E$775)),""))</f>
        <v/>
      </c>
      <c r="K773" s="46">
        <f>IF(_calc!$E$775="","",IF(_calc!$E$775&lt;=500,IF(LEN(INDEX('Our policies'!$P$4:$P$503,_calc!$E$775))=0,"",INDEX('Our policies'!$P$4:$P$503,_calc!$E$775)),IF(LEN(INDEX('Vendor COIs'!$N$4:$N$503,(_calc!$E$775-500)))=0,"",INDEX('Vendor COIs'!$N$4:$N$503,(_calc!$E$775-500)))))</f>
        <v/>
      </c>
    </row>
    <row r="774">
      <c r="A774" s="46">
        <f>IF(_calc!$E$776="","",IF(_calc!$E$776&lt;=500,IF(LEN(INDEX('Our policies'!$A$4:$A$503,_calc!$E$776))=0,"",INDEX('Our policies'!$A$4:$A$503,_calc!$E$776)),"COI – "&amp;IF(LEN(INDEX('Vendor COIs'!$A$4:$A$503,(_calc!$E$776-500)))=0,"",INDEX('Vendor COIs'!$A$4:$A$503,(_calc!$E$776-500)))&amp;" – "&amp;IF(LEN(INDEX('Vendor COIs'!$B$4:$B$503,(_calc!$E$776-500)))=0,"",INDEX('Vendor COIs'!$B$4:$B$503,(_calc!$E$776-500)))))</f>
        <v/>
      </c>
      <c r="B774" s="46">
        <f>IF(_calc!$E$776="","",IF(_calc!$E$776&lt;=500,IF(ISNUMBER(INDEX('Our policies'!$J$4:$J$503,_calc!$E$776)),TEXT(INDEX('Our policies'!$J$4:$J$503,_calc!$E$776),"yyyy-mm-dd"),""),IF(ISNUMBER(INDEX('Vendor COIs'!$H$4:$H$503,(_calc!$E$776-500))),TEXT(INDEX('Vendor COIs'!$H$4:$H$503,(_calc!$E$776-500)),"yyyy-mm-dd"),"")))</f>
        <v/>
      </c>
      <c r="C774" s="46">
        <f>IF(_calc!$E$776="","",IF(_calc!$E$776&lt;=500,"Insurance","Certificate of insurance"))</f>
        <v/>
      </c>
      <c r="D774" s="46">
        <f>IF(_calc!$E$776="","",IF(_calc!$E$776&lt;=500,IF(ISNUMBER(INDEX('Our policies'!$I$4:$I$503,_calc!$E$776)),TEXT(INDEX('Our policies'!$I$4:$I$503,_calc!$E$776),"yyyy-mm-dd"),""),""))</f>
        <v/>
      </c>
      <c r="E774" s="46">
        <f>IF(_calc!$E$776="","",IF(_calc!$E$776&lt;=500,IF(LEN(INDEX('Our policies'!$Q$4:$Q$503,_calc!$E$776))=0,"",INDEX('Our policies'!$Q$4:$Q$503,_calc!$E$776)),"Medium"))</f>
        <v/>
      </c>
      <c r="F774" s="46">
        <f>IF(_calc!$E$776="","",IF(_calc!$E$776&lt;=500,TRIM(IF(LEN(IF(LEN(INDEX('Our policies'!$B$4:$B$503,_calc!$E$776))=0,"",INDEX('Our policies'!$B$4:$B$503,_calc!$E$776)))=0,"","Cover: "&amp;IF(LEN(INDEX('Our policies'!$B$4:$B$503,_calc!$E$776))=0,"",INDEX('Our policies'!$B$4:$B$503,_calc!$E$776))&amp;". ")&amp;IF(LEN(IF(LEN(INDEX('Our policies'!$C$4:$C$503,_calc!$E$776))=0,"",INDEX('Our policies'!$C$4:$C$503,_calc!$E$776)))=0,"","Insurer: "&amp;IF(LEN(INDEX('Our policies'!$C$4:$C$503,_calc!$E$776))=0,"",INDEX('Our policies'!$C$4:$C$503,_calc!$E$776))&amp;". ")&amp;IF(LEN(IF(LEN(INDEX('Our policies'!$D$4:$D$503,_calc!$E$776))=0,"",INDEX('Our policies'!$D$4:$D$503,_calc!$E$776)))=0,"","Broker: "&amp;IF(LEN(INDEX('Our policies'!$D$4:$D$503,_calc!$E$776))=0,"",INDEX('Our policies'!$D$4:$D$503,_calc!$E$776))&amp;". ")&amp;IF(LEN(IF(LEN(INDEX('Our policies'!$E$4:$E$503,_calc!$E$776))=0,"",INDEX('Our policies'!$E$4:$E$503,_calc!$E$776)))=0,"","Policy no.: "&amp;IF(LEN(INDEX('Our policies'!$E$4:$E$503,_calc!$E$776))=0,"",INDEX('Our policies'!$E$4:$E$503,_calc!$E$776))&amp;". ")&amp;IF(LEN(IF(LEN(INDEX('Our policies'!$S$4:$S$503,_calc!$E$776))=0,"",INDEX('Our policies'!$S$4:$S$503,_calc!$E$776)))=0,"",IF(LEN(INDEX('Our policies'!$S$4:$S$503,_calc!$E$776))=0,"",INDEX('Our policies'!$S$4:$S$503,_calc!$E$776)))),TRIM(IF(LEN(IF(LEN(INDEX('Vendor COIs'!$C$4:$C$503,(_calc!$E$776-500)))=0,"",INDEX('Vendor COIs'!$C$4:$C$503,(_calc!$E$776-500))))=0,"","Insurer: "&amp;IF(LEN(INDEX('Vendor COIs'!$C$4:$C$503,(_calc!$E$776-500)))=0,"",INDEX('Vendor COIs'!$C$4:$C$503,(_calc!$E$776-500)))&amp;". ")&amp;IF(LEN(IF(LEN(INDEX('Vendor COIs'!$D$4:$D$503,(_calc!$E$776-500)))=0,"",INDEX('Vendor COIs'!$D$4:$D$503,(_calc!$E$776-500))))=0,"","Policy no.: "&amp;IF(LEN(INDEX('Vendor COIs'!$D$4:$D$503,(_calc!$E$776-500)))=0,"",INDEX('Vendor COIs'!$D$4:$D$503,(_calc!$E$776-500)))&amp;". ")&amp;IF(LEN(IF(LEN(INDEX('Vendor COIs'!$F$4:$F$503,(_calc!$E$776-500)))=0,"",INDEX('Vendor COIs'!$F$4:$F$503,(_calc!$E$776-500))))=0,"","Meets minimum: "&amp;IF(LEN(INDEX('Vendor COIs'!$F$4:$F$503,(_calc!$E$776-500)))=0,"",INDEX('Vendor COIs'!$F$4:$F$503,(_calc!$E$776-500)))&amp;". ")&amp;IF(LEN(IF(LEN(INDEX('Vendor COIs'!$G$4:$G$503,(_calc!$E$776-500)))=0,"",INDEX('Vendor COIs'!$G$4:$G$503,(_calc!$E$776-500))))=0,"","Additional insured: "&amp;IF(LEN(INDEX('Vendor COIs'!$G$4:$G$503,(_calc!$E$776-500)))=0,"",INDEX('Vendor COIs'!$G$4:$G$503,(_calc!$E$776-500)))&amp;". ")&amp;IF(LEN(IF(LEN(INDEX('Vendor COIs'!$M$4:$M$503,(_calc!$E$776-500)))=0,"",INDEX('Vendor COIs'!$M$4:$M$503,(_calc!$E$776-500))))=0,"","Vendor contact: "&amp;IF(LEN(INDEX('Vendor COIs'!$M$4:$M$503,(_calc!$E$776-500)))=0,"",INDEX('Vendor COIs'!$M$4:$M$503,(_calc!$E$776-500)))&amp;". ")&amp;IF(LEN(IF(LEN(INDEX('Vendor COIs'!$P$4:$P$503,(_calc!$E$776-500)))=0,"",INDEX('Vendor COIs'!$P$4:$P$503,(_calc!$E$776-500))))=0,"",IF(LEN(INDEX('Vendor COIs'!$P$4:$P$503,(_calc!$E$776-500)))=0,"",INDEX('Vendor COIs'!$P$4:$P$503,(_calc!$E$776-500)))))))</f>
        <v/>
      </c>
      <c r="G774" s="46">
        <f>IF(_calc!$E$776="","",IF(_calc!$E$776&lt;=500,IF(LEN(INDEX('Our policies'!$R$4:$R$503,_calc!$E$776))=0,"",INDEX('Our policies'!$R$4:$R$503,_calc!$E$776)),IF(LEN(INDEX('Vendor COIs'!$O$4:$O$503,(_calc!$E$776-500)))=0,"",INDEX('Vendor COIs'!$O$4:$O$503,(_calc!$E$776-500)))))</f>
        <v/>
      </c>
      <c r="H774" s="46">
        <f>IF(_calc!$E$776="","",IF(_calc!$E$776&lt;=500,IF(LEN(INDEX('Our policies'!$G$4:$G$503,_calc!$E$776))=0,"",INDEX('Our policies'!$G$4:$G$503,_calc!$E$776)),""))</f>
        <v/>
      </c>
      <c r="I774" s="46">
        <f>IF(_calc!$E$776="","",IF(_calc!$E$776&lt;=500,IF(LEN(INDEX('Our policies'!$H$4:$H$503,_calc!$E$776))=0,"",INDEX('Our policies'!$H$4:$H$503,_calc!$E$776)),""))</f>
        <v/>
      </c>
      <c r="K774" s="46">
        <f>IF(_calc!$E$776="","",IF(_calc!$E$776&lt;=500,IF(LEN(INDEX('Our policies'!$P$4:$P$503,_calc!$E$776))=0,"",INDEX('Our policies'!$P$4:$P$503,_calc!$E$776)),IF(LEN(INDEX('Vendor COIs'!$N$4:$N$503,(_calc!$E$776-500)))=0,"",INDEX('Vendor COIs'!$N$4:$N$503,(_calc!$E$776-500)))))</f>
        <v/>
      </c>
    </row>
    <row r="775">
      <c r="A775" s="46">
        <f>IF(_calc!$E$777="","",IF(_calc!$E$777&lt;=500,IF(LEN(INDEX('Our policies'!$A$4:$A$503,_calc!$E$777))=0,"",INDEX('Our policies'!$A$4:$A$503,_calc!$E$777)),"COI – "&amp;IF(LEN(INDEX('Vendor COIs'!$A$4:$A$503,(_calc!$E$777-500)))=0,"",INDEX('Vendor COIs'!$A$4:$A$503,(_calc!$E$777-500)))&amp;" – "&amp;IF(LEN(INDEX('Vendor COIs'!$B$4:$B$503,(_calc!$E$777-500)))=0,"",INDEX('Vendor COIs'!$B$4:$B$503,(_calc!$E$777-500)))))</f>
        <v/>
      </c>
      <c r="B775" s="46">
        <f>IF(_calc!$E$777="","",IF(_calc!$E$777&lt;=500,IF(ISNUMBER(INDEX('Our policies'!$J$4:$J$503,_calc!$E$777)),TEXT(INDEX('Our policies'!$J$4:$J$503,_calc!$E$777),"yyyy-mm-dd"),""),IF(ISNUMBER(INDEX('Vendor COIs'!$H$4:$H$503,(_calc!$E$777-500))),TEXT(INDEX('Vendor COIs'!$H$4:$H$503,(_calc!$E$777-500)),"yyyy-mm-dd"),"")))</f>
        <v/>
      </c>
      <c r="C775" s="46">
        <f>IF(_calc!$E$777="","",IF(_calc!$E$777&lt;=500,"Insurance","Certificate of insurance"))</f>
        <v/>
      </c>
      <c r="D775" s="46">
        <f>IF(_calc!$E$777="","",IF(_calc!$E$777&lt;=500,IF(ISNUMBER(INDEX('Our policies'!$I$4:$I$503,_calc!$E$777)),TEXT(INDEX('Our policies'!$I$4:$I$503,_calc!$E$777),"yyyy-mm-dd"),""),""))</f>
        <v/>
      </c>
      <c r="E775" s="46">
        <f>IF(_calc!$E$777="","",IF(_calc!$E$777&lt;=500,IF(LEN(INDEX('Our policies'!$Q$4:$Q$503,_calc!$E$777))=0,"",INDEX('Our policies'!$Q$4:$Q$503,_calc!$E$777)),"Medium"))</f>
        <v/>
      </c>
      <c r="F775" s="46">
        <f>IF(_calc!$E$777="","",IF(_calc!$E$777&lt;=500,TRIM(IF(LEN(IF(LEN(INDEX('Our policies'!$B$4:$B$503,_calc!$E$777))=0,"",INDEX('Our policies'!$B$4:$B$503,_calc!$E$777)))=0,"","Cover: "&amp;IF(LEN(INDEX('Our policies'!$B$4:$B$503,_calc!$E$777))=0,"",INDEX('Our policies'!$B$4:$B$503,_calc!$E$777))&amp;". ")&amp;IF(LEN(IF(LEN(INDEX('Our policies'!$C$4:$C$503,_calc!$E$777))=0,"",INDEX('Our policies'!$C$4:$C$503,_calc!$E$777)))=0,"","Insurer: "&amp;IF(LEN(INDEX('Our policies'!$C$4:$C$503,_calc!$E$777))=0,"",INDEX('Our policies'!$C$4:$C$503,_calc!$E$777))&amp;". ")&amp;IF(LEN(IF(LEN(INDEX('Our policies'!$D$4:$D$503,_calc!$E$777))=0,"",INDEX('Our policies'!$D$4:$D$503,_calc!$E$777)))=0,"","Broker: "&amp;IF(LEN(INDEX('Our policies'!$D$4:$D$503,_calc!$E$777))=0,"",INDEX('Our policies'!$D$4:$D$503,_calc!$E$777))&amp;". ")&amp;IF(LEN(IF(LEN(INDEX('Our policies'!$E$4:$E$503,_calc!$E$777))=0,"",INDEX('Our policies'!$E$4:$E$503,_calc!$E$777)))=0,"","Policy no.: "&amp;IF(LEN(INDEX('Our policies'!$E$4:$E$503,_calc!$E$777))=0,"",INDEX('Our policies'!$E$4:$E$503,_calc!$E$777))&amp;". ")&amp;IF(LEN(IF(LEN(INDEX('Our policies'!$S$4:$S$503,_calc!$E$777))=0,"",INDEX('Our policies'!$S$4:$S$503,_calc!$E$777)))=0,"",IF(LEN(INDEX('Our policies'!$S$4:$S$503,_calc!$E$777))=0,"",INDEX('Our policies'!$S$4:$S$503,_calc!$E$777)))),TRIM(IF(LEN(IF(LEN(INDEX('Vendor COIs'!$C$4:$C$503,(_calc!$E$777-500)))=0,"",INDEX('Vendor COIs'!$C$4:$C$503,(_calc!$E$777-500))))=0,"","Insurer: "&amp;IF(LEN(INDEX('Vendor COIs'!$C$4:$C$503,(_calc!$E$777-500)))=0,"",INDEX('Vendor COIs'!$C$4:$C$503,(_calc!$E$777-500)))&amp;". ")&amp;IF(LEN(IF(LEN(INDEX('Vendor COIs'!$D$4:$D$503,(_calc!$E$777-500)))=0,"",INDEX('Vendor COIs'!$D$4:$D$503,(_calc!$E$777-500))))=0,"","Policy no.: "&amp;IF(LEN(INDEX('Vendor COIs'!$D$4:$D$503,(_calc!$E$777-500)))=0,"",INDEX('Vendor COIs'!$D$4:$D$503,(_calc!$E$777-500)))&amp;". ")&amp;IF(LEN(IF(LEN(INDEX('Vendor COIs'!$F$4:$F$503,(_calc!$E$777-500)))=0,"",INDEX('Vendor COIs'!$F$4:$F$503,(_calc!$E$777-500))))=0,"","Meets minimum: "&amp;IF(LEN(INDEX('Vendor COIs'!$F$4:$F$503,(_calc!$E$777-500)))=0,"",INDEX('Vendor COIs'!$F$4:$F$503,(_calc!$E$777-500)))&amp;". ")&amp;IF(LEN(IF(LEN(INDEX('Vendor COIs'!$G$4:$G$503,(_calc!$E$777-500)))=0,"",INDEX('Vendor COIs'!$G$4:$G$503,(_calc!$E$777-500))))=0,"","Additional insured: "&amp;IF(LEN(INDEX('Vendor COIs'!$G$4:$G$503,(_calc!$E$777-500)))=0,"",INDEX('Vendor COIs'!$G$4:$G$503,(_calc!$E$777-500)))&amp;". ")&amp;IF(LEN(IF(LEN(INDEX('Vendor COIs'!$M$4:$M$503,(_calc!$E$777-500)))=0,"",INDEX('Vendor COIs'!$M$4:$M$503,(_calc!$E$777-500))))=0,"","Vendor contact: "&amp;IF(LEN(INDEX('Vendor COIs'!$M$4:$M$503,(_calc!$E$777-500)))=0,"",INDEX('Vendor COIs'!$M$4:$M$503,(_calc!$E$777-500)))&amp;". ")&amp;IF(LEN(IF(LEN(INDEX('Vendor COIs'!$P$4:$P$503,(_calc!$E$777-500)))=0,"",INDEX('Vendor COIs'!$P$4:$P$503,(_calc!$E$777-500))))=0,"",IF(LEN(INDEX('Vendor COIs'!$P$4:$P$503,(_calc!$E$777-500)))=0,"",INDEX('Vendor COIs'!$P$4:$P$503,(_calc!$E$777-500)))))))</f>
        <v/>
      </c>
      <c r="G775" s="46">
        <f>IF(_calc!$E$777="","",IF(_calc!$E$777&lt;=500,IF(LEN(INDEX('Our policies'!$R$4:$R$503,_calc!$E$777))=0,"",INDEX('Our policies'!$R$4:$R$503,_calc!$E$777)),IF(LEN(INDEX('Vendor COIs'!$O$4:$O$503,(_calc!$E$777-500)))=0,"",INDEX('Vendor COIs'!$O$4:$O$503,(_calc!$E$777-500)))))</f>
        <v/>
      </c>
      <c r="H775" s="46">
        <f>IF(_calc!$E$777="","",IF(_calc!$E$777&lt;=500,IF(LEN(INDEX('Our policies'!$G$4:$G$503,_calc!$E$777))=0,"",INDEX('Our policies'!$G$4:$G$503,_calc!$E$777)),""))</f>
        <v/>
      </c>
      <c r="I775" s="46">
        <f>IF(_calc!$E$777="","",IF(_calc!$E$777&lt;=500,IF(LEN(INDEX('Our policies'!$H$4:$H$503,_calc!$E$777))=0,"",INDEX('Our policies'!$H$4:$H$503,_calc!$E$777)),""))</f>
        <v/>
      </c>
      <c r="K775" s="46">
        <f>IF(_calc!$E$777="","",IF(_calc!$E$777&lt;=500,IF(LEN(INDEX('Our policies'!$P$4:$P$503,_calc!$E$777))=0,"",INDEX('Our policies'!$P$4:$P$503,_calc!$E$777)),IF(LEN(INDEX('Vendor COIs'!$N$4:$N$503,(_calc!$E$777-500)))=0,"",INDEX('Vendor COIs'!$N$4:$N$503,(_calc!$E$777-500)))))</f>
        <v/>
      </c>
    </row>
    <row r="776">
      <c r="A776" s="46">
        <f>IF(_calc!$E$778="","",IF(_calc!$E$778&lt;=500,IF(LEN(INDEX('Our policies'!$A$4:$A$503,_calc!$E$778))=0,"",INDEX('Our policies'!$A$4:$A$503,_calc!$E$778)),"COI – "&amp;IF(LEN(INDEX('Vendor COIs'!$A$4:$A$503,(_calc!$E$778-500)))=0,"",INDEX('Vendor COIs'!$A$4:$A$503,(_calc!$E$778-500)))&amp;" – "&amp;IF(LEN(INDEX('Vendor COIs'!$B$4:$B$503,(_calc!$E$778-500)))=0,"",INDEX('Vendor COIs'!$B$4:$B$503,(_calc!$E$778-500)))))</f>
        <v/>
      </c>
      <c r="B776" s="46">
        <f>IF(_calc!$E$778="","",IF(_calc!$E$778&lt;=500,IF(ISNUMBER(INDEX('Our policies'!$J$4:$J$503,_calc!$E$778)),TEXT(INDEX('Our policies'!$J$4:$J$503,_calc!$E$778),"yyyy-mm-dd"),""),IF(ISNUMBER(INDEX('Vendor COIs'!$H$4:$H$503,(_calc!$E$778-500))),TEXT(INDEX('Vendor COIs'!$H$4:$H$503,(_calc!$E$778-500)),"yyyy-mm-dd"),"")))</f>
        <v/>
      </c>
      <c r="C776" s="46">
        <f>IF(_calc!$E$778="","",IF(_calc!$E$778&lt;=500,"Insurance","Certificate of insurance"))</f>
        <v/>
      </c>
      <c r="D776" s="46">
        <f>IF(_calc!$E$778="","",IF(_calc!$E$778&lt;=500,IF(ISNUMBER(INDEX('Our policies'!$I$4:$I$503,_calc!$E$778)),TEXT(INDEX('Our policies'!$I$4:$I$503,_calc!$E$778),"yyyy-mm-dd"),""),""))</f>
        <v/>
      </c>
      <c r="E776" s="46">
        <f>IF(_calc!$E$778="","",IF(_calc!$E$778&lt;=500,IF(LEN(INDEX('Our policies'!$Q$4:$Q$503,_calc!$E$778))=0,"",INDEX('Our policies'!$Q$4:$Q$503,_calc!$E$778)),"Medium"))</f>
        <v/>
      </c>
      <c r="F776" s="46">
        <f>IF(_calc!$E$778="","",IF(_calc!$E$778&lt;=500,TRIM(IF(LEN(IF(LEN(INDEX('Our policies'!$B$4:$B$503,_calc!$E$778))=0,"",INDEX('Our policies'!$B$4:$B$503,_calc!$E$778)))=0,"","Cover: "&amp;IF(LEN(INDEX('Our policies'!$B$4:$B$503,_calc!$E$778))=0,"",INDEX('Our policies'!$B$4:$B$503,_calc!$E$778))&amp;". ")&amp;IF(LEN(IF(LEN(INDEX('Our policies'!$C$4:$C$503,_calc!$E$778))=0,"",INDEX('Our policies'!$C$4:$C$503,_calc!$E$778)))=0,"","Insurer: "&amp;IF(LEN(INDEX('Our policies'!$C$4:$C$503,_calc!$E$778))=0,"",INDEX('Our policies'!$C$4:$C$503,_calc!$E$778))&amp;". ")&amp;IF(LEN(IF(LEN(INDEX('Our policies'!$D$4:$D$503,_calc!$E$778))=0,"",INDEX('Our policies'!$D$4:$D$503,_calc!$E$778)))=0,"","Broker: "&amp;IF(LEN(INDEX('Our policies'!$D$4:$D$503,_calc!$E$778))=0,"",INDEX('Our policies'!$D$4:$D$503,_calc!$E$778))&amp;". ")&amp;IF(LEN(IF(LEN(INDEX('Our policies'!$E$4:$E$503,_calc!$E$778))=0,"",INDEX('Our policies'!$E$4:$E$503,_calc!$E$778)))=0,"","Policy no.: "&amp;IF(LEN(INDEX('Our policies'!$E$4:$E$503,_calc!$E$778))=0,"",INDEX('Our policies'!$E$4:$E$503,_calc!$E$778))&amp;". ")&amp;IF(LEN(IF(LEN(INDEX('Our policies'!$S$4:$S$503,_calc!$E$778))=0,"",INDEX('Our policies'!$S$4:$S$503,_calc!$E$778)))=0,"",IF(LEN(INDEX('Our policies'!$S$4:$S$503,_calc!$E$778))=0,"",INDEX('Our policies'!$S$4:$S$503,_calc!$E$778)))),TRIM(IF(LEN(IF(LEN(INDEX('Vendor COIs'!$C$4:$C$503,(_calc!$E$778-500)))=0,"",INDEX('Vendor COIs'!$C$4:$C$503,(_calc!$E$778-500))))=0,"","Insurer: "&amp;IF(LEN(INDEX('Vendor COIs'!$C$4:$C$503,(_calc!$E$778-500)))=0,"",INDEX('Vendor COIs'!$C$4:$C$503,(_calc!$E$778-500)))&amp;". ")&amp;IF(LEN(IF(LEN(INDEX('Vendor COIs'!$D$4:$D$503,(_calc!$E$778-500)))=0,"",INDEX('Vendor COIs'!$D$4:$D$503,(_calc!$E$778-500))))=0,"","Policy no.: "&amp;IF(LEN(INDEX('Vendor COIs'!$D$4:$D$503,(_calc!$E$778-500)))=0,"",INDEX('Vendor COIs'!$D$4:$D$503,(_calc!$E$778-500)))&amp;". ")&amp;IF(LEN(IF(LEN(INDEX('Vendor COIs'!$F$4:$F$503,(_calc!$E$778-500)))=0,"",INDEX('Vendor COIs'!$F$4:$F$503,(_calc!$E$778-500))))=0,"","Meets minimum: "&amp;IF(LEN(INDEX('Vendor COIs'!$F$4:$F$503,(_calc!$E$778-500)))=0,"",INDEX('Vendor COIs'!$F$4:$F$503,(_calc!$E$778-500)))&amp;". ")&amp;IF(LEN(IF(LEN(INDEX('Vendor COIs'!$G$4:$G$503,(_calc!$E$778-500)))=0,"",INDEX('Vendor COIs'!$G$4:$G$503,(_calc!$E$778-500))))=0,"","Additional insured: "&amp;IF(LEN(INDEX('Vendor COIs'!$G$4:$G$503,(_calc!$E$778-500)))=0,"",INDEX('Vendor COIs'!$G$4:$G$503,(_calc!$E$778-500)))&amp;". ")&amp;IF(LEN(IF(LEN(INDEX('Vendor COIs'!$M$4:$M$503,(_calc!$E$778-500)))=0,"",INDEX('Vendor COIs'!$M$4:$M$503,(_calc!$E$778-500))))=0,"","Vendor contact: "&amp;IF(LEN(INDEX('Vendor COIs'!$M$4:$M$503,(_calc!$E$778-500)))=0,"",INDEX('Vendor COIs'!$M$4:$M$503,(_calc!$E$778-500)))&amp;". ")&amp;IF(LEN(IF(LEN(INDEX('Vendor COIs'!$P$4:$P$503,(_calc!$E$778-500)))=0,"",INDEX('Vendor COIs'!$P$4:$P$503,(_calc!$E$778-500))))=0,"",IF(LEN(INDEX('Vendor COIs'!$P$4:$P$503,(_calc!$E$778-500)))=0,"",INDEX('Vendor COIs'!$P$4:$P$503,(_calc!$E$778-500)))))))</f>
        <v/>
      </c>
      <c r="G776" s="46">
        <f>IF(_calc!$E$778="","",IF(_calc!$E$778&lt;=500,IF(LEN(INDEX('Our policies'!$R$4:$R$503,_calc!$E$778))=0,"",INDEX('Our policies'!$R$4:$R$503,_calc!$E$778)),IF(LEN(INDEX('Vendor COIs'!$O$4:$O$503,(_calc!$E$778-500)))=0,"",INDEX('Vendor COIs'!$O$4:$O$503,(_calc!$E$778-500)))))</f>
        <v/>
      </c>
      <c r="H776" s="46">
        <f>IF(_calc!$E$778="","",IF(_calc!$E$778&lt;=500,IF(LEN(INDEX('Our policies'!$G$4:$G$503,_calc!$E$778))=0,"",INDEX('Our policies'!$G$4:$G$503,_calc!$E$778)),""))</f>
        <v/>
      </c>
      <c r="I776" s="46">
        <f>IF(_calc!$E$778="","",IF(_calc!$E$778&lt;=500,IF(LEN(INDEX('Our policies'!$H$4:$H$503,_calc!$E$778))=0,"",INDEX('Our policies'!$H$4:$H$503,_calc!$E$778)),""))</f>
        <v/>
      </c>
      <c r="K776" s="46">
        <f>IF(_calc!$E$778="","",IF(_calc!$E$778&lt;=500,IF(LEN(INDEX('Our policies'!$P$4:$P$503,_calc!$E$778))=0,"",INDEX('Our policies'!$P$4:$P$503,_calc!$E$778)),IF(LEN(INDEX('Vendor COIs'!$N$4:$N$503,(_calc!$E$778-500)))=0,"",INDEX('Vendor COIs'!$N$4:$N$503,(_calc!$E$778-500)))))</f>
        <v/>
      </c>
    </row>
    <row r="777">
      <c r="A777" s="46">
        <f>IF(_calc!$E$779="","",IF(_calc!$E$779&lt;=500,IF(LEN(INDEX('Our policies'!$A$4:$A$503,_calc!$E$779))=0,"",INDEX('Our policies'!$A$4:$A$503,_calc!$E$779)),"COI – "&amp;IF(LEN(INDEX('Vendor COIs'!$A$4:$A$503,(_calc!$E$779-500)))=0,"",INDEX('Vendor COIs'!$A$4:$A$503,(_calc!$E$779-500)))&amp;" – "&amp;IF(LEN(INDEX('Vendor COIs'!$B$4:$B$503,(_calc!$E$779-500)))=0,"",INDEX('Vendor COIs'!$B$4:$B$503,(_calc!$E$779-500)))))</f>
        <v/>
      </c>
      <c r="B777" s="46">
        <f>IF(_calc!$E$779="","",IF(_calc!$E$779&lt;=500,IF(ISNUMBER(INDEX('Our policies'!$J$4:$J$503,_calc!$E$779)),TEXT(INDEX('Our policies'!$J$4:$J$503,_calc!$E$779),"yyyy-mm-dd"),""),IF(ISNUMBER(INDEX('Vendor COIs'!$H$4:$H$503,(_calc!$E$779-500))),TEXT(INDEX('Vendor COIs'!$H$4:$H$503,(_calc!$E$779-500)),"yyyy-mm-dd"),"")))</f>
        <v/>
      </c>
      <c r="C777" s="46">
        <f>IF(_calc!$E$779="","",IF(_calc!$E$779&lt;=500,"Insurance","Certificate of insurance"))</f>
        <v/>
      </c>
      <c r="D777" s="46">
        <f>IF(_calc!$E$779="","",IF(_calc!$E$779&lt;=500,IF(ISNUMBER(INDEX('Our policies'!$I$4:$I$503,_calc!$E$779)),TEXT(INDEX('Our policies'!$I$4:$I$503,_calc!$E$779),"yyyy-mm-dd"),""),""))</f>
        <v/>
      </c>
      <c r="E777" s="46">
        <f>IF(_calc!$E$779="","",IF(_calc!$E$779&lt;=500,IF(LEN(INDEX('Our policies'!$Q$4:$Q$503,_calc!$E$779))=0,"",INDEX('Our policies'!$Q$4:$Q$503,_calc!$E$779)),"Medium"))</f>
        <v/>
      </c>
      <c r="F777" s="46">
        <f>IF(_calc!$E$779="","",IF(_calc!$E$779&lt;=500,TRIM(IF(LEN(IF(LEN(INDEX('Our policies'!$B$4:$B$503,_calc!$E$779))=0,"",INDEX('Our policies'!$B$4:$B$503,_calc!$E$779)))=0,"","Cover: "&amp;IF(LEN(INDEX('Our policies'!$B$4:$B$503,_calc!$E$779))=0,"",INDEX('Our policies'!$B$4:$B$503,_calc!$E$779))&amp;". ")&amp;IF(LEN(IF(LEN(INDEX('Our policies'!$C$4:$C$503,_calc!$E$779))=0,"",INDEX('Our policies'!$C$4:$C$503,_calc!$E$779)))=0,"","Insurer: "&amp;IF(LEN(INDEX('Our policies'!$C$4:$C$503,_calc!$E$779))=0,"",INDEX('Our policies'!$C$4:$C$503,_calc!$E$779))&amp;". ")&amp;IF(LEN(IF(LEN(INDEX('Our policies'!$D$4:$D$503,_calc!$E$779))=0,"",INDEX('Our policies'!$D$4:$D$503,_calc!$E$779)))=0,"","Broker: "&amp;IF(LEN(INDEX('Our policies'!$D$4:$D$503,_calc!$E$779))=0,"",INDEX('Our policies'!$D$4:$D$503,_calc!$E$779))&amp;". ")&amp;IF(LEN(IF(LEN(INDEX('Our policies'!$E$4:$E$503,_calc!$E$779))=0,"",INDEX('Our policies'!$E$4:$E$503,_calc!$E$779)))=0,"","Policy no.: "&amp;IF(LEN(INDEX('Our policies'!$E$4:$E$503,_calc!$E$779))=0,"",INDEX('Our policies'!$E$4:$E$503,_calc!$E$779))&amp;". ")&amp;IF(LEN(IF(LEN(INDEX('Our policies'!$S$4:$S$503,_calc!$E$779))=0,"",INDEX('Our policies'!$S$4:$S$503,_calc!$E$779)))=0,"",IF(LEN(INDEX('Our policies'!$S$4:$S$503,_calc!$E$779))=0,"",INDEX('Our policies'!$S$4:$S$503,_calc!$E$779)))),TRIM(IF(LEN(IF(LEN(INDEX('Vendor COIs'!$C$4:$C$503,(_calc!$E$779-500)))=0,"",INDEX('Vendor COIs'!$C$4:$C$503,(_calc!$E$779-500))))=0,"","Insurer: "&amp;IF(LEN(INDEX('Vendor COIs'!$C$4:$C$503,(_calc!$E$779-500)))=0,"",INDEX('Vendor COIs'!$C$4:$C$503,(_calc!$E$779-500)))&amp;". ")&amp;IF(LEN(IF(LEN(INDEX('Vendor COIs'!$D$4:$D$503,(_calc!$E$779-500)))=0,"",INDEX('Vendor COIs'!$D$4:$D$503,(_calc!$E$779-500))))=0,"","Policy no.: "&amp;IF(LEN(INDEX('Vendor COIs'!$D$4:$D$503,(_calc!$E$779-500)))=0,"",INDEX('Vendor COIs'!$D$4:$D$503,(_calc!$E$779-500)))&amp;". ")&amp;IF(LEN(IF(LEN(INDEX('Vendor COIs'!$F$4:$F$503,(_calc!$E$779-500)))=0,"",INDEX('Vendor COIs'!$F$4:$F$503,(_calc!$E$779-500))))=0,"","Meets minimum: "&amp;IF(LEN(INDEX('Vendor COIs'!$F$4:$F$503,(_calc!$E$779-500)))=0,"",INDEX('Vendor COIs'!$F$4:$F$503,(_calc!$E$779-500)))&amp;". ")&amp;IF(LEN(IF(LEN(INDEX('Vendor COIs'!$G$4:$G$503,(_calc!$E$779-500)))=0,"",INDEX('Vendor COIs'!$G$4:$G$503,(_calc!$E$779-500))))=0,"","Additional insured: "&amp;IF(LEN(INDEX('Vendor COIs'!$G$4:$G$503,(_calc!$E$779-500)))=0,"",INDEX('Vendor COIs'!$G$4:$G$503,(_calc!$E$779-500)))&amp;". ")&amp;IF(LEN(IF(LEN(INDEX('Vendor COIs'!$M$4:$M$503,(_calc!$E$779-500)))=0,"",INDEX('Vendor COIs'!$M$4:$M$503,(_calc!$E$779-500))))=0,"","Vendor contact: "&amp;IF(LEN(INDEX('Vendor COIs'!$M$4:$M$503,(_calc!$E$779-500)))=0,"",INDEX('Vendor COIs'!$M$4:$M$503,(_calc!$E$779-500)))&amp;". ")&amp;IF(LEN(IF(LEN(INDEX('Vendor COIs'!$P$4:$P$503,(_calc!$E$779-500)))=0,"",INDEX('Vendor COIs'!$P$4:$P$503,(_calc!$E$779-500))))=0,"",IF(LEN(INDEX('Vendor COIs'!$P$4:$P$503,(_calc!$E$779-500)))=0,"",INDEX('Vendor COIs'!$P$4:$P$503,(_calc!$E$779-500)))))))</f>
        <v/>
      </c>
      <c r="G777" s="46">
        <f>IF(_calc!$E$779="","",IF(_calc!$E$779&lt;=500,IF(LEN(INDEX('Our policies'!$R$4:$R$503,_calc!$E$779))=0,"",INDEX('Our policies'!$R$4:$R$503,_calc!$E$779)),IF(LEN(INDEX('Vendor COIs'!$O$4:$O$503,(_calc!$E$779-500)))=0,"",INDEX('Vendor COIs'!$O$4:$O$503,(_calc!$E$779-500)))))</f>
        <v/>
      </c>
      <c r="H777" s="46">
        <f>IF(_calc!$E$779="","",IF(_calc!$E$779&lt;=500,IF(LEN(INDEX('Our policies'!$G$4:$G$503,_calc!$E$779))=0,"",INDEX('Our policies'!$G$4:$G$503,_calc!$E$779)),""))</f>
        <v/>
      </c>
      <c r="I777" s="46">
        <f>IF(_calc!$E$779="","",IF(_calc!$E$779&lt;=500,IF(LEN(INDEX('Our policies'!$H$4:$H$503,_calc!$E$779))=0,"",INDEX('Our policies'!$H$4:$H$503,_calc!$E$779)),""))</f>
        <v/>
      </c>
      <c r="K777" s="46">
        <f>IF(_calc!$E$779="","",IF(_calc!$E$779&lt;=500,IF(LEN(INDEX('Our policies'!$P$4:$P$503,_calc!$E$779))=0,"",INDEX('Our policies'!$P$4:$P$503,_calc!$E$779)),IF(LEN(INDEX('Vendor COIs'!$N$4:$N$503,(_calc!$E$779-500)))=0,"",INDEX('Vendor COIs'!$N$4:$N$503,(_calc!$E$779-500)))))</f>
        <v/>
      </c>
    </row>
    <row r="778">
      <c r="A778" s="46">
        <f>IF(_calc!$E$780="","",IF(_calc!$E$780&lt;=500,IF(LEN(INDEX('Our policies'!$A$4:$A$503,_calc!$E$780))=0,"",INDEX('Our policies'!$A$4:$A$503,_calc!$E$780)),"COI – "&amp;IF(LEN(INDEX('Vendor COIs'!$A$4:$A$503,(_calc!$E$780-500)))=0,"",INDEX('Vendor COIs'!$A$4:$A$503,(_calc!$E$780-500)))&amp;" – "&amp;IF(LEN(INDEX('Vendor COIs'!$B$4:$B$503,(_calc!$E$780-500)))=0,"",INDEX('Vendor COIs'!$B$4:$B$503,(_calc!$E$780-500)))))</f>
        <v/>
      </c>
      <c r="B778" s="46">
        <f>IF(_calc!$E$780="","",IF(_calc!$E$780&lt;=500,IF(ISNUMBER(INDEX('Our policies'!$J$4:$J$503,_calc!$E$780)),TEXT(INDEX('Our policies'!$J$4:$J$503,_calc!$E$780),"yyyy-mm-dd"),""),IF(ISNUMBER(INDEX('Vendor COIs'!$H$4:$H$503,(_calc!$E$780-500))),TEXT(INDEX('Vendor COIs'!$H$4:$H$503,(_calc!$E$780-500)),"yyyy-mm-dd"),"")))</f>
        <v/>
      </c>
      <c r="C778" s="46">
        <f>IF(_calc!$E$780="","",IF(_calc!$E$780&lt;=500,"Insurance","Certificate of insurance"))</f>
        <v/>
      </c>
      <c r="D778" s="46">
        <f>IF(_calc!$E$780="","",IF(_calc!$E$780&lt;=500,IF(ISNUMBER(INDEX('Our policies'!$I$4:$I$503,_calc!$E$780)),TEXT(INDEX('Our policies'!$I$4:$I$503,_calc!$E$780),"yyyy-mm-dd"),""),""))</f>
        <v/>
      </c>
      <c r="E778" s="46">
        <f>IF(_calc!$E$780="","",IF(_calc!$E$780&lt;=500,IF(LEN(INDEX('Our policies'!$Q$4:$Q$503,_calc!$E$780))=0,"",INDEX('Our policies'!$Q$4:$Q$503,_calc!$E$780)),"Medium"))</f>
        <v/>
      </c>
      <c r="F778" s="46">
        <f>IF(_calc!$E$780="","",IF(_calc!$E$780&lt;=500,TRIM(IF(LEN(IF(LEN(INDEX('Our policies'!$B$4:$B$503,_calc!$E$780))=0,"",INDEX('Our policies'!$B$4:$B$503,_calc!$E$780)))=0,"","Cover: "&amp;IF(LEN(INDEX('Our policies'!$B$4:$B$503,_calc!$E$780))=0,"",INDEX('Our policies'!$B$4:$B$503,_calc!$E$780))&amp;". ")&amp;IF(LEN(IF(LEN(INDEX('Our policies'!$C$4:$C$503,_calc!$E$780))=0,"",INDEX('Our policies'!$C$4:$C$503,_calc!$E$780)))=0,"","Insurer: "&amp;IF(LEN(INDEX('Our policies'!$C$4:$C$503,_calc!$E$780))=0,"",INDEX('Our policies'!$C$4:$C$503,_calc!$E$780))&amp;". ")&amp;IF(LEN(IF(LEN(INDEX('Our policies'!$D$4:$D$503,_calc!$E$780))=0,"",INDEX('Our policies'!$D$4:$D$503,_calc!$E$780)))=0,"","Broker: "&amp;IF(LEN(INDEX('Our policies'!$D$4:$D$503,_calc!$E$780))=0,"",INDEX('Our policies'!$D$4:$D$503,_calc!$E$780))&amp;". ")&amp;IF(LEN(IF(LEN(INDEX('Our policies'!$E$4:$E$503,_calc!$E$780))=0,"",INDEX('Our policies'!$E$4:$E$503,_calc!$E$780)))=0,"","Policy no.: "&amp;IF(LEN(INDEX('Our policies'!$E$4:$E$503,_calc!$E$780))=0,"",INDEX('Our policies'!$E$4:$E$503,_calc!$E$780))&amp;". ")&amp;IF(LEN(IF(LEN(INDEX('Our policies'!$S$4:$S$503,_calc!$E$780))=0,"",INDEX('Our policies'!$S$4:$S$503,_calc!$E$780)))=0,"",IF(LEN(INDEX('Our policies'!$S$4:$S$503,_calc!$E$780))=0,"",INDEX('Our policies'!$S$4:$S$503,_calc!$E$780)))),TRIM(IF(LEN(IF(LEN(INDEX('Vendor COIs'!$C$4:$C$503,(_calc!$E$780-500)))=0,"",INDEX('Vendor COIs'!$C$4:$C$503,(_calc!$E$780-500))))=0,"","Insurer: "&amp;IF(LEN(INDEX('Vendor COIs'!$C$4:$C$503,(_calc!$E$780-500)))=0,"",INDEX('Vendor COIs'!$C$4:$C$503,(_calc!$E$780-500)))&amp;". ")&amp;IF(LEN(IF(LEN(INDEX('Vendor COIs'!$D$4:$D$503,(_calc!$E$780-500)))=0,"",INDEX('Vendor COIs'!$D$4:$D$503,(_calc!$E$780-500))))=0,"","Policy no.: "&amp;IF(LEN(INDEX('Vendor COIs'!$D$4:$D$503,(_calc!$E$780-500)))=0,"",INDEX('Vendor COIs'!$D$4:$D$503,(_calc!$E$780-500)))&amp;". ")&amp;IF(LEN(IF(LEN(INDEX('Vendor COIs'!$F$4:$F$503,(_calc!$E$780-500)))=0,"",INDEX('Vendor COIs'!$F$4:$F$503,(_calc!$E$780-500))))=0,"","Meets minimum: "&amp;IF(LEN(INDEX('Vendor COIs'!$F$4:$F$503,(_calc!$E$780-500)))=0,"",INDEX('Vendor COIs'!$F$4:$F$503,(_calc!$E$780-500)))&amp;". ")&amp;IF(LEN(IF(LEN(INDEX('Vendor COIs'!$G$4:$G$503,(_calc!$E$780-500)))=0,"",INDEX('Vendor COIs'!$G$4:$G$503,(_calc!$E$780-500))))=0,"","Additional insured: "&amp;IF(LEN(INDEX('Vendor COIs'!$G$4:$G$503,(_calc!$E$780-500)))=0,"",INDEX('Vendor COIs'!$G$4:$G$503,(_calc!$E$780-500)))&amp;". ")&amp;IF(LEN(IF(LEN(INDEX('Vendor COIs'!$M$4:$M$503,(_calc!$E$780-500)))=0,"",INDEX('Vendor COIs'!$M$4:$M$503,(_calc!$E$780-500))))=0,"","Vendor contact: "&amp;IF(LEN(INDEX('Vendor COIs'!$M$4:$M$503,(_calc!$E$780-500)))=0,"",INDEX('Vendor COIs'!$M$4:$M$503,(_calc!$E$780-500)))&amp;". ")&amp;IF(LEN(IF(LEN(INDEX('Vendor COIs'!$P$4:$P$503,(_calc!$E$780-500)))=0,"",INDEX('Vendor COIs'!$P$4:$P$503,(_calc!$E$780-500))))=0,"",IF(LEN(INDEX('Vendor COIs'!$P$4:$P$503,(_calc!$E$780-500)))=0,"",INDEX('Vendor COIs'!$P$4:$P$503,(_calc!$E$780-500)))))))</f>
        <v/>
      </c>
      <c r="G778" s="46">
        <f>IF(_calc!$E$780="","",IF(_calc!$E$780&lt;=500,IF(LEN(INDEX('Our policies'!$R$4:$R$503,_calc!$E$780))=0,"",INDEX('Our policies'!$R$4:$R$503,_calc!$E$780)),IF(LEN(INDEX('Vendor COIs'!$O$4:$O$503,(_calc!$E$780-500)))=0,"",INDEX('Vendor COIs'!$O$4:$O$503,(_calc!$E$780-500)))))</f>
        <v/>
      </c>
      <c r="H778" s="46">
        <f>IF(_calc!$E$780="","",IF(_calc!$E$780&lt;=500,IF(LEN(INDEX('Our policies'!$G$4:$G$503,_calc!$E$780))=0,"",INDEX('Our policies'!$G$4:$G$503,_calc!$E$780)),""))</f>
        <v/>
      </c>
      <c r="I778" s="46">
        <f>IF(_calc!$E$780="","",IF(_calc!$E$780&lt;=500,IF(LEN(INDEX('Our policies'!$H$4:$H$503,_calc!$E$780))=0,"",INDEX('Our policies'!$H$4:$H$503,_calc!$E$780)),""))</f>
        <v/>
      </c>
      <c r="K778" s="46">
        <f>IF(_calc!$E$780="","",IF(_calc!$E$780&lt;=500,IF(LEN(INDEX('Our policies'!$P$4:$P$503,_calc!$E$780))=0,"",INDEX('Our policies'!$P$4:$P$503,_calc!$E$780)),IF(LEN(INDEX('Vendor COIs'!$N$4:$N$503,(_calc!$E$780-500)))=0,"",INDEX('Vendor COIs'!$N$4:$N$503,(_calc!$E$780-500)))))</f>
        <v/>
      </c>
    </row>
    <row r="779">
      <c r="A779" s="46">
        <f>IF(_calc!$E$781="","",IF(_calc!$E$781&lt;=500,IF(LEN(INDEX('Our policies'!$A$4:$A$503,_calc!$E$781))=0,"",INDEX('Our policies'!$A$4:$A$503,_calc!$E$781)),"COI – "&amp;IF(LEN(INDEX('Vendor COIs'!$A$4:$A$503,(_calc!$E$781-500)))=0,"",INDEX('Vendor COIs'!$A$4:$A$503,(_calc!$E$781-500)))&amp;" – "&amp;IF(LEN(INDEX('Vendor COIs'!$B$4:$B$503,(_calc!$E$781-500)))=0,"",INDEX('Vendor COIs'!$B$4:$B$503,(_calc!$E$781-500)))))</f>
        <v/>
      </c>
      <c r="B779" s="46">
        <f>IF(_calc!$E$781="","",IF(_calc!$E$781&lt;=500,IF(ISNUMBER(INDEX('Our policies'!$J$4:$J$503,_calc!$E$781)),TEXT(INDEX('Our policies'!$J$4:$J$503,_calc!$E$781),"yyyy-mm-dd"),""),IF(ISNUMBER(INDEX('Vendor COIs'!$H$4:$H$503,(_calc!$E$781-500))),TEXT(INDEX('Vendor COIs'!$H$4:$H$503,(_calc!$E$781-500)),"yyyy-mm-dd"),"")))</f>
        <v/>
      </c>
      <c r="C779" s="46">
        <f>IF(_calc!$E$781="","",IF(_calc!$E$781&lt;=500,"Insurance","Certificate of insurance"))</f>
        <v/>
      </c>
      <c r="D779" s="46">
        <f>IF(_calc!$E$781="","",IF(_calc!$E$781&lt;=500,IF(ISNUMBER(INDEX('Our policies'!$I$4:$I$503,_calc!$E$781)),TEXT(INDEX('Our policies'!$I$4:$I$503,_calc!$E$781),"yyyy-mm-dd"),""),""))</f>
        <v/>
      </c>
      <c r="E779" s="46">
        <f>IF(_calc!$E$781="","",IF(_calc!$E$781&lt;=500,IF(LEN(INDEX('Our policies'!$Q$4:$Q$503,_calc!$E$781))=0,"",INDEX('Our policies'!$Q$4:$Q$503,_calc!$E$781)),"Medium"))</f>
        <v/>
      </c>
      <c r="F779" s="46">
        <f>IF(_calc!$E$781="","",IF(_calc!$E$781&lt;=500,TRIM(IF(LEN(IF(LEN(INDEX('Our policies'!$B$4:$B$503,_calc!$E$781))=0,"",INDEX('Our policies'!$B$4:$B$503,_calc!$E$781)))=0,"","Cover: "&amp;IF(LEN(INDEX('Our policies'!$B$4:$B$503,_calc!$E$781))=0,"",INDEX('Our policies'!$B$4:$B$503,_calc!$E$781))&amp;". ")&amp;IF(LEN(IF(LEN(INDEX('Our policies'!$C$4:$C$503,_calc!$E$781))=0,"",INDEX('Our policies'!$C$4:$C$503,_calc!$E$781)))=0,"","Insurer: "&amp;IF(LEN(INDEX('Our policies'!$C$4:$C$503,_calc!$E$781))=0,"",INDEX('Our policies'!$C$4:$C$503,_calc!$E$781))&amp;". ")&amp;IF(LEN(IF(LEN(INDEX('Our policies'!$D$4:$D$503,_calc!$E$781))=0,"",INDEX('Our policies'!$D$4:$D$503,_calc!$E$781)))=0,"","Broker: "&amp;IF(LEN(INDEX('Our policies'!$D$4:$D$503,_calc!$E$781))=0,"",INDEX('Our policies'!$D$4:$D$503,_calc!$E$781))&amp;". ")&amp;IF(LEN(IF(LEN(INDEX('Our policies'!$E$4:$E$503,_calc!$E$781))=0,"",INDEX('Our policies'!$E$4:$E$503,_calc!$E$781)))=0,"","Policy no.: "&amp;IF(LEN(INDEX('Our policies'!$E$4:$E$503,_calc!$E$781))=0,"",INDEX('Our policies'!$E$4:$E$503,_calc!$E$781))&amp;". ")&amp;IF(LEN(IF(LEN(INDEX('Our policies'!$S$4:$S$503,_calc!$E$781))=0,"",INDEX('Our policies'!$S$4:$S$503,_calc!$E$781)))=0,"",IF(LEN(INDEX('Our policies'!$S$4:$S$503,_calc!$E$781))=0,"",INDEX('Our policies'!$S$4:$S$503,_calc!$E$781)))),TRIM(IF(LEN(IF(LEN(INDEX('Vendor COIs'!$C$4:$C$503,(_calc!$E$781-500)))=0,"",INDEX('Vendor COIs'!$C$4:$C$503,(_calc!$E$781-500))))=0,"","Insurer: "&amp;IF(LEN(INDEX('Vendor COIs'!$C$4:$C$503,(_calc!$E$781-500)))=0,"",INDEX('Vendor COIs'!$C$4:$C$503,(_calc!$E$781-500)))&amp;". ")&amp;IF(LEN(IF(LEN(INDEX('Vendor COIs'!$D$4:$D$503,(_calc!$E$781-500)))=0,"",INDEX('Vendor COIs'!$D$4:$D$503,(_calc!$E$781-500))))=0,"","Policy no.: "&amp;IF(LEN(INDEX('Vendor COIs'!$D$4:$D$503,(_calc!$E$781-500)))=0,"",INDEX('Vendor COIs'!$D$4:$D$503,(_calc!$E$781-500)))&amp;". ")&amp;IF(LEN(IF(LEN(INDEX('Vendor COIs'!$F$4:$F$503,(_calc!$E$781-500)))=0,"",INDEX('Vendor COIs'!$F$4:$F$503,(_calc!$E$781-500))))=0,"","Meets minimum: "&amp;IF(LEN(INDEX('Vendor COIs'!$F$4:$F$503,(_calc!$E$781-500)))=0,"",INDEX('Vendor COIs'!$F$4:$F$503,(_calc!$E$781-500)))&amp;". ")&amp;IF(LEN(IF(LEN(INDEX('Vendor COIs'!$G$4:$G$503,(_calc!$E$781-500)))=0,"",INDEX('Vendor COIs'!$G$4:$G$503,(_calc!$E$781-500))))=0,"","Additional insured: "&amp;IF(LEN(INDEX('Vendor COIs'!$G$4:$G$503,(_calc!$E$781-500)))=0,"",INDEX('Vendor COIs'!$G$4:$G$503,(_calc!$E$781-500)))&amp;". ")&amp;IF(LEN(IF(LEN(INDEX('Vendor COIs'!$M$4:$M$503,(_calc!$E$781-500)))=0,"",INDEX('Vendor COIs'!$M$4:$M$503,(_calc!$E$781-500))))=0,"","Vendor contact: "&amp;IF(LEN(INDEX('Vendor COIs'!$M$4:$M$503,(_calc!$E$781-500)))=0,"",INDEX('Vendor COIs'!$M$4:$M$503,(_calc!$E$781-500)))&amp;". ")&amp;IF(LEN(IF(LEN(INDEX('Vendor COIs'!$P$4:$P$503,(_calc!$E$781-500)))=0,"",INDEX('Vendor COIs'!$P$4:$P$503,(_calc!$E$781-500))))=0,"",IF(LEN(INDEX('Vendor COIs'!$P$4:$P$503,(_calc!$E$781-500)))=0,"",INDEX('Vendor COIs'!$P$4:$P$503,(_calc!$E$781-500)))))))</f>
        <v/>
      </c>
      <c r="G779" s="46">
        <f>IF(_calc!$E$781="","",IF(_calc!$E$781&lt;=500,IF(LEN(INDEX('Our policies'!$R$4:$R$503,_calc!$E$781))=0,"",INDEX('Our policies'!$R$4:$R$503,_calc!$E$781)),IF(LEN(INDEX('Vendor COIs'!$O$4:$O$503,(_calc!$E$781-500)))=0,"",INDEX('Vendor COIs'!$O$4:$O$503,(_calc!$E$781-500)))))</f>
        <v/>
      </c>
      <c r="H779" s="46">
        <f>IF(_calc!$E$781="","",IF(_calc!$E$781&lt;=500,IF(LEN(INDEX('Our policies'!$G$4:$G$503,_calc!$E$781))=0,"",INDEX('Our policies'!$G$4:$G$503,_calc!$E$781)),""))</f>
        <v/>
      </c>
      <c r="I779" s="46">
        <f>IF(_calc!$E$781="","",IF(_calc!$E$781&lt;=500,IF(LEN(INDEX('Our policies'!$H$4:$H$503,_calc!$E$781))=0,"",INDEX('Our policies'!$H$4:$H$503,_calc!$E$781)),""))</f>
        <v/>
      </c>
      <c r="K779" s="46">
        <f>IF(_calc!$E$781="","",IF(_calc!$E$781&lt;=500,IF(LEN(INDEX('Our policies'!$P$4:$P$503,_calc!$E$781))=0,"",INDEX('Our policies'!$P$4:$P$503,_calc!$E$781)),IF(LEN(INDEX('Vendor COIs'!$N$4:$N$503,(_calc!$E$781-500)))=0,"",INDEX('Vendor COIs'!$N$4:$N$503,(_calc!$E$781-500)))))</f>
        <v/>
      </c>
    </row>
    <row r="780">
      <c r="A780" s="46">
        <f>IF(_calc!$E$782="","",IF(_calc!$E$782&lt;=500,IF(LEN(INDEX('Our policies'!$A$4:$A$503,_calc!$E$782))=0,"",INDEX('Our policies'!$A$4:$A$503,_calc!$E$782)),"COI – "&amp;IF(LEN(INDEX('Vendor COIs'!$A$4:$A$503,(_calc!$E$782-500)))=0,"",INDEX('Vendor COIs'!$A$4:$A$503,(_calc!$E$782-500)))&amp;" – "&amp;IF(LEN(INDEX('Vendor COIs'!$B$4:$B$503,(_calc!$E$782-500)))=0,"",INDEX('Vendor COIs'!$B$4:$B$503,(_calc!$E$782-500)))))</f>
        <v/>
      </c>
      <c r="B780" s="46">
        <f>IF(_calc!$E$782="","",IF(_calc!$E$782&lt;=500,IF(ISNUMBER(INDEX('Our policies'!$J$4:$J$503,_calc!$E$782)),TEXT(INDEX('Our policies'!$J$4:$J$503,_calc!$E$782),"yyyy-mm-dd"),""),IF(ISNUMBER(INDEX('Vendor COIs'!$H$4:$H$503,(_calc!$E$782-500))),TEXT(INDEX('Vendor COIs'!$H$4:$H$503,(_calc!$E$782-500)),"yyyy-mm-dd"),"")))</f>
        <v/>
      </c>
      <c r="C780" s="46">
        <f>IF(_calc!$E$782="","",IF(_calc!$E$782&lt;=500,"Insurance","Certificate of insurance"))</f>
        <v/>
      </c>
      <c r="D780" s="46">
        <f>IF(_calc!$E$782="","",IF(_calc!$E$782&lt;=500,IF(ISNUMBER(INDEX('Our policies'!$I$4:$I$503,_calc!$E$782)),TEXT(INDEX('Our policies'!$I$4:$I$503,_calc!$E$782),"yyyy-mm-dd"),""),""))</f>
        <v/>
      </c>
      <c r="E780" s="46">
        <f>IF(_calc!$E$782="","",IF(_calc!$E$782&lt;=500,IF(LEN(INDEX('Our policies'!$Q$4:$Q$503,_calc!$E$782))=0,"",INDEX('Our policies'!$Q$4:$Q$503,_calc!$E$782)),"Medium"))</f>
        <v/>
      </c>
      <c r="F780" s="46">
        <f>IF(_calc!$E$782="","",IF(_calc!$E$782&lt;=500,TRIM(IF(LEN(IF(LEN(INDEX('Our policies'!$B$4:$B$503,_calc!$E$782))=0,"",INDEX('Our policies'!$B$4:$B$503,_calc!$E$782)))=0,"","Cover: "&amp;IF(LEN(INDEX('Our policies'!$B$4:$B$503,_calc!$E$782))=0,"",INDEX('Our policies'!$B$4:$B$503,_calc!$E$782))&amp;". ")&amp;IF(LEN(IF(LEN(INDEX('Our policies'!$C$4:$C$503,_calc!$E$782))=0,"",INDEX('Our policies'!$C$4:$C$503,_calc!$E$782)))=0,"","Insurer: "&amp;IF(LEN(INDEX('Our policies'!$C$4:$C$503,_calc!$E$782))=0,"",INDEX('Our policies'!$C$4:$C$503,_calc!$E$782))&amp;". ")&amp;IF(LEN(IF(LEN(INDEX('Our policies'!$D$4:$D$503,_calc!$E$782))=0,"",INDEX('Our policies'!$D$4:$D$503,_calc!$E$782)))=0,"","Broker: "&amp;IF(LEN(INDEX('Our policies'!$D$4:$D$503,_calc!$E$782))=0,"",INDEX('Our policies'!$D$4:$D$503,_calc!$E$782))&amp;". ")&amp;IF(LEN(IF(LEN(INDEX('Our policies'!$E$4:$E$503,_calc!$E$782))=0,"",INDEX('Our policies'!$E$4:$E$503,_calc!$E$782)))=0,"","Policy no.: "&amp;IF(LEN(INDEX('Our policies'!$E$4:$E$503,_calc!$E$782))=0,"",INDEX('Our policies'!$E$4:$E$503,_calc!$E$782))&amp;". ")&amp;IF(LEN(IF(LEN(INDEX('Our policies'!$S$4:$S$503,_calc!$E$782))=0,"",INDEX('Our policies'!$S$4:$S$503,_calc!$E$782)))=0,"",IF(LEN(INDEX('Our policies'!$S$4:$S$503,_calc!$E$782))=0,"",INDEX('Our policies'!$S$4:$S$503,_calc!$E$782)))),TRIM(IF(LEN(IF(LEN(INDEX('Vendor COIs'!$C$4:$C$503,(_calc!$E$782-500)))=0,"",INDEX('Vendor COIs'!$C$4:$C$503,(_calc!$E$782-500))))=0,"","Insurer: "&amp;IF(LEN(INDEX('Vendor COIs'!$C$4:$C$503,(_calc!$E$782-500)))=0,"",INDEX('Vendor COIs'!$C$4:$C$503,(_calc!$E$782-500)))&amp;". ")&amp;IF(LEN(IF(LEN(INDEX('Vendor COIs'!$D$4:$D$503,(_calc!$E$782-500)))=0,"",INDEX('Vendor COIs'!$D$4:$D$503,(_calc!$E$782-500))))=0,"","Policy no.: "&amp;IF(LEN(INDEX('Vendor COIs'!$D$4:$D$503,(_calc!$E$782-500)))=0,"",INDEX('Vendor COIs'!$D$4:$D$503,(_calc!$E$782-500)))&amp;". ")&amp;IF(LEN(IF(LEN(INDEX('Vendor COIs'!$F$4:$F$503,(_calc!$E$782-500)))=0,"",INDEX('Vendor COIs'!$F$4:$F$503,(_calc!$E$782-500))))=0,"","Meets minimum: "&amp;IF(LEN(INDEX('Vendor COIs'!$F$4:$F$503,(_calc!$E$782-500)))=0,"",INDEX('Vendor COIs'!$F$4:$F$503,(_calc!$E$782-500)))&amp;". ")&amp;IF(LEN(IF(LEN(INDEX('Vendor COIs'!$G$4:$G$503,(_calc!$E$782-500)))=0,"",INDEX('Vendor COIs'!$G$4:$G$503,(_calc!$E$782-500))))=0,"","Additional insured: "&amp;IF(LEN(INDEX('Vendor COIs'!$G$4:$G$503,(_calc!$E$782-500)))=0,"",INDEX('Vendor COIs'!$G$4:$G$503,(_calc!$E$782-500)))&amp;". ")&amp;IF(LEN(IF(LEN(INDEX('Vendor COIs'!$M$4:$M$503,(_calc!$E$782-500)))=0,"",INDEX('Vendor COIs'!$M$4:$M$503,(_calc!$E$782-500))))=0,"","Vendor contact: "&amp;IF(LEN(INDEX('Vendor COIs'!$M$4:$M$503,(_calc!$E$782-500)))=0,"",INDEX('Vendor COIs'!$M$4:$M$503,(_calc!$E$782-500)))&amp;". ")&amp;IF(LEN(IF(LEN(INDEX('Vendor COIs'!$P$4:$P$503,(_calc!$E$782-500)))=0,"",INDEX('Vendor COIs'!$P$4:$P$503,(_calc!$E$782-500))))=0,"",IF(LEN(INDEX('Vendor COIs'!$P$4:$P$503,(_calc!$E$782-500)))=0,"",INDEX('Vendor COIs'!$P$4:$P$503,(_calc!$E$782-500)))))))</f>
        <v/>
      </c>
      <c r="G780" s="46">
        <f>IF(_calc!$E$782="","",IF(_calc!$E$782&lt;=500,IF(LEN(INDEX('Our policies'!$R$4:$R$503,_calc!$E$782))=0,"",INDEX('Our policies'!$R$4:$R$503,_calc!$E$782)),IF(LEN(INDEX('Vendor COIs'!$O$4:$O$503,(_calc!$E$782-500)))=0,"",INDEX('Vendor COIs'!$O$4:$O$503,(_calc!$E$782-500)))))</f>
        <v/>
      </c>
      <c r="H780" s="46">
        <f>IF(_calc!$E$782="","",IF(_calc!$E$782&lt;=500,IF(LEN(INDEX('Our policies'!$G$4:$G$503,_calc!$E$782))=0,"",INDEX('Our policies'!$G$4:$G$503,_calc!$E$782)),""))</f>
        <v/>
      </c>
      <c r="I780" s="46">
        <f>IF(_calc!$E$782="","",IF(_calc!$E$782&lt;=500,IF(LEN(INDEX('Our policies'!$H$4:$H$503,_calc!$E$782))=0,"",INDEX('Our policies'!$H$4:$H$503,_calc!$E$782)),""))</f>
        <v/>
      </c>
      <c r="K780" s="46">
        <f>IF(_calc!$E$782="","",IF(_calc!$E$782&lt;=500,IF(LEN(INDEX('Our policies'!$P$4:$P$503,_calc!$E$782))=0,"",INDEX('Our policies'!$P$4:$P$503,_calc!$E$782)),IF(LEN(INDEX('Vendor COIs'!$N$4:$N$503,(_calc!$E$782-500)))=0,"",INDEX('Vendor COIs'!$N$4:$N$503,(_calc!$E$782-500)))))</f>
        <v/>
      </c>
    </row>
    <row r="781">
      <c r="A781" s="46">
        <f>IF(_calc!$E$783="","",IF(_calc!$E$783&lt;=500,IF(LEN(INDEX('Our policies'!$A$4:$A$503,_calc!$E$783))=0,"",INDEX('Our policies'!$A$4:$A$503,_calc!$E$783)),"COI – "&amp;IF(LEN(INDEX('Vendor COIs'!$A$4:$A$503,(_calc!$E$783-500)))=0,"",INDEX('Vendor COIs'!$A$4:$A$503,(_calc!$E$783-500)))&amp;" – "&amp;IF(LEN(INDEX('Vendor COIs'!$B$4:$B$503,(_calc!$E$783-500)))=0,"",INDEX('Vendor COIs'!$B$4:$B$503,(_calc!$E$783-500)))))</f>
        <v/>
      </c>
      <c r="B781" s="46">
        <f>IF(_calc!$E$783="","",IF(_calc!$E$783&lt;=500,IF(ISNUMBER(INDEX('Our policies'!$J$4:$J$503,_calc!$E$783)),TEXT(INDEX('Our policies'!$J$4:$J$503,_calc!$E$783),"yyyy-mm-dd"),""),IF(ISNUMBER(INDEX('Vendor COIs'!$H$4:$H$503,(_calc!$E$783-500))),TEXT(INDEX('Vendor COIs'!$H$4:$H$503,(_calc!$E$783-500)),"yyyy-mm-dd"),"")))</f>
        <v/>
      </c>
      <c r="C781" s="46">
        <f>IF(_calc!$E$783="","",IF(_calc!$E$783&lt;=500,"Insurance","Certificate of insurance"))</f>
        <v/>
      </c>
      <c r="D781" s="46">
        <f>IF(_calc!$E$783="","",IF(_calc!$E$783&lt;=500,IF(ISNUMBER(INDEX('Our policies'!$I$4:$I$503,_calc!$E$783)),TEXT(INDEX('Our policies'!$I$4:$I$503,_calc!$E$783),"yyyy-mm-dd"),""),""))</f>
        <v/>
      </c>
      <c r="E781" s="46">
        <f>IF(_calc!$E$783="","",IF(_calc!$E$783&lt;=500,IF(LEN(INDEX('Our policies'!$Q$4:$Q$503,_calc!$E$783))=0,"",INDEX('Our policies'!$Q$4:$Q$503,_calc!$E$783)),"Medium"))</f>
        <v/>
      </c>
      <c r="F781" s="46">
        <f>IF(_calc!$E$783="","",IF(_calc!$E$783&lt;=500,TRIM(IF(LEN(IF(LEN(INDEX('Our policies'!$B$4:$B$503,_calc!$E$783))=0,"",INDEX('Our policies'!$B$4:$B$503,_calc!$E$783)))=0,"","Cover: "&amp;IF(LEN(INDEX('Our policies'!$B$4:$B$503,_calc!$E$783))=0,"",INDEX('Our policies'!$B$4:$B$503,_calc!$E$783))&amp;". ")&amp;IF(LEN(IF(LEN(INDEX('Our policies'!$C$4:$C$503,_calc!$E$783))=0,"",INDEX('Our policies'!$C$4:$C$503,_calc!$E$783)))=0,"","Insurer: "&amp;IF(LEN(INDEX('Our policies'!$C$4:$C$503,_calc!$E$783))=0,"",INDEX('Our policies'!$C$4:$C$503,_calc!$E$783))&amp;". ")&amp;IF(LEN(IF(LEN(INDEX('Our policies'!$D$4:$D$503,_calc!$E$783))=0,"",INDEX('Our policies'!$D$4:$D$503,_calc!$E$783)))=0,"","Broker: "&amp;IF(LEN(INDEX('Our policies'!$D$4:$D$503,_calc!$E$783))=0,"",INDEX('Our policies'!$D$4:$D$503,_calc!$E$783))&amp;". ")&amp;IF(LEN(IF(LEN(INDEX('Our policies'!$E$4:$E$503,_calc!$E$783))=0,"",INDEX('Our policies'!$E$4:$E$503,_calc!$E$783)))=0,"","Policy no.: "&amp;IF(LEN(INDEX('Our policies'!$E$4:$E$503,_calc!$E$783))=0,"",INDEX('Our policies'!$E$4:$E$503,_calc!$E$783))&amp;". ")&amp;IF(LEN(IF(LEN(INDEX('Our policies'!$S$4:$S$503,_calc!$E$783))=0,"",INDEX('Our policies'!$S$4:$S$503,_calc!$E$783)))=0,"",IF(LEN(INDEX('Our policies'!$S$4:$S$503,_calc!$E$783))=0,"",INDEX('Our policies'!$S$4:$S$503,_calc!$E$783)))),TRIM(IF(LEN(IF(LEN(INDEX('Vendor COIs'!$C$4:$C$503,(_calc!$E$783-500)))=0,"",INDEX('Vendor COIs'!$C$4:$C$503,(_calc!$E$783-500))))=0,"","Insurer: "&amp;IF(LEN(INDEX('Vendor COIs'!$C$4:$C$503,(_calc!$E$783-500)))=0,"",INDEX('Vendor COIs'!$C$4:$C$503,(_calc!$E$783-500)))&amp;". ")&amp;IF(LEN(IF(LEN(INDEX('Vendor COIs'!$D$4:$D$503,(_calc!$E$783-500)))=0,"",INDEX('Vendor COIs'!$D$4:$D$503,(_calc!$E$783-500))))=0,"","Policy no.: "&amp;IF(LEN(INDEX('Vendor COIs'!$D$4:$D$503,(_calc!$E$783-500)))=0,"",INDEX('Vendor COIs'!$D$4:$D$503,(_calc!$E$783-500)))&amp;". ")&amp;IF(LEN(IF(LEN(INDEX('Vendor COIs'!$F$4:$F$503,(_calc!$E$783-500)))=0,"",INDEX('Vendor COIs'!$F$4:$F$503,(_calc!$E$783-500))))=0,"","Meets minimum: "&amp;IF(LEN(INDEX('Vendor COIs'!$F$4:$F$503,(_calc!$E$783-500)))=0,"",INDEX('Vendor COIs'!$F$4:$F$503,(_calc!$E$783-500)))&amp;". ")&amp;IF(LEN(IF(LEN(INDEX('Vendor COIs'!$G$4:$G$503,(_calc!$E$783-500)))=0,"",INDEX('Vendor COIs'!$G$4:$G$503,(_calc!$E$783-500))))=0,"","Additional insured: "&amp;IF(LEN(INDEX('Vendor COIs'!$G$4:$G$503,(_calc!$E$783-500)))=0,"",INDEX('Vendor COIs'!$G$4:$G$503,(_calc!$E$783-500)))&amp;". ")&amp;IF(LEN(IF(LEN(INDEX('Vendor COIs'!$M$4:$M$503,(_calc!$E$783-500)))=0,"",INDEX('Vendor COIs'!$M$4:$M$503,(_calc!$E$783-500))))=0,"","Vendor contact: "&amp;IF(LEN(INDEX('Vendor COIs'!$M$4:$M$503,(_calc!$E$783-500)))=0,"",INDEX('Vendor COIs'!$M$4:$M$503,(_calc!$E$783-500)))&amp;". ")&amp;IF(LEN(IF(LEN(INDEX('Vendor COIs'!$P$4:$P$503,(_calc!$E$783-500)))=0,"",INDEX('Vendor COIs'!$P$4:$P$503,(_calc!$E$783-500))))=0,"",IF(LEN(INDEX('Vendor COIs'!$P$4:$P$503,(_calc!$E$783-500)))=0,"",INDEX('Vendor COIs'!$P$4:$P$503,(_calc!$E$783-500)))))))</f>
        <v/>
      </c>
      <c r="G781" s="46">
        <f>IF(_calc!$E$783="","",IF(_calc!$E$783&lt;=500,IF(LEN(INDEX('Our policies'!$R$4:$R$503,_calc!$E$783))=0,"",INDEX('Our policies'!$R$4:$R$503,_calc!$E$783)),IF(LEN(INDEX('Vendor COIs'!$O$4:$O$503,(_calc!$E$783-500)))=0,"",INDEX('Vendor COIs'!$O$4:$O$503,(_calc!$E$783-500)))))</f>
        <v/>
      </c>
      <c r="H781" s="46">
        <f>IF(_calc!$E$783="","",IF(_calc!$E$783&lt;=500,IF(LEN(INDEX('Our policies'!$G$4:$G$503,_calc!$E$783))=0,"",INDEX('Our policies'!$G$4:$G$503,_calc!$E$783)),""))</f>
        <v/>
      </c>
      <c r="I781" s="46">
        <f>IF(_calc!$E$783="","",IF(_calc!$E$783&lt;=500,IF(LEN(INDEX('Our policies'!$H$4:$H$503,_calc!$E$783))=0,"",INDEX('Our policies'!$H$4:$H$503,_calc!$E$783)),""))</f>
        <v/>
      </c>
      <c r="K781" s="46">
        <f>IF(_calc!$E$783="","",IF(_calc!$E$783&lt;=500,IF(LEN(INDEX('Our policies'!$P$4:$P$503,_calc!$E$783))=0,"",INDEX('Our policies'!$P$4:$P$503,_calc!$E$783)),IF(LEN(INDEX('Vendor COIs'!$N$4:$N$503,(_calc!$E$783-500)))=0,"",INDEX('Vendor COIs'!$N$4:$N$503,(_calc!$E$783-500)))))</f>
        <v/>
      </c>
    </row>
    <row r="782">
      <c r="A782" s="46">
        <f>IF(_calc!$E$784="","",IF(_calc!$E$784&lt;=500,IF(LEN(INDEX('Our policies'!$A$4:$A$503,_calc!$E$784))=0,"",INDEX('Our policies'!$A$4:$A$503,_calc!$E$784)),"COI – "&amp;IF(LEN(INDEX('Vendor COIs'!$A$4:$A$503,(_calc!$E$784-500)))=0,"",INDEX('Vendor COIs'!$A$4:$A$503,(_calc!$E$784-500)))&amp;" – "&amp;IF(LEN(INDEX('Vendor COIs'!$B$4:$B$503,(_calc!$E$784-500)))=0,"",INDEX('Vendor COIs'!$B$4:$B$503,(_calc!$E$784-500)))))</f>
        <v/>
      </c>
      <c r="B782" s="46">
        <f>IF(_calc!$E$784="","",IF(_calc!$E$784&lt;=500,IF(ISNUMBER(INDEX('Our policies'!$J$4:$J$503,_calc!$E$784)),TEXT(INDEX('Our policies'!$J$4:$J$503,_calc!$E$784),"yyyy-mm-dd"),""),IF(ISNUMBER(INDEX('Vendor COIs'!$H$4:$H$503,(_calc!$E$784-500))),TEXT(INDEX('Vendor COIs'!$H$4:$H$503,(_calc!$E$784-500)),"yyyy-mm-dd"),"")))</f>
        <v/>
      </c>
      <c r="C782" s="46">
        <f>IF(_calc!$E$784="","",IF(_calc!$E$784&lt;=500,"Insurance","Certificate of insurance"))</f>
        <v/>
      </c>
      <c r="D782" s="46">
        <f>IF(_calc!$E$784="","",IF(_calc!$E$784&lt;=500,IF(ISNUMBER(INDEX('Our policies'!$I$4:$I$503,_calc!$E$784)),TEXT(INDEX('Our policies'!$I$4:$I$503,_calc!$E$784),"yyyy-mm-dd"),""),""))</f>
        <v/>
      </c>
      <c r="E782" s="46">
        <f>IF(_calc!$E$784="","",IF(_calc!$E$784&lt;=500,IF(LEN(INDEX('Our policies'!$Q$4:$Q$503,_calc!$E$784))=0,"",INDEX('Our policies'!$Q$4:$Q$503,_calc!$E$784)),"Medium"))</f>
        <v/>
      </c>
      <c r="F782" s="46">
        <f>IF(_calc!$E$784="","",IF(_calc!$E$784&lt;=500,TRIM(IF(LEN(IF(LEN(INDEX('Our policies'!$B$4:$B$503,_calc!$E$784))=0,"",INDEX('Our policies'!$B$4:$B$503,_calc!$E$784)))=0,"","Cover: "&amp;IF(LEN(INDEX('Our policies'!$B$4:$B$503,_calc!$E$784))=0,"",INDEX('Our policies'!$B$4:$B$503,_calc!$E$784))&amp;". ")&amp;IF(LEN(IF(LEN(INDEX('Our policies'!$C$4:$C$503,_calc!$E$784))=0,"",INDEX('Our policies'!$C$4:$C$503,_calc!$E$784)))=0,"","Insurer: "&amp;IF(LEN(INDEX('Our policies'!$C$4:$C$503,_calc!$E$784))=0,"",INDEX('Our policies'!$C$4:$C$503,_calc!$E$784))&amp;". ")&amp;IF(LEN(IF(LEN(INDEX('Our policies'!$D$4:$D$503,_calc!$E$784))=0,"",INDEX('Our policies'!$D$4:$D$503,_calc!$E$784)))=0,"","Broker: "&amp;IF(LEN(INDEX('Our policies'!$D$4:$D$503,_calc!$E$784))=0,"",INDEX('Our policies'!$D$4:$D$503,_calc!$E$784))&amp;". ")&amp;IF(LEN(IF(LEN(INDEX('Our policies'!$E$4:$E$503,_calc!$E$784))=0,"",INDEX('Our policies'!$E$4:$E$503,_calc!$E$784)))=0,"","Policy no.: "&amp;IF(LEN(INDEX('Our policies'!$E$4:$E$503,_calc!$E$784))=0,"",INDEX('Our policies'!$E$4:$E$503,_calc!$E$784))&amp;". ")&amp;IF(LEN(IF(LEN(INDEX('Our policies'!$S$4:$S$503,_calc!$E$784))=0,"",INDEX('Our policies'!$S$4:$S$503,_calc!$E$784)))=0,"",IF(LEN(INDEX('Our policies'!$S$4:$S$503,_calc!$E$784))=0,"",INDEX('Our policies'!$S$4:$S$503,_calc!$E$784)))),TRIM(IF(LEN(IF(LEN(INDEX('Vendor COIs'!$C$4:$C$503,(_calc!$E$784-500)))=0,"",INDEX('Vendor COIs'!$C$4:$C$503,(_calc!$E$784-500))))=0,"","Insurer: "&amp;IF(LEN(INDEX('Vendor COIs'!$C$4:$C$503,(_calc!$E$784-500)))=0,"",INDEX('Vendor COIs'!$C$4:$C$503,(_calc!$E$784-500)))&amp;". ")&amp;IF(LEN(IF(LEN(INDEX('Vendor COIs'!$D$4:$D$503,(_calc!$E$784-500)))=0,"",INDEX('Vendor COIs'!$D$4:$D$503,(_calc!$E$784-500))))=0,"","Policy no.: "&amp;IF(LEN(INDEX('Vendor COIs'!$D$4:$D$503,(_calc!$E$784-500)))=0,"",INDEX('Vendor COIs'!$D$4:$D$503,(_calc!$E$784-500)))&amp;". ")&amp;IF(LEN(IF(LEN(INDEX('Vendor COIs'!$F$4:$F$503,(_calc!$E$784-500)))=0,"",INDEX('Vendor COIs'!$F$4:$F$503,(_calc!$E$784-500))))=0,"","Meets minimum: "&amp;IF(LEN(INDEX('Vendor COIs'!$F$4:$F$503,(_calc!$E$784-500)))=0,"",INDEX('Vendor COIs'!$F$4:$F$503,(_calc!$E$784-500)))&amp;". ")&amp;IF(LEN(IF(LEN(INDEX('Vendor COIs'!$G$4:$G$503,(_calc!$E$784-500)))=0,"",INDEX('Vendor COIs'!$G$4:$G$503,(_calc!$E$784-500))))=0,"","Additional insured: "&amp;IF(LEN(INDEX('Vendor COIs'!$G$4:$G$503,(_calc!$E$784-500)))=0,"",INDEX('Vendor COIs'!$G$4:$G$503,(_calc!$E$784-500)))&amp;". ")&amp;IF(LEN(IF(LEN(INDEX('Vendor COIs'!$M$4:$M$503,(_calc!$E$784-500)))=0,"",INDEX('Vendor COIs'!$M$4:$M$503,(_calc!$E$784-500))))=0,"","Vendor contact: "&amp;IF(LEN(INDEX('Vendor COIs'!$M$4:$M$503,(_calc!$E$784-500)))=0,"",INDEX('Vendor COIs'!$M$4:$M$503,(_calc!$E$784-500)))&amp;". ")&amp;IF(LEN(IF(LEN(INDEX('Vendor COIs'!$P$4:$P$503,(_calc!$E$784-500)))=0,"",INDEX('Vendor COIs'!$P$4:$P$503,(_calc!$E$784-500))))=0,"",IF(LEN(INDEX('Vendor COIs'!$P$4:$P$503,(_calc!$E$784-500)))=0,"",INDEX('Vendor COIs'!$P$4:$P$503,(_calc!$E$784-500)))))))</f>
        <v/>
      </c>
      <c r="G782" s="46">
        <f>IF(_calc!$E$784="","",IF(_calc!$E$784&lt;=500,IF(LEN(INDEX('Our policies'!$R$4:$R$503,_calc!$E$784))=0,"",INDEX('Our policies'!$R$4:$R$503,_calc!$E$784)),IF(LEN(INDEX('Vendor COIs'!$O$4:$O$503,(_calc!$E$784-500)))=0,"",INDEX('Vendor COIs'!$O$4:$O$503,(_calc!$E$784-500)))))</f>
        <v/>
      </c>
      <c r="H782" s="46">
        <f>IF(_calc!$E$784="","",IF(_calc!$E$784&lt;=500,IF(LEN(INDEX('Our policies'!$G$4:$G$503,_calc!$E$784))=0,"",INDEX('Our policies'!$G$4:$G$503,_calc!$E$784)),""))</f>
        <v/>
      </c>
      <c r="I782" s="46">
        <f>IF(_calc!$E$784="","",IF(_calc!$E$784&lt;=500,IF(LEN(INDEX('Our policies'!$H$4:$H$503,_calc!$E$784))=0,"",INDEX('Our policies'!$H$4:$H$503,_calc!$E$784)),""))</f>
        <v/>
      </c>
      <c r="K782" s="46">
        <f>IF(_calc!$E$784="","",IF(_calc!$E$784&lt;=500,IF(LEN(INDEX('Our policies'!$P$4:$P$503,_calc!$E$784))=0,"",INDEX('Our policies'!$P$4:$P$503,_calc!$E$784)),IF(LEN(INDEX('Vendor COIs'!$N$4:$N$503,(_calc!$E$784-500)))=0,"",INDEX('Vendor COIs'!$N$4:$N$503,(_calc!$E$784-500)))))</f>
        <v/>
      </c>
    </row>
    <row r="783">
      <c r="A783" s="46">
        <f>IF(_calc!$E$785="","",IF(_calc!$E$785&lt;=500,IF(LEN(INDEX('Our policies'!$A$4:$A$503,_calc!$E$785))=0,"",INDEX('Our policies'!$A$4:$A$503,_calc!$E$785)),"COI – "&amp;IF(LEN(INDEX('Vendor COIs'!$A$4:$A$503,(_calc!$E$785-500)))=0,"",INDEX('Vendor COIs'!$A$4:$A$503,(_calc!$E$785-500)))&amp;" – "&amp;IF(LEN(INDEX('Vendor COIs'!$B$4:$B$503,(_calc!$E$785-500)))=0,"",INDEX('Vendor COIs'!$B$4:$B$503,(_calc!$E$785-500)))))</f>
        <v/>
      </c>
      <c r="B783" s="46">
        <f>IF(_calc!$E$785="","",IF(_calc!$E$785&lt;=500,IF(ISNUMBER(INDEX('Our policies'!$J$4:$J$503,_calc!$E$785)),TEXT(INDEX('Our policies'!$J$4:$J$503,_calc!$E$785),"yyyy-mm-dd"),""),IF(ISNUMBER(INDEX('Vendor COIs'!$H$4:$H$503,(_calc!$E$785-500))),TEXT(INDEX('Vendor COIs'!$H$4:$H$503,(_calc!$E$785-500)),"yyyy-mm-dd"),"")))</f>
        <v/>
      </c>
      <c r="C783" s="46">
        <f>IF(_calc!$E$785="","",IF(_calc!$E$785&lt;=500,"Insurance","Certificate of insurance"))</f>
        <v/>
      </c>
      <c r="D783" s="46">
        <f>IF(_calc!$E$785="","",IF(_calc!$E$785&lt;=500,IF(ISNUMBER(INDEX('Our policies'!$I$4:$I$503,_calc!$E$785)),TEXT(INDEX('Our policies'!$I$4:$I$503,_calc!$E$785),"yyyy-mm-dd"),""),""))</f>
        <v/>
      </c>
      <c r="E783" s="46">
        <f>IF(_calc!$E$785="","",IF(_calc!$E$785&lt;=500,IF(LEN(INDEX('Our policies'!$Q$4:$Q$503,_calc!$E$785))=0,"",INDEX('Our policies'!$Q$4:$Q$503,_calc!$E$785)),"Medium"))</f>
        <v/>
      </c>
      <c r="F783" s="46">
        <f>IF(_calc!$E$785="","",IF(_calc!$E$785&lt;=500,TRIM(IF(LEN(IF(LEN(INDEX('Our policies'!$B$4:$B$503,_calc!$E$785))=0,"",INDEX('Our policies'!$B$4:$B$503,_calc!$E$785)))=0,"","Cover: "&amp;IF(LEN(INDEX('Our policies'!$B$4:$B$503,_calc!$E$785))=0,"",INDEX('Our policies'!$B$4:$B$503,_calc!$E$785))&amp;". ")&amp;IF(LEN(IF(LEN(INDEX('Our policies'!$C$4:$C$503,_calc!$E$785))=0,"",INDEX('Our policies'!$C$4:$C$503,_calc!$E$785)))=0,"","Insurer: "&amp;IF(LEN(INDEX('Our policies'!$C$4:$C$503,_calc!$E$785))=0,"",INDEX('Our policies'!$C$4:$C$503,_calc!$E$785))&amp;". ")&amp;IF(LEN(IF(LEN(INDEX('Our policies'!$D$4:$D$503,_calc!$E$785))=0,"",INDEX('Our policies'!$D$4:$D$503,_calc!$E$785)))=0,"","Broker: "&amp;IF(LEN(INDEX('Our policies'!$D$4:$D$503,_calc!$E$785))=0,"",INDEX('Our policies'!$D$4:$D$503,_calc!$E$785))&amp;". ")&amp;IF(LEN(IF(LEN(INDEX('Our policies'!$E$4:$E$503,_calc!$E$785))=0,"",INDEX('Our policies'!$E$4:$E$503,_calc!$E$785)))=0,"","Policy no.: "&amp;IF(LEN(INDEX('Our policies'!$E$4:$E$503,_calc!$E$785))=0,"",INDEX('Our policies'!$E$4:$E$503,_calc!$E$785))&amp;". ")&amp;IF(LEN(IF(LEN(INDEX('Our policies'!$S$4:$S$503,_calc!$E$785))=0,"",INDEX('Our policies'!$S$4:$S$503,_calc!$E$785)))=0,"",IF(LEN(INDEX('Our policies'!$S$4:$S$503,_calc!$E$785))=0,"",INDEX('Our policies'!$S$4:$S$503,_calc!$E$785)))),TRIM(IF(LEN(IF(LEN(INDEX('Vendor COIs'!$C$4:$C$503,(_calc!$E$785-500)))=0,"",INDEX('Vendor COIs'!$C$4:$C$503,(_calc!$E$785-500))))=0,"","Insurer: "&amp;IF(LEN(INDEX('Vendor COIs'!$C$4:$C$503,(_calc!$E$785-500)))=0,"",INDEX('Vendor COIs'!$C$4:$C$503,(_calc!$E$785-500)))&amp;". ")&amp;IF(LEN(IF(LEN(INDEX('Vendor COIs'!$D$4:$D$503,(_calc!$E$785-500)))=0,"",INDEX('Vendor COIs'!$D$4:$D$503,(_calc!$E$785-500))))=0,"","Policy no.: "&amp;IF(LEN(INDEX('Vendor COIs'!$D$4:$D$503,(_calc!$E$785-500)))=0,"",INDEX('Vendor COIs'!$D$4:$D$503,(_calc!$E$785-500)))&amp;". ")&amp;IF(LEN(IF(LEN(INDEX('Vendor COIs'!$F$4:$F$503,(_calc!$E$785-500)))=0,"",INDEX('Vendor COIs'!$F$4:$F$503,(_calc!$E$785-500))))=0,"","Meets minimum: "&amp;IF(LEN(INDEX('Vendor COIs'!$F$4:$F$503,(_calc!$E$785-500)))=0,"",INDEX('Vendor COIs'!$F$4:$F$503,(_calc!$E$785-500)))&amp;". ")&amp;IF(LEN(IF(LEN(INDEX('Vendor COIs'!$G$4:$G$503,(_calc!$E$785-500)))=0,"",INDEX('Vendor COIs'!$G$4:$G$503,(_calc!$E$785-500))))=0,"","Additional insured: "&amp;IF(LEN(INDEX('Vendor COIs'!$G$4:$G$503,(_calc!$E$785-500)))=0,"",INDEX('Vendor COIs'!$G$4:$G$503,(_calc!$E$785-500)))&amp;". ")&amp;IF(LEN(IF(LEN(INDEX('Vendor COIs'!$M$4:$M$503,(_calc!$E$785-500)))=0,"",INDEX('Vendor COIs'!$M$4:$M$503,(_calc!$E$785-500))))=0,"","Vendor contact: "&amp;IF(LEN(INDEX('Vendor COIs'!$M$4:$M$503,(_calc!$E$785-500)))=0,"",INDEX('Vendor COIs'!$M$4:$M$503,(_calc!$E$785-500)))&amp;". ")&amp;IF(LEN(IF(LEN(INDEX('Vendor COIs'!$P$4:$P$503,(_calc!$E$785-500)))=0,"",INDEX('Vendor COIs'!$P$4:$P$503,(_calc!$E$785-500))))=0,"",IF(LEN(INDEX('Vendor COIs'!$P$4:$P$503,(_calc!$E$785-500)))=0,"",INDEX('Vendor COIs'!$P$4:$P$503,(_calc!$E$785-500)))))))</f>
        <v/>
      </c>
      <c r="G783" s="46">
        <f>IF(_calc!$E$785="","",IF(_calc!$E$785&lt;=500,IF(LEN(INDEX('Our policies'!$R$4:$R$503,_calc!$E$785))=0,"",INDEX('Our policies'!$R$4:$R$503,_calc!$E$785)),IF(LEN(INDEX('Vendor COIs'!$O$4:$O$503,(_calc!$E$785-500)))=0,"",INDEX('Vendor COIs'!$O$4:$O$503,(_calc!$E$785-500)))))</f>
        <v/>
      </c>
      <c r="H783" s="46">
        <f>IF(_calc!$E$785="","",IF(_calc!$E$785&lt;=500,IF(LEN(INDEX('Our policies'!$G$4:$G$503,_calc!$E$785))=0,"",INDEX('Our policies'!$G$4:$G$503,_calc!$E$785)),""))</f>
        <v/>
      </c>
      <c r="I783" s="46">
        <f>IF(_calc!$E$785="","",IF(_calc!$E$785&lt;=500,IF(LEN(INDEX('Our policies'!$H$4:$H$503,_calc!$E$785))=0,"",INDEX('Our policies'!$H$4:$H$503,_calc!$E$785)),""))</f>
        <v/>
      </c>
      <c r="K783" s="46">
        <f>IF(_calc!$E$785="","",IF(_calc!$E$785&lt;=500,IF(LEN(INDEX('Our policies'!$P$4:$P$503,_calc!$E$785))=0,"",INDEX('Our policies'!$P$4:$P$503,_calc!$E$785)),IF(LEN(INDEX('Vendor COIs'!$N$4:$N$503,(_calc!$E$785-500)))=0,"",INDEX('Vendor COIs'!$N$4:$N$503,(_calc!$E$785-500)))))</f>
        <v/>
      </c>
    </row>
    <row r="784">
      <c r="A784" s="46">
        <f>IF(_calc!$E$786="","",IF(_calc!$E$786&lt;=500,IF(LEN(INDEX('Our policies'!$A$4:$A$503,_calc!$E$786))=0,"",INDEX('Our policies'!$A$4:$A$503,_calc!$E$786)),"COI – "&amp;IF(LEN(INDEX('Vendor COIs'!$A$4:$A$503,(_calc!$E$786-500)))=0,"",INDEX('Vendor COIs'!$A$4:$A$503,(_calc!$E$786-500)))&amp;" – "&amp;IF(LEN(INDEX('Vendor COIs'!$B$4:$B$503,(_calc!$E$786-500)))=0,"",INDEX('Vendor COIs'!$B$4:$B$503,(_calc!$E$786-500)))))</f>
        <v/>
      </c>
      <c r="B784" s="46">
        <f>IF(_calc!$E$786="","",IF(_calc!$E$786&lt;=500,IF(ISNUMBER(INDEX('Our policies'!$J$4:$J$503,_calc!$E$786)),TEXT(INDEX('Our policies'!$J$4:$J$503,_calc!$E$786),"yyyy-mm-dd"),""),IF(ISNUMBER(INDEX('Vendor COIs'!$H$4:$H$503,(_calc!$E$786-500))),TEXT(INDEX('Vendor COIs'!$H$4:$H$503,(_calc!$E$786-500)),"yyyy-mm-dd"),"")))</f>
        <v/>
      </c>
      <c r="C784" s="46">
        <f>IF(_calc!$E$786="","",IF(_calc!$E$786&lt;=500,"Insurance","Certificate of insurance"))</f>
        <v/>
      </c>
      <c r="D784" s="46">
        <f>IF(_calc!$E$786="","",IF(_calc!$E$786&lt;=500,IF(ISNUMBER(INDEX('Our policies'!$I$4:$I$503,_calc!$E$786)),TEXT(INDEX('Our policies'!$I$4:$I$503,_calc!$E$786),"yyyy-mm-dd"),""),""))</f>
        <v/>
      </c>
      <c r="E784" s="46">
        <f>IF(_calc!$E$786="","",IF(_calc!$E$786&lt;=500,IF(LEN(INDEX('Our policies'!$Q$4:$Q$503,_calc!$E$786))=0,"",INDEX('Our policies'!$Q$4:$Q$503,_calc!$E$786)),"Medium"))</f>
        <v/>
      </c>
      <c r="F784" s="46">
        <f>IF(_calc!$E$786="","",IF(_calc!$E$786&lt;=500,TRIM(IF(LEN(IF(LEN(INDEX('Our policies'!$B$4:$B$503,_calc!$E$786))=0,"",INDEX('Our policies'!$B$4:$B$503,_calc!$E$786)))=0,"","Cover: "&amp;IF(LEN(INDEX('Our policies'!$B$4:$B$503,_calc!$E$786))=0,"",INDEX('Our policies'!$B$4:$B$503,_calc!$E$786))&amp;". ")&amp;IF(LEN(IF(LEN(INDEX('Our policies'!$C$4:$C$503,_calc!$E$786))=0,"",INDEX('Our policies'!$C$4:$C$503,_calc!$E$786)))=0,"","Insurer: "&amp;IF(LEN(INDEX('Our policies'!$C$4:$C$503,_calc!$E$786))=0,"",INDEX('Our policies'!$C$4:$C$503,_calc!$E$786))&amp;". ")&amp;IF(LEN(IF(LEN(INDEX('Our policies'!$D$4:$D$503,_calc!$E$786))=0,"",INDEX('Our policies'!$D$4:$D$503,_calc!$E$786)))=0,"","Broker: "&amp;IF(LEN(INDEX('Our policies'!$D$4:$D$503,_calc!$E$786))=0,"",INDEX('Our policies'!$D$4:$D$503,_calc!$E$786))&amp;". ")&amp;IF(LEN(IF(LEN(INDEX('Our policies'!$E$4:$E$503,_calc!$E$786))=0,"",INDEX('Our policies'!$E$4:$E$503,_calc!$E$786)))=0,"","Policy no.: "&amp;IF(LEN(INDEX('Our policies'!$E$4:$E$503,_calc!$E$786))=0,"",INDEX('Our policies'!$E$4:$E$503,_calc!$E$786))&amp;". ")&amp;IF(LEN(IF(LEN(INDEX('Our policies'!$S$4:$S$503,_calc!$E$786))=0,"",INDEX('Our policies'!$S$4:$S$503,_calc!$E$786)))=0,"",IF(LEN(INDEX('Our policies'!$S$4:$S$503,_calc!$E$786))=0,"",INDEX('Our policies'!$S$4:$S$503,_calc!$E$786)))),TRIM(IF(LEN(IF(LEN(INDEX('Vendor COIs'!$C$4:$C$503,(_calc!$E$786-500)))=0,"",INDEX('Vendor COIs'!$C$4:$C$503,(_calc!$E$786-500))))=0,"","Insurer: "&amp;IF(LEN(INDEX('Vendor COIs'!$C$4:$C$503,(_calc!$E$786-500)))=0,"",INDEX('Vendor COIs'!$C$4:$C$503,(_calc!$E$786-500)))&amp;". ")&amp;IF(LEN(IF(LEN(INDEX('Vendor COIs'!$D$4:$D$503,(_calc!$E$786-500)))=0,"",INDEX('Vendor COIs'!$D$4:$D$503,(_calc!$E$786-500))))=0,"","Policy no.: "&amp;IF(LEN(INDEX('Vendor COIs'!$D$4:$D$503,(_calc!$E$786-500)))=0,"",INDEX('Vendor COIs'!$D$4:$D$503,(_calc!$E$786-500)))&amp;". ")&amp;IF(LEN(IF(LEN(INDEX('Vendor COIs'!$F$4:$F$503,(_calc!$E$786-500)))=0,"",INDEX('Vendor COIs'!$F$4:$F$503,(_calc!$E$786-500))))=0,"","Meets minimum: "&amp;IF(LEN(INDEX('Vendor COIs'!$F$4:$F$503,(_calc!$E$786-500)))=0,"",INDEX('Vendor COIs'!$F$4:$F$503,(_calc!$E$786-500)))&amp;". ")&amp;IF(LEN(IF(LEN(INDEX('Vendor COIs'!$G$4:$G$503,(_calc!$E$786-500)))=0,"",INDEX('Vendor COIs'!$G$4:$G$503,(_calc!$E$786-500))))=0,"","Additional insured: "&amp;IF(LEN(INDEX('Vendor COIs'!$G$4:$G$503,(_calc!$E$786-500)))=0,"",INDEX('Vendor COIs'!$G$4:$G$503,(_calc!$E$786-500)))&amp;". ")&amp;IF(LEN(IF(LEN(INDEX('Vendor COIs'!$M$4:$M$503,(_calc!$E$786-500)))=0,"",INDEX('Vendor COIs'!$M$4:$M$503,(_calc!$E$786-500))))=0,"","Vendor contact: "&amp;IF(LEN(INDEX('Vendor COIs'!$M$4:$M$503,(_calc!$E$786-500)))=0,"",INDEX('Vendor COIs'!$M$4:$M$503,(_calc!$E$786-500)))&amp;". ")&amp;IF(LEN(IF(LEN(INDEX('Vendor COIs'!$P$4:$P$503,(_calc!$E$786-500)))=0,"",INDEX('Vendor COIs'!$P$4:$P$503,(_calc!$E$786-500))))=0,"",IF(LEN(INDEX('Vendor COIs'!$P$4:$P$503,(_calc!$E$786-500)))=0,"",INDEX('Vendor COIs'!$P$4:$P$503,(_calc!$E$786-500)))))))</f>
        <v/>
      </c>
      <c r="G784" s="46">
        <f>IF(_calc!$E$786="","",IF(_calc!$E$786&lt;=500,IF(LEN(INDEX('Our policies'!$R$4:$R$503,_calc!$E$786))=0,"",INDEX('Our policies'!$R$4:$R$503,_calc!$E$786)),IF(LEN(INDEX('Vendor COIs'!$O$4:$O$503,(_calc!$E$786-500)))=0,"",INDEX('Vendor COIs'!$O$4:$O$503,(_calc!$E$786-500)))))</f>
        <v/>
      </c>
      <c r="H784" s="46">
        <f>IF(_calc!$E$786="","",IF(_calc!$E$786&lt;=500,IF(LEN(INDEX('Our policies'!$G$4:$G$503,_calc!$E$786))=0,"",INDEX('Our policies'!$G$4:$G$503,_calc!$E$786)),""))</f>
        <v/>
      </c>
      <c r="I784" s="46">
        <f>IF(_calc!$E$786="","",IF(_calc!$E$786&lt;=500,IF(LEN(INDEX('Our policies'!$H$4:$H$503,_calc!$E$786))=0,"",INDEX('Our policies'!$H$4:$H$503,_calc!$E$786)),""))</f>
        <v/>
      </c>
      <c r="K784" s="46">
        <f>IF(_calc!$E$786="","",IF(_calc!$E$786&lt;=500,IF(LEN(INDEX('Our policies'!$P$4:$P$503,_calc!$E$786))=0,"",INDEX('Our policies'!$P$4:$P$503,_calc!$E$786)),IF(LEN(INDEX('Vendor COIs'!$N$4:$N$503,(_calc!$E$786-500)))=0,"",INDEX('Vendor COIs'!$N$4:$N$503,(_calc!$E$786-500)))))</f>
        <v/>
      </c>
    </row>
    <row r="785">
      <c r="A785" s="46">
        <f>IF(_calc!$E$787="","",IF(_calc!$E$787&lt;=500,IF(LEN(INDEX('Our policies'!$A$4:$A$503,_calc!$E$787))=0,"",INDEX('Our policies'!$A$4:$A$503,_calc!$E$787)),"COI – "&amp;IF(LEN(INDEX('Vendor COIs'!$A$4:$A$503,(_calc!$E$787-500)))=0,"",INDEX('Vendor COIs'!$A$4:$A$503,(_calc!$E$787-500)))&amp;" – "&amp;IF(LEN(INDEX('Vendor COIs'!$B$4:$B$503,(_calc!$E$787-500)))=0,"",INDEX('Vendor COIs'!$B$4:$B$503,(_calc!$E$787-500)))))</f>
        <v/>
      </c>
      <c r="B785" s="46">
        <f>IF(_calc!$E$787="","",IF(_calc!$E$787&lt;=500,IF(ISNUMBER(INDEX('Our policies'!$J$4:$J$503,_calc!$E$787)),TEXT(INDEX('Our policies'!$J$4:$J$503,_calc!$E$787),"yyyy-mm-dd"),""),IF(ISNUMBER(INDEX('Vendor COIs'!$H$4:$H$503,(_calc!$E$787-500))),TEXT(INDEX('Vendor COIs'!$H$4:$H$503,(_calc!$E$787-500)),"yyyy-mm-dd"),"")))</f>
        <v/>
      </c>
      <c r="C785" s="46">
        <f>IF(_calc!$E$787="","",IF(_calc!$E$787&lt;=500,"Insurance","Certificate of insurance"))</f>
        <v/>
      </c>
      <c r="D785" s="46">
        <f>IF(_calc!$E$787="","",IF(_calc!$E$787&lt;=500,IF(ISNUMBER(INDEX('Our policies'!$I$4:$I$503,_calc!$E$787)),TEXT(INDEX('Our policies'!$I$4:$I$503,_calc!$E$787),"yyyy-mm-dd"),""),""))</f>
        <v/>
      </c>
      <c r="E785" s="46">
        <f>IF(_calc!$E$787="","",IF(_calc!$E$787&lt;=500,IF(LEN(INDEX('Our policies'!$Q$4:$Q$503,_calc!$E$787))=0,"",INDEX('Our policies'!$Q$4:$Q$503,_calc!$E$787)),"Medium"))</f>
        <v/>
      </c>
      <c r="F785" s="46">
        <f>IF(_calc!$E$787="","",IF(_calc!$E$787&lt;=500,TRIM(IF(LEN(IF(LEN(INDEX('Our policies'!$B$4:$B$503,_calc!$E$787))=0,"",INDEX('Our policies'!$B$4:$B$503,_calc!$E$787)))=0,"","Cover: "&amp;IF(LEN(INDEX('Our policies'!$B$4:$B$503,_calc!$E$787))=0,"",INDEX('Our policies'!$B$4:$B$503,_calc!$E$787))&amp;". ")&amp;IF(LEN(IF(LEN(INDEX('Our policies'!$C$4:$C$503,_calc!$E$787))=0,"",INDEX('Our policies'!$C$4:$C$503,_calc!$E$787)))=0,"","Insurer: "&amp;IF(LEN(INDEX('Our policies'!$C$4:$C$503,_calc!$E$787))=0,"",INDEX('Our policies'!$C$4:$C$503,_calc!$E$787))&amp;". ")&amp;IF(LEN(IF(LEN(INDEX('Our policies'!$D$4:$D$503,_calc!$E$787))=0,"",INDEX('Our policies'!$D$4:$D$503,_calc!$E$787)))=0,"","Broker: "&amp;IF(LEN(INDEX('Our policies'!$D$4:$D$503,_calc!$E$787))=0,"",INDEX('Our policies'!$D$4:$D$503,_calc!$E$787))&amp;". ")&amp;IF(LEN(IF(LEN(INDEX('Our policies'!$E$4:$E$503,_calc!$E$787))=0,"",INDEX('Our policies'!$E$4:$E$503,_calc!$E$787)))=0,"","Policy no.: "&amp;IF(LEN(INDEX('Our policies'!$E$4:$E$503,_calc!$E$787))=0,"",INDEX('Our policies'!$E$4:$E$503,_calc!$E$787))&amp;". ")&amp;IF(LEN(IF(LEN(INDEX('Our policies'!$S$4:$S$503,_calc!$E$787))=0,"",INDEX('Our policies'!$S$4:$S$503,_calc!$E$787)))=0,"",IF(LEN(INDEX('Our policies'!$S$4:$S$503,_calc!$E$787))=0,"",INDEX('Our policies'!$S$4:$S$503,_calc!$E$787)))),TRIM(IF(LEN(IF(LEN(INDEX('Vendor COIs'!$C$4:$C$503,(_calc!$E$787-500)))=0,"",INDEX('Vendor COIs'!$C$4:$C$503,(_calc!$E$787-500))))=0,"","Insurer: "&amp;IF(LEN(INDEX('Vendor COIs'!$C$4:$C$503,(_calc!$E$787-500)))=0,"",INDEX('Vendor COIs'!$C$4:$C$503,(_calc!$E$787-500)))&amp;". ")&amp;IF(LEN(IF(LEN(INDEX('Vendor COIs'!$D$4:$D$503,(_calc!$E$787-500)))=0,"",INDEX('Vendor COIs'!$D$4:$D$503,(_calc!$E$787-500))))=0,"","Policy no.: "&amp;IF(LEN(INDEX('Vendor COIs'!$D$4:$D$503,(_calc!$E$787-500)))=0,"",INDEX('Vendor COIs'!$D$4:$D$503,(_calc!$E$787-500)))&amp;". ")&amp;IF(LEN(IF(LEN(INDEX('Vendor COIs'!$F$4:$F$503,(_calc!$E$787-500)))=0,"",INDEX('Vendor COIs'!$F$4:$F$503,(_calc!$E$787-500))))=0,"","Meets minimum: "&amp;IF(LEN(INDEX('Vendor COIs'!$F$4:$F$503,(_calc!$E$787-500)))=0,"",INDEX('Vendor COIs'!$F$4:$F$503,(_calc!$E$787-500)))&amp;". ")&amp;IF(LEN(IF(LEN(INDEX('Vendor COIs'!$G$4:$G$503,(_calc!$E$787-500)))=0,"",INDEX('Vendor COIs'!$G$4:$G$503,(_calc!$E$787-500))))=0,"","Additional insured: "&amp;IF(LEN(INDEX('Vendor COIs'!$G$4:$G$503,(_calc!$E$787-500)))=0,"",INDEX('Vendor COIs'!$G$4:$G$503,(_calc!$E$787-500)))&amp;". ")&amp;IF(LEN(IF(LEN(INDEX('Vendor COIs'!$M$4:$M$503,(_calc!$E$787-500)))=0,"",INDEX('Vendor COIs'!$M$4:$M$503,(_calc!$E$787-500))))=0,"","Vendor contact: "&amp;IF(LEN(INDEX('Vendor COIs'!$M$4:$M$503,(_calc!$E$787-500)))=0,"",INDEX('Vendor COIs'!$M$4:$M$503,(_calc!$E$787-500)))&amp;". ")&amp;IF(LEN(IF(LEN(INDEX('Vendor COIs'!$P$4:$P$503,(_calc!$E$787-500)))=0,"",INDEX('Vendor COIs'!$P$4:$P$503,(_calc!$E$787-500))))=0,"",IF(LEN(INDEX('Vendor COIs'!$P$4:$P$503,(_calc!$E$787-500)))=0,"",INDEX('Vendor COIs'!$P$4:$P$503,(_calc!$E$787-500)))))))</f>
        <v/>
      </c>
      <c r="G785" s="46">
        <f>IF(_calc!$E$787="","",IF(_calc!$E$787&lt;=500,IF(LEN(INDEX('Our policies'!$R$4:$R$503,_calc!$E$787))=0,"",INDEX('Our policies'!$R$4:$R$503,_calc!$E$787)),IF(LEN(INDEX('Vendor COIs'!$O$4:$O$503,(_calc!$E$787-500)))=0,"",INDEX('Vendor COIs'!$O$4:$O$503,(_calc!$E$787-500)))))</f>
        <v/>
      </c>
      <c r="H785" s="46">
        <f>IF(_calc!$E$787="","",IF(_calc!$E$787&lt;=500,IF(LEN(INDEX('Our policies'!$G$4:$G$503,_calc!$E$787))=0,"",INDEX('Our policies'!$G$4:$G$503,_calc!$E$787)),""))</f>
        <v/>
      </c>
      <c r="I785" s="46">
        <f>IF(_calc!$E$787="","",IF(_calc!$E$787&lt;=500,IF(LEN(INDEX('Our policies'!$H$4:$H$503,_calc!$E$787))=0,"",INDEX('Our policies'!$H$4:$H$503,_calc!$E$787)),""))</f>
        <v/>
      </c>
      <c r="K785" s="46">
        <f>IF(_calc!$E$787="","",IF(_calc!$E$787&lt;=500,IF(LEN(INDEX('Our policies'!$P$4:$P$503,_calc!$E$787))=0,"",INDEX('Our policies'!$P$4:$P$503,_calc!$E$787)),IF(LEN(INDEX('Vendor COIs'!$N$4:$N$503,(_calc!$E$787-500)))=0,"",INDEX('Vendor COIs'!$N$4:$N$503,(_calc!$E$787-500)))))</f>
        <v/>
      </c>
    </row>
    <row r="786">
      <c r="A786" s="46">
        <f>IF(_calc!$E$788="","",IF(_calc!$E$788&lt;=500,IF(LEN(INDEX('Our policies'!$A$4:$A$503,_calc!$E$788))=0,"",INDEX('Our policies'!$A$4:$A$503,_calc!$E$788)),"COI – "&amp;IF(LEN(INDEX('Vendor COIs'!$A$4:$A$503,(_calc!$E$788-500)))=0,"",INDEX('Vendor COIs'!$A$4:$A$503,(_calc!$E$788-500)))&amp;" – "&amp;IF(LEN(INDEX('Vendor COIs'!$B$4:$B$503,(_calc!$E$788-500)))=0,"",INDEX('Vendor COIs'!$B$4:$B$503,(_calc!$E$788-500)))))</f>
        <v/>
      </c>
      <c r="B786" s="46">
        <f>IF(_calc!$E$788="","",IF(_calc!$E$788&lt;=500,IF(ISNUMBER(INDEX('Our policies'!$J$4:$J$503,_calc!$E$788)),TEXT(INDEX('Our policies'!$J$4:$J$503,_calc!$E$788),"yyyy-mm-dd"),""),IF(ISNUMBER(INDEX('Vendor COIs'!$H$4:$H$503,(_calc!$E$788-500))),TEXT(INDEX('Vendor COIs'!$H$4:$H$503,(_calc!$E$788-500)),"yyyy-mm-dd"),"")))</f>
        <v/>
      </c>
      <c r="C786" s="46">
        <f>IF(_calc!$E$788="","",IF(_calc!$E$788&lt;=500,"Insurance","Certificate of insurance"))</f>
        <v/>
      </c>
      <c r="D786" s="46">
        <f>IF(_calc!$E$788="","",IF(_calc!$E$788&lt;=500,IF(ISNUMBER(INDEX('Our policies'!$I$4:$I$503,_calc!$E$788)),TEXT(INDEX('Our policies'!$I$4:$I$503,_calc!$E$788),"yyyy-mm-dd"),""),""))</f>
        <v/>
      </c>
      <c r="E786" s="46">
        <f>IF(_calc!$E$788="","",IF(_calc!$E$788&lt;=500,IF(LEN(INDEX('Our policies'!$Q$4:$Q$503,_calc!$E$788))=0,"",INDEX('Our policies'!$Q$4:$Q$503,_calc!$E$788)),"Medium"))</f>
        <v/>
      </c>
      <c r="F786" s="46">
        <f>IF(_calc!$E$788="","",IF(_calc!$E$788&lt;=500,TRIM(IF(LEN(IF(LEN(INDEX('Our policies'!$B$4:$B$503,_calc!$E$788))=0,"",INDEX('Our policies'!$B$4:$B$503,_calc!$E$788)))=0,"","Cover: "&amp;IF(LEN(INDEX('Our policies'!$B$4:$B$503,_calc!$E$788))=0,"",INDEX('Our policies'!$B$4:$B$503,_calc!$E$788))&amp;". ")&amp;IF(LEN(IF(LEN(INDEX('Our policies'!$C$4:$C$503,_calc!$E$788))=0,"",INDEX('Our policies'!$C$4:$C$503,_calc!$E$788)))=0,"","Insurer: "&amp;IF(LEN(INDEX('Our policies'!$C$4:$C$503,_calc!$E$788))=0,"",INDEX('Our policies'!$C$4:$C$503,_calc!$E$788))&amp;". ")&amp;IF(LEN(IF(LEN(INDEX('Our policies'!$D$4:$D$503,_calc!$E$788))=0,"",INDEX('Our policies'!$D$4:$D$503,_calc!$E$788)))=0,"","Broker: "&amp;IF(LEN(INDEX('Our policies'!$D$4:$D$503,_calc!$E$788))=0,"",INDEX('Our policies'!$D$4:$D$503,_calc!$E$788))&amp;". ")&amp;IF(LEN(IF(LEN(INDEX('Our policies'!$E$4:$E$503,_calc!$E$788))=0,"",INDEX('Our policies'!$E$4:$E$503,_calc!$E$788)))=0,"","Policy no.: "&amp;IF(LEN(INDEX('Our policies'!$E$4:$E$503,_calc!$E$788))=0,"",INDEX('Our policies'!$E$4:$E$503,_calc!$E$788))&amp;". ")&amp;IF(LEN(IF(LEN(INDEX('Our policies'!$S$4:$S$503,_calc!$E$788))=0,"",INDEX('Our policies'!$S$4:$S$503,_calc!$E$788)))=0,"",IF(LEN(INDEX('Our policies'!$S$4:$S$503,_calc!$E$788))=0,"",INDEX('Our policies'!$S$4:$S$503,_calc!$E$788)))),TRIM(IF(LEN(IF(LEN(INDEX('Vendor COIs'!$C$4:$C$503,(_calc!$E$788-500)))=0,"",INDEX('Vendor COIs'!$C$4:$C$503,(_calc!$E$788-500))))=0,"","Insurer: "&amp;IF(LEN(INDEX('Vendor COIs'!$C$4:$C$503,(_calc!$E$788-500)))=0,"",INDEX('Vendor COIs'!$C$4:$C$503,(_calc!$E$788-500)))&amp;". ")&amp;IF(LEN(IF(LEN(INDEX('Vendor COIs'!$D$4:$D$503,(_calc!$E$788-500)))=0,"",INDEX('Vendor COIs'!$D$4:$D$503,(_calc!$E$788-500))))=0,"","Policy no.: "&amp;IF(LEN(INDEX('Vendor COIs'!$D$4:$D$503,(_calc!$E$788-500)))=0,"",INDEX('Vendor COIs'!$D$4:$D$503,(_calc!$E$788-500)))&amp;". ")&amp;IF(LEN(IF(LEN(INDEX('Vendor COIs'!$F$4:$F$503,(_calc!$E$788-500)))=0,"",INDEX('Vendor COIs'!$F$4:$F$503,(_calc!$E$788-500))))=0,"","Meets minimum: "&amp;IF(LEN(INDEX('Vendor COIs'!$F$4:$F$503,(_calc!$E$788-500)))=0,"",INDEX('Vendor COIs'!$F$4:$F$503,(_calc!$E$788-500)))&amp;". ")&amp;IF(LEN(IF(LEN(INDEX('Vendor COIs'!$G$4:$G$503,(_calc!$E$788-500)))=0,"",INDEX('Vendor COIs'!$G$4:$G$503,(_calc!$E$788-500))))=0,"","Additional insured: "&amp;IF(LEN(INDEX('Vendor COIs'!$G$4:$G$503,(_calc!$E$788-500)))=0,"",INDEX('Vendor COIs'!$G$4:$G$503,(_calc!$E$788-500)))&amp;". ")&amp;IF(LEN(IF(LEN(INDEX('Vendor COIs'!$M$4:$M$503,(_calc!$E$788-500)))=0,"",INDEX('Vendor COIs'!$M$4:$M$503,(_calc!$E$788-500))))=0,"","Vendor contact: "&amp;IF(LEN(INDEX('Vendor COIs'!$M$4:$M$503,(_calc!$E$788-500)))=0,"",INDEX('Vendor COIs'!$M$4:$M$503,(_calc!$E$788-500)))&amp;". ")&amp;IF(LEN(IF(LEN(INDEX('Vendor COIs'!$P$4:$P$503,(_calc!$E$788-500)))=0,"",INDEX('Vendor COIs'!$P$4:$P$503,(_calc!$E$788-500))))=0,"",IF(LEN(INDEX('Vendor COIs'!$P$4:$P$503,(_calc!$E$788-500)))=0,"",INDEX('Vendor COIs'!$P$4:$P$503,(_calc!$E$788-500)))))))</f>
        <v/>
      </c>
      <c r="G786" s="46">
        <f>IF(_calc!$E$788="","",IF(_calc!$E$788&lt;=500,IF(LEN(INDEX('Our policies'!$R$4:$R$503,_calc!$E$788))=0,"",INDEX('Our policies'!$R$4:$R$503,_calc!$E$788)),IF(LEN(INDEX('Vendor COIs'!$O$4:$O$503,(_calc!$E$788-500)))=0,"",INDEX('Vendor COIs'!$O$4:$O$503,(_calc!$E$788-500)))))</f>
        <v/>
      </c>
      <c r="H786" s="46">
        <f>IF(_calc!$E$788="","",IF(_calc!$E$788&lt;=500,IF(LEN(INDEX('Our policies'!$G$4:$G$503,_calc!$E$788))=0,"",INDEX('Our policies'!$G$4:$G$503,_calc!$E$788)),""))</f>
        <v/>
      </c>
      <c r="I786" s="46">
        <f>IF(_calc!$E$788="","",IF(_calc!$E$788&lt;=500,IF(LEN(INDEX('Our policies'!$H$4:$H$503,_calc!$E$788))=0,"",INDEX('Our policies'!$H$4:$H$503,_calc!$E$788)),""))</f>
        <v/>
      </c>
      <c r="K786" s="46">
        <f>IF(_calc!$E$788="","",IF(_calc!$E$788&lt;=500,IF(LEN(INDEX('Our policies'!$P$4:$P$503,_calc!$E$788))=0,"",INDEX('Our policies'!$P$4:$P$503,_calc!$E$788)),IF(LEN(INDEX('Vendor COIs'!$N$4:$N$503,(_calc!$E$788-500)))=0,"",INDEX('Vendor COIs'!$N$4:$N$503,(_calc!$E$788-500)))))</f>
        <v/>
      </c>
    </row>
    <row r="787">
      <c r="A787" s="46">
        <f>IF(_calc!$E$789="","",IF(_calc!$E$789&lt;=500,IF(LEN(INDEX('Our policies'!$A$4:$A$503,_calc!$E$789))=0,"",INDEX('Our policies'!$A$4:$A$503,_calc!$E$789)),"COI – "&amp;IF(LEN(INDEX('Vendor COIs'!$A$4:$A$503,(_calc!$E$789-500)))=0,"",INDEX('Vendor COIs'!$A$4:$A$503,(_calc!$E$789-500)))&amp;" – "&amp;IF(LEN(INDEX('Vendor COIs'!$B$4:$B$503,(_calc!$E$789-500)))=0,"",INDEX('Vendor COIs'!$B$4:$B$503,(_calc!$E$789-500)))))</f>
        <v/>
      </c>
      <c r="B787" s="46">
        <f>IF(_calc!$E$789="","",IF(_calc!$E$789&lt;=500,IF(ISNUMBER(INDEX('Our policies'!$J$4:$J$503,_calc!$E$789)),TEXT(INDEX('Our policies'!$J$4:$J$503,_calc!$E$789),"yyyy-mm-dd"),""),IF(ISNUMBER(INDEX('Vendor COIs'!$H$4:$H$503,(_calc!$E$789-500))),TEXT(INDEX('Vendor COIs'!$H$4:$H$503,(_calc!$E$789-500)),"yyyy-mm-dd"),"")))</f>
        <v/>
      </c>
      <c r="C787" s="46">
        <f>IF(_calc!$E$789="","",IF(_calc!$E$789&lt;=500,"Insurance","Certificate of insurance"))</f>
        <v/>
      </c>
      <c r="D787" s="46">
        <f>IF(_calc!$E$789="","",IF(_calc!$E$789&lt;=500,IF(ISNUMBER(INDEX('Our policies'!$I$4:$I$503,_calc!$E$789)),TEXT(INDEX('Our policies'!$I$4:$I$503,_calc!$E$789),"yyyy-mm-dd"),""),""))</f>
        <v/>
      </c>
      <c r="E787" s="46">
        <f>IF(_calc!$E$789="","",IF(_calc!$E$789&lt;=500,IF(LEN(INDEX('Our policies'!$Q$4:$Q$503,_calc!$E$789))=0,"",INDEX('Our policies'!$Q$4:$Q$503,_calc!$E$789)),"Medium"))</f>
        <v/>
      </c>
      <c r="F787" s="46">
        <f>IF(_calc!$E$789="","",IF(_calc!$E$789&lt;=500,TRIM(IF(LEN(IF(LEN(INDEX('Our policies'!$B$4:$B$503,_calc!$E$789))=0,"",INDEX('Our policies'!$B$4:$B$503,_calc!$E$789)))=0,"","Cover: "&amp;IF(LEN(INDEX('Our policies'!$B$4:$B$503,_calc!$E$789))=0,"",INDEX('Our policies'!$B$4:$B$503,_calc!$E$789))&amp;". ")&amp;IF(LEN(IF(LEN(INDEX('Our policies'!$C$4:$C$503,_calc!$E$789))=0,"",INDEX('Our policies'!$C$4:$C$503,_calc!$E$789)))=0,"","Insurer: "&amp;IF(LEN(INDEX('Our policies'!$C$4:$C$503,_calc!$E$789))=0,"",INDEX('Our policies'!$C$4:$C$503,_calc!$E$789))&amp;". ")&amp;IF(LEN(IF(LEN(INDEX('Our policies'!$D$4:$D$503,_calc!$E$789))=0,"",INDEX('Our policies'!$D$4:$D$503,_calc!$E$789)))=0,"","Broker: "&amp;IF(LEN(INDEX('Our policies'!$D$4:$D$503,_calc!$E$789))=0,"",INDEX('Our policies'!$D$4:$D$503,_calc!$E$789))&amp;". ")&amp;IF(LEN(IF(LEN(INDEX('Our policies'!$E$4:$E$503,_calc!$E$789))=0,"",INDEX('Our policies'!$E$4:$E$503,_calc!$E$789)))=0,"","Policy no.: "&amp;IF(LEN(INDEX('Our policies'!$E$4:$E$503,_calc!$E$789))=0,"",INDEX('Our policies'!$E$4:$E$503,_calc!$E$789))&amp;". ")&amp;IF(LEN(IF(LEN(INDEX('Our policies'!$S$4:$S$503,_calc!$E$789))=0,"",INDEX('Our policies'!$S$4:$S$503,_calc!$E$789)))=0,"",IF(LEN(INDEX('Our policies'!$S$4:$S$503,_calc!$E$789))=0,"",INDEX('Our policies'!$S$4:$S$503,_calc!$E$789)))),TRIM(IF(LEN(IF(LEN(INDEX('Vendor COIs'!$C$4:$C$503,(_calc!$E$789-500)))=0,"",INDEX('Vendor COIs'!$C$4:$C$503,(_calc!$E$789-500))))=0,"","Insurer: "&amp;IF(LEN(INDEX('Vendor COIs'!$C$4:$C$503,(_calc!$E$789-500)))=0,"",INDEX('Vendor COIs'!$C$4:$C$503,(_calc!$E$789-500)))&amp;". ")&amp;IF(LEN(IF(LEN(INDEX('Vendor COIs'!$D$4:$D$503,(_calc!$E$789-500)))=0,"",INDEX('Vendor COIs'!$D$4:$D$503,(_calc!$E$789-500))))=0,"","Policy no.: "&amp;IF(LEN(INDEX('Vendor COIs'!$D$4:$D$503,(_calc!$E$789-500)))=0,"",INDEX('Vendor COIs'!$D$4:$D$503,(_calc!$E$789-500)))&amp;". ")&amp;IF(LEN(IF(LEN(INDEX('Vendor COIs'!$F$4:$F$503,(_calc!$E$789-500)))=0,"",INDEX('Vendor COIs'!$F$4:$F$503,(_calc!$E$789-500))))=0,"","Meets minimum: "&amp;IF(LEN(INDEX('Vendor COIs'!$F$4:$F$503,(_calc!$E$789-500)))=0,"",INDEX('Vendor COIs'!$F$4:$F$503,(_calc!$E$789-500)))&amp;". ")&amp;IF(LEN(IF(LEN(INDEX('Vendor COIs'!$G$4:$G$503,(_calc!$E$789-500)))=0,"",INDEX('Vendor COIs'!$G$4:$G$503,(_calc!$E$789-500))))=0,"","Additional insured: "&amp;IF(LEN(INDEX('Vendor COIs'!$G$4:$G$503,(_calc!$E$789-500)))=0,"",INDEX('Vendor COIs'!$G$4:$G$503,(_calc!$E$789-500)))&amp;". ")&amp;IF(LEN(IF(LEN(INDEX('Vendor COIs'!$M$4:$M$503,(_calc!$E$789-500)))=0,"",INDEX('Vendor COIs'!$M$4:$M$503,(_calc!$E$789-500))))=0,"","Vendor contact: "&amp;IF(LEN(INDEX('Vendor COIs'!$M$4:$M$503,(_calc!$E$789-500)))=0,"",INDEX('Vendor COIs'!$M$4:$M$503,(_calc!$E$789-500)))&amp;". ")&amp;IF(LEN(IF(LEN(INDEX('Vendor COIs'!$P$4:$P$503,(_calc!$E$789-500)))=0,"",INDEX('Vendor COIs'!$P$4:$P$503,(_calc!$E$789-500))))=0,"",IF(LEN(INDEX('Vendor COIs'!$P$4:$P$503,(_calc!$E$789-500)))=0,"",INDEX('Vendor COIs'!$P$4:$P$503,(_calc!$E$789-500)))))))</f>
        <v/>
      </c>
      <c r="G787" s="46">
        <f>IF(_calc!$E$789="","",IF(_calc!$E$789&lt;=500,IF(LEN(INDEX('Our policies'!$R$4:$R$503,_calc!$E$789))=0,"",INDEX('Our policies'!$R$4:$R$503,_calc!$E$789)),IF(LEN(INDEX('Vendor COIs'!$O$4:$O$503,(_calc!$E$789-500)))=0,"",INDEX('Vendor COIs'!$O$4:$O$503,(_calc!$E$789-500)))))</f>
        <v/>
      </c>
      <c r="H787" s="46">
        <f>IF(_calc!$E$789="","",IF(_calc!$E$789&lt;=500,IF(LEN(INDEX('Our policies'!$G$4:$G$503,_calc!$E$789))=0,"",INDEX('Our policies'!$G$4:$G$503,_calc!$E$789)),""))</f>
        <v/>
      </c>
      <c r="I787" s="46">
        <f>IF(_calc!$E$789="","",IF(_calc!$E$789&lt;=500,IF(LEN(INDEX('Our policies'!$H$4:$H$503,_calc!$E$789))=0,"",INDEX('Our policies'!$H$4:$H$503,_calc!$E$789)),""))</f>
        <v/>
      </c>
      <c r="K787" s="46">
        <f>IF(_calc!$E$789="","",IF(_calc!$E$789&lt;=500,IF(LEN(INDEX('Our policies'!$P$4:$P$503,_calc!$E$789))=0,"",INDEX('Our policies'!$P$4:$P$503,_calc!$E$789)),IF(LEN(INDEX('Vendor COIs'!$N$4:$N$503,(_calc!$E$789-500)))=0,"",INDEX('Vendor COIs'!$N$4:$N$503,(_calc!$E$789-500)))))</f>
        <v/>
      </c>
    </row>
    <row r="788">
      <c r="A788" s="46">
        <f>IF(_calc!$E$790="","",IF(_calc!$E$790&lt;=500,IF(LEN(INDEX('Our policies'!$A$4:$A$503,_calc!$E$790))=0,"",INDEX('Our policies'!$A$4:$A$503,_calc!$E$790)),"COI – "&amp;IF(LEN(INDEX('Vendor COIs'!$A$4:$A$503,(_calc!$E$790-500)))=0,"",INDEX('Vendor COIs'!$A$4:$A$503,(_calc!$E$790-500)))&amp;" – "&amp;IF(LEN(INDEX('Vendor COIs'!$B$4:$B$503,(_calc!$E$790-500)))=0,"",INDEX('Vendor COIs'!$B$4:$B$503,(_calc!$E$790-500)))))</f>
        <v/>
      </c>
      <c r="B788" s="46">
        <f>IF(_calc!$E$790="","",IF(_calc!$E$790&lt;=500,IF(ISNUMBER(INDEX('Our policies'!$J$4:$J$503,_calc!$E$790)),TEXT(INDEX('Our policies'!$J$4:$J$503,_calc!$E$790),"yyyy-mm-dd"),""),IF(ISNUMBER(INDEX('Vendor COIs'!$H$4:$H$503,(_calc!$E$790-500))),TEXT(INDEX('Vendor COIs'!$H$4:$H$503,(_calc!$E$790-500)),"yyyy-mm-dd"),"")))</f>
        <v/>
      </c>
      <c r="C788" s="46">
        <f>IF(_calc!$E$790="","",IF(_calc!$E$790&lt;=500,"Insurance","Certificate of insurance"))</f>
        <v/>
      </c>
      <c r="D788" s="46">
        <f>IF(_calc!$E$790="","",IF(_calc!$E$790&lt;=500,IF(ISNUMBER(INDEX('Our policies'!$I$4:$I$503,_calc!$E$790)),TEXT(INDEX('Our policies'!$I$4:$I$503,_calc!$E$790),"yyyy-mm-dd"),""),""))</f>
        <v/>
      </c>
      <c r="E788" s="46">
        <f>IF(_calc!$E$790="","",IF(_calc!$E$790&lt;=500,IF(LEN(INDEX('Our policies'!$Q$4:$Q$503,_calc!$E$790))=0,"",INDEX('Our policies'!$Q$4:$Q$503,_calc!$E$790)),"Medium"))</f>
        <v/>
      </c>
      <c r="F788" s="46">
        <f>IF(_calc!$E$790="","",IF(_calc!$E$790&lt;=500,TRIM(IF(LEN(IF(LEN(INDEX('Our policies'!$B$4:$B$503,_calc!$E$790))=0,"",INDEX('Our policies'!$B$4:$B$503,_calc!$E$790)))=0,"","Cover: "&amp;IF(LEN(INDEX('Our policies'!$B$4:$B$503,_calc!$E$790))=0,"",INDEX('Our policies'!$B$4:$B$503,_calc!$E$790))&amp;". ")&amp;IF(LEN(IF(LEN(INDEX('Our policies'!$C$4:$C$503,_calc!$E$790))=0,"",INDEX('Our policies'!$C$4:$C$503,_calc!$E$790)))=0,"","Insurer: "&amp;IF(LEN(INDEX('Our policies'!$C$4:$C$503,_calc!$E$790))=0,"",INDEX('Our policies'!$C$4:$C$503,_calc!$E$790))&amp;". ")&amp;IF(LEN(IF(LEN(INDEX('Our policies'!$D$4:$D$503,_calc!$E$790))=0,"",INDEX('Our policies'!$D$4:$D$503,_calc!$E$790)))=0,"","Broker: "&amp;IF(LEN(INDEX('Our policies'!$D$4:$D$503,_calc!$E$790))=0,"",INDEX('Our policies'!$D$4:$D$503,_calc!$E$790))&amp;". ")&amp;IF(LEN(IF(LEN(INDEX('Our policies'!$E$4:$E$503,_calc!$E$790))=0,"",INDEX('Our policies'!$E$4:$E$503,_calc!$E$790)))=0,"","Policy no.: "&amp;IF(LEN(INDEX('Our policies'!$E$4:$E$503,_calc!$E$790))=0,"",INDEX('Our policies'!$E$4:$E$503,_calc!$E$790))&amp;". ")&amp;IF(LEN(IF(LEN(INDEX('Our policies'!$S$4:$S$503,_calc!$E$790))=0,"",INDEX('Our policies'!$S$4:$S$503,_calc!$E$790)))=0,"",IF(LEN(INDEX('Our policies'!$S$4:$S$503,_calc!$E$790))=0,"",INDEX('Our policies'!$S$4:$S$503,_calc!$E$790)))),TRIM(IF(LEN(IF(LEN(INDEX('Vendor COIs'!$C$4:$C$503,(_calc!$E$790-500)))=0,"",INDEX('Vendor COIs'!$C$4:$C$503,(_calc!$E$790-500))))=0,"","Insurer: "&amp;IF(LEN(INDEX('Vendor COIs'!$C$4:$C$503,(_calc!$E$790-500)))=0,"",INDEX('Vendor COIs'!$C$4:$C$503,(_calc!$E$790-500)))&amp;". ")&amp;IF(LEN(IF(LEN(INDEX('Vendor COIs'!$D$4:$D$503,(_calc!$E$790-500)))=0,"",INDEX('Vendor COIs'!$D$4:$D$503,(_calc!$E$790-500))))=0,"","Policy no.: "&amp;IF(LEN(INDEX('Vendor COIs'!$D$4:$D$503,(_calc!$E$790-500)))=0,"",INDEX('Vendor COIs'!$D$4:$D$503,(_calc!$E$790-500)))&amp;". ")&amp;IF(LEN(IF(LEN(INDEX('Vendor COIs'!$F$4:$F$503,(_calc!$E$790-500)))=0,"",INDEX('Vendor COIs'!$F$4:$F$503,(_calc!$E$790-500))))=0,"","Meets minimum: "&amp;IF(LEN(INDEX('Vendor COIs'!$F$4:$F$503,(_calc!$E$790-500)))=0,"",INDEX('Vendor COIs'!$F$4:$F$503,(_calc!$E$790-500)))&amp;". ")&amp;IF(LEN(IF(LEN(INDEX('Vendor COIs'!$G$4:$G$503,(_calc!$E$790-500)))=0,"",INDEX('Vendor COIs'!$G$4:$G$503,(_calc!$E$790-500))))=0,"","Additional insured: "&amp;IF(LEN(INDEX('Vendor COIs'!$G$4:$G$503,(_calc!$E$790-500)))=0,"",INDEX('Vendor COIs'!$G$4:$G$503,(_calc!$E$790-500)))&amp;". ")&amp;IF(LEN(IF(LEN(INDEX('Vendor COIs'!$M$4:$M$503,(_calc!$E$790-500)))=0,"",INDEX('Vendor COIs'!$M$4:$M$503,(_calc!$E$790-500))))=0,"","Vendor contact: "&amp;IF(LEN(INDEX('Vendor COIs'!$M$4:$M$503,(_calc!$E$790-500)))=0,"",INDEX('Vendor COIs'!$M$4:$M$503,(_calc!$E$790-500)))&amp;". ")&amp;IF(LEN(IF(LEN(INDEX('Vendor COIs'!$P$4:$P$503,(_calc!$E$790-500)))=0,"",INDEX('Vendor COIs'!$P$4:$P$503,(_calc!$E$790-500))))=0,"",IF(LEN(INDEX('Vendor COIs'!$P$4:$P$503,(_calc!$E$790-500)))=0,"",INDEX('Vendor COIs'!$P$4:$P$503,(_calc!$E$790-500)))))))</f>
        <v/>
      </c>
      <c r="G788" s="46">
        <f>IF(_calc!$E$790="","",IF(_calc!$E$790&lt;=500,IF(LEN(INDEX('Our policies'!$R$4:$R$503,_calc!$E$790))=0,"",INDEX('Our policies'!$R$4:$R$503,_calc!$E$790)),IF(LEN(INDEX('Vendor COIs'!$O$4:$O$503,(_calc!$E$790-500)))=0,"",INDEX('Vendor COIs'!$O$4:$O$503,(_calc!$E$790-500)))))</f>
        <v/>
      </c>
      <c r="H788" s="46">
        <f>IF(_calc!$E$790="","",IF(_calc!$E$790&lt;=500,IF(LEN(INDEX('Our policies'!$G$4:$G$503,_calc!$E$790))=0,"",INDEX('Our policies'!$G$4:$G$503,_calc!$E$790)),""))</f>
        <v/>
      </c>
      <c r="I788" s="46">
        <f>IF(_calc!$E$790="","",IF(_calc!$E$790&lt;=500,IF(LEN(INDEX('Our policies'!$H$4:$H$503,_calc!$E$790))=0,"",INDEX('Our policies'!$H$4:$H$503,_calc!$E$790)),""))</f>
        <v/>
      </c>
      <c r="K788" s="46">
        <f>IF(_calc!$E$790="","",IF(_calc!$E$790&lt;=500,IF(LEN(INDEX('Our policies'!$P$4:$P$503,_calc!$E$790))=0,"",INDEX('Our policies'!$P$4:$P$503,_calc!$E$790)),IF(LEN(INDEX('Vendor COIs'!$N$4:$N$503,(_calc!$E$790-500)))=0,"",INDEX('Vendor COIs'!$N$4:$N$503,(_calc!$E$790-500)))))</f>
        <v/>
      </c>
    </row>
    <row r="789">
      <c r="A789" s="46">
        <f>IF(_calc!$E$791="","",IF(_calc!$E$791&lt;=500,IF(LEN(INDEX('Our policies'!$A$4:$A$503,_calc!$E$791))=0,"",INDEX('Our policies'!$A$4:$A$503,_calc!$E$791)),"COI – "&amp;IF(LEN(INDEX('Vendor COIs'!$A$4:$A$503,(_calc!$E$791-500)))=0,"",INDEX('Vendor COIs'!$A$4:$A$503,(_calc!$E$791-500)))&amp;" – "&amp;IF(LEN(INDEX('Vendor COIs'!$B$4:$B$503,(_calc!$E$791-500)))=0,"",INDEX('Vendor COIs'!$B$4:$B$503,(_calc!$E$791-500)))))</f>
        <v/>
      </c>
      <c r="B789" s="46">
        <f>IF(_calc!$E$791="","",IF(_calc!$E$791&lt;=500,IF(ISNUMBER(INDEX('Our policies'!$J$4:$J$503,_calc!$E$791)),TEXT(INDEX('Our policies'!$J$4:$J$503,_calc!$E$791),"yyyy-mm-dd"),""),IF(ISNUMBER(INDEX('Vendor COIs'!$H$4:$H$503,(_calc!$E$791-500))),TEXT(INDEX('Vendor COIs'!$H$4:$H$503,(_calc!$E$791-500)),"yyyy-mm-dd"),"")))</f>
        <v/>
      </c>
      <c r="C789" s="46">
        <f>IF(_calc!$E$791="","",IF(_calc!$E$791&lt;=500,"Insurance","Certificate of insurance"))</f>
        <v/>
      </c>
      <c r="D789" s="46">
        <f>IF(_calc!$E$791="","",IF(_calc!$E$791&lt;=500,IF(ISNUMBER(INDEX('Our policies'!$I$4:$I$503,_calc!$E$791)),TEXT(INDEX('Our policies'!$I$4:$I$503,_calc!$E$791),"yyyy-mm-dd"),""),""))</f>
        <v/>
      </c>
      <c r="E789" s="46">
        <f>IF(_calc!$E$791="","",IF(_calc!$E$791&lt;=500,IF(LEN(INDEX('Our policies'!$Q$4:$Q$503,_calc!$E$791))=0,"",INDEX('Our policies'!$Q$4:$Q$503,_calc!$E$791)),"Medium"))</f>
        <v/>
      </c>
      <c r="F789" s="46">
        <f>IF(_calc!$E$791="","",IF(_calc!$E$791&lt;=500,TRIM(IF(LEN(IF(LEN(INDEX('Our policies'!$B$4:$B$503,_calc!$E$791))=0,"",INDEX('Our policies'!$B$4:$B$503,_calc!$E$791)))=0,"","Cover: "&amp;IF(LEN(INDEX('Our policies'!$B$4:$B$503,_calc!$E$791))=0,"",INDEX('Our policies'!$B$4:$B$503,_calc!$E$791))&amp;". ")&amp;IF(LEN(IF(LEN(INDEX('Our policies'!$C$4:$C$503,_calc!$E$791))=0,"",INDEX('Our policies'!$C$4:$C$503,_calc!$E$791)))=0,"","Insurer: "&amp;IF(LEN(INDEX('Our policies'!$C$4:$C$503,_calc!$E$791))=0,"",INDEX('Our policies'!$C$4:$C$503,_calc!$E$791))&amp;". ")&amp;IF(LEN(IF(LEN(INDEX('Our policies'!$D$4:$D$503,_calc!$E$791))=0,"",INDEX('Our policies'!$D$4:$D$503,_calc!$E$791)))=0,"","Broker: "&amp;IF(LEN(INDEX('Our policies'!$D$4:$D$503,_calc!$E$791))=0,"",INDEX('Our policies'!$D$4:$D$503,_calc!$E$791))&amp;". ")&amp;IF(LEN(IF(LEN(INDEX('Our policies'!$E$4:$E$503,_calc!$E$791))=0,"",INDEX('Our policies'!$E$4:$E$503,_calc!$E$791)))=0,"","Policy no.: "&amp;IF(LEN(INDEX('Our policies'!$E$4:$E$503,_calc!$E$791))=0,"",INDEX('Our policies'!$E$4:$E$503,_calc!$E$791))&amp;". ")&amp;IF(LEN(IF(LEN(INDEX('Our policies'!$S$4:$S$503,_calc!$E$791))=0,"",INDEX('Our policies'!$S$4:$S$503,_calc!$E$791)))=0,"",IF(LEN(INDEX('Our policies'!$S$4:$S$503,_calc!$E$791))=0,"",INDEX('Our policies'!$S$4:$S$503,_calc!$E$791)))),TRIM(IF(LEN(IF(LEN(INDEX('Vendor COIs'!$C$4:$C$503,(_calc!$E$791-500)))=0,"",INDEX('Vendor COIs'!$C$4:$C$503,(_calc!$E$791-500))))=0,"","Insurer: "&amp;IF(LEN(INDEX('Vendor COIs'!$C$4:$C$503,(_calc!$E$791-500)))=0,"",INDEX('Vendor COIs'!$C$4:$C$503,(_calc!$E$791-500)))&amp;". ")&amp;IF(LEN(IF(LEN(INDEX('Vendor COIs'!$D$4:$D$503,(_calc!$E$791-500)))=0,"",INDEX('Vendor COIs'!$D$4:$D$503,(_calc!$E$791-500))))=0,"","Policy no.: "&amp;IF(LEN(INDEX('Vendor COIs'!$D$4:$D$503,(_calc!$E$791-500)))=0,"",INDEX('Vendor COIs'!$D$4:$D$503,(_calc!$E$791-500)))&amp;". ")&amp;IF(LEN(IF(LEN(INDEX('Vendor COIs'!$F$4:$F$503,(_calc!$E$791-500)))=0,"",INDEX('Vendor COIs'!$F$4:$F$503,(_calc!$E$791-500))))=0,"","Meets minimum: "&amp;IF(LEN(INDEX('Vendor COIs'!$F$4:$F$503,(_calc!$E$791-500)))=0,"",INDEX('Vendor COIs'!$F$4:$F$503,(_calc!$E$791-500)))&amp;". ")&amp;IF(LEN(IF(LEN(INDEX('Vendor COIs'!$G$4:$G$503,(_calc!$E$791-500)))=0,"",INDEX('Vendor COIs'!$G$4:$G$503,(_calc!$E$791-500))))=0,"","Additional insured: "&amp;IF(LEN(INDEX('Vendor COIs'!$G$4:$G$503,(_calc!$E$791-500)))=0,"",INDEX('Vendor COIs'!$G$4:$G$503,(_calc!$E$791-500)))&amp;". ")&amp;IF(LEN(IF(LEN(INDEX('Vendor COIs'!$M$4:$M$503,(_calc!$E$791-500)))=0,"",INDEX('Vendor COIs'!$M$4:$M$503,(_calc!$E$791-500))))=0,"","Vendor contact: "&amp;IF(LEN(INDEX('Vendor COIs'!$M$4:$M$503,(_calc!$E$791-500)))=0,"",INDEX('Vendor COIs'!$M$4:$M$503,(_calc!$E$791-500)))&amp;". ")&amp;IF(LEN(IF(LEN(INDEX('Vendor COIs'!$P$4:$P$503,(_calc!$E$791-500)))=0,"",INDEX('Vendor COIs'!$P$4:$P$503,(_calc!$E$791-500))))=0,"",IF(LEN(INDEX('Vendor COIs'!$P$4:$P$503,(_calc!$E$791-500)))=0,"",INDEX('Vendor COIs'!$P$4:$P$503,(_calc!$E$791-500)))))))</f>
        <v/>
      </c>
      <c r="G789" s="46">
        <f>IF(_calc!$E$791="","",IF(_calc!$E$791&lt;=500,IF(LEN(INDEX('Our policies'!$R$4:$R$503,_calc!$E$791))=0,"",INDEX('Our policies'!$R$4:$R$503,_calc!$E$791)),IF(LEN(INDEX('Vendor COIs'!$O$4:$O$503,(_calc!$E$791-500)))=0,"",INDEX('Vendor COIs'!$O$4:$O$503,(_calc!$E$791-500)))))</f>
        <v/>
      </c>
      <c r="H789" s="46">
        <f>IF(_calc!$E$791="","",IF(_calc!$E$791&lt;=500,IF(LEN(INDEX('Our policies'!$G$4:$G$503,_calc!$E$791))=0,"",INDEX('Our policies'!$G$4:$G$503,_calc!$E$791)),""))</f>
        <v/>
      </c>
      <c r="I789" s="46">
        <f>IF(_calc!$E$791="","",IF(_calc!$E$791&lt;=500,IF(LEN(INDEX('Our policies'!$H$4:$H$503,_calc!$E$791))=0,"",INDEX('Our policies'!$H$4:$H$503,_calc!$E$791)),""))</f>
        <v/>
      </c>
      <c r="K789" s="46">
        <f>IF(_calc!$E$791="","",IF(_calc!$E$791&lt;=500,IF(LEN(INDEX('Our policies'!$P$4:$P$503,_calc!$E$791))=0,"",INDEX('Our policies'!$P$4:$P$503,_calc!$E$791)),IF(LEN(INDEX('Vendor COIs'!$N$4:$N$503,(_calc!$E$791-500)))=0,"",INDEX('Vendor COIs'!$N$4:$N$503,(_calc!$E$791-500)))))</f>
        <v/>
      </c>
    </row>
    <row r="790">
      <c r="A790" s="46">
        <f>IF(_calc!$E$792="","",IF(_calc!$E$792&lt;=500,IF(LEN(INDEX('Our policies'!$A$4:$A$503,_calc!$E$792))=0,"",INDEX('Our policies'!$A$4:$A$503,_calc!$E$792)),"COI – "&amp;IF(LEN(INDEX('Vendor COIs'!$A$4:$A$503,(_calc!$E$792-500)))=0,"",INDEX('Vendor COIs'!$A$4:$A$503,(_calc!$E$792-500)))&amp;" – "&amp;IF(LEN(INDEX('Vendor COIs'!$B$4:$B$503,(_calc!$E$792-500)))=0,"",INDEX('Vendor COIs'!$B$4:$B$503,(_calc!$E$792-500)))))</f>
        <v/>
      </c>
      <c r="B790" s="46">
        <f>IF(_calc!$E$792="","",IF(_calc!$E$792&lt;=500,IF(ISNUMBER(INDEX('Our policies'!$J$4:$J$503,_calc!$E$792)),TEXT(INDEX('Our policies'!$J$4:$J$503,_calc!$E$792),"yyyy-mm-dd"),""),IF(ISNUMBER(INDEX('Vendor COIs'!$H$4:$H$503,(_calc!$E$792-500))),TEXT(INDEX('Vendor COIs'!$H$4:$H$503,(_calc!$E$792-500)),"yyyy-mm-dd"),"")))</f>
        <v/>
      </c>
      <c r="C790" s="46">
        <f>IF(_calc!$E$792="","",IF(_calc!$E$792&lt;=500,"Insurance","Certificate of insurance"))</f>
        <v/>
      </c>
      <c r="D790" s="46">
        <f>IF(_calc!$E$792="","",IF(_calc!$E$792&lt;=500,IF(ISNUMBER(INDEX('Our policies'!$I$4:$I$503,_calc!$E$792)),TEXT(INDEX('Our policies'!$I$4:$I$503,_calc!$E$792),"yyyy-mm-dd"),""),""))</f>
        <v/>
      </c>
      <c r="E790" s="46">
        <f>IF(_calc!$E$792="","",IF(_calc!$E$792&lt;=500,IF(LEN(INDEX('Our policies'!$Q$4:$Q$503,_calc!$E$792))=0,"",INDEX('Our policies'!$Q$4:$Q$503,_calc!$E$792)),"Medium"))</f>
        <v/>
      </c>
      <c r="F790" s="46">
        <f>IF(_calc!$E$792="","",IF(_calc!$E$792&lt;=500,TRIM(IF(LEN(IF(LEN(INDEX('Our policies'!$B$4:$B$503,_calc!$E$792))=0,"",INDEX('Our policies'!$B$4:$B$503,_calc!$E$792)))=0,"","Cover: "&amp;IF(LEN(INDEX('Our policies'!$B$4:$B$503,_calc!$E$792))=0,"",INDEX('Our policies'!$B$4:$B$503,_calc!$E$792))&amp;". ")&amp;IF(LEN(IF(LEN(INDEX('Our policies'!$C$4:$C$503,_calc!$E$792))=0,"",INDEX('Our policies'!$C$4:$C$503,_calc!$E$792)))=0,"","Insurer: "&amp;IF(LEN(INDEX('Our policies'!$C$4:$C$503,_calc!$E$792))=0,"",INDEX('Our policies'!$C$4:$C$503,_calc!$E$792))&amp;". ")&amp;IF(LEN(IF(LEN(INDEX('Our policies'!$D$4:$D$503,_calc!$E$792))=0,"",INDEX('Our policies'!$D$4:$D$503,_calc!$E$792)))=0,"","Broker: "&amp;IF(LEN(INDEX('Our policies'!$D$4:$D$503,_calc!$E$792))=0,"",INDEX('Our policies'!$D$4:$D$503,_calc!$E$792))&amp;". ")&amp;IF(LEN(IF(LEN(INDEX('Our policies'!$E$4:$E$503,_calc!$E$792))=0,"",INDEX('Our policies'!$E$4:$E$503,_calc!$E$792)))=0,"","Policy no.: "&amp;IF(LEN(INDEX('Our policies'!$E$4:$E$503,_calc!$E$792))=0,"",INDEX('Our policies'!$E$4:$E$503,_calc!$E$792))&amp;". ")&amp;IF(LEN(IF(LEN(INDEX('Our policies'!$S$4:$S$503,_calc!$E$792))=0,"",INDEX('Our policies'!$S$4:$S$503,_calc!$E$792)))=0,"",IF(LEN(INDEX('Our policies'!$S$4:$S$503,_calc!$E$792))=0,"",INDEX('Our policies'!$S$4:$S$503,_calc!$E$792)))),TRIM(IF(LEN(IF(LEN(INDEX('Vendor COIs'!$C$4:$C$503,(_calc!$E$792-500)))=0,"",INDEX('Vendor COIs'!$C$4:$C$503,(_calc!$E$792-500))))=0,"","Insurer: "&amp;IF(LEN(INDEX('Vendor COIs'!$C$4:$C$503,(_calc!$E$792-500)))=0,"",INDEX('Vendor COIs'!$C$4:$C$503,(_calc!$E$792-500)))&amp;". ")&amp;IF(LEN(IF(LEN(INDEX('Vendor COIs'!$D$4:$D$503,(_calc!$E$792-500)))=0,"",INDEX('Vendor COIs'!$D$4:$D$503,(_calc!$E$792-500))))=0,"","Policy no.: "&amp;IF(LEN(INDEX('Vendor COIs'!$D$4:$D$503,(_calc!$E$792-500)))=0,"",INDEX('Vendor COIs'!$D$4:$D$503,(_calc!$E$792-500)))&amp;". ")&amp;IF(LEN(IF(LEN(INDEX('Vendor COIs'!$F$4:$F$503,(_calc!$E$792-500)))=0,"",INDEX('Vendor COIs'!$F$4:$F$503,(_calc!$E$792-500))))=0,"","Meets minimum: "&amp;IF(LEN(INDEX('Vendor COIs'!$F$4:$F$503,(_calc!$E$792-500)))=0,"",INDEX('Vendor COIs'!$F$4:$F$503,(_calc!$E$792-500)))&amp;". ")&amp;IF(LEN(IF(LEN(INDEX('Vendor COIs'!$G$4:$G$503,(_calc!$E$792-500)))=0,"",INDEX('Vendor COIs'!$G$4:$G$503,(_calc!$E$792-500))))=0,"","Additional insured: "&amp;IF(LEN(INDEX('Vendor COIs'!$G$4:$G$503,(_calc!$E$792-500)))=0,"",INDEX('Vendor COIs'!$G$4:$G$503,(_calc!$E$792-500)))&amp;". ")&amp;IF(LEN(IF(LEN(INDEX('Vendor COIs'!$M$4:$M$503,(_calc!$E$792-500)))=0,"",INDEX('Vendor COIs'!$M$4:$M$503,(_calc!$E$792-500))))=0,"","Vendor contact: "&amp;IF(LEN(INDEX('Vendor COIs'!$M$4:$M$503,(_calc!$E$792-500)))=0,"",INDEX('Vendor COIs'!$M$4:$M$503,(_calc!$E$792-500)))&amp;". ")&amp;IF(LEN(IF(LEN(INDEX('Vendor COIs'!$P$4:$P$503,(_calc!$E$792-500)))=0,"",INDEX('Vendor COIs'!$P$4:$P$503,(_calc!$E$792-500))))=0,"",IF(LEN(INDEX('Vendor COIs'!$P$4:$P$503,(_calc!$E$792-500)))=0,"",INDEX('Vendor COIs'!$P$4:$P$503,(_calc!$E$792-500)))))))</f>
        <v/>
      </c>
      <c r="G790" s="46">
        <f>IF(_calc!$E$792="","",IF(_calc!$E$792&lt;=500,IF(LEN(INDEX('Our policies'!$R$4:$R$503,_calc!$E$792))=0,"",INDEX('Our policies'!$R$4:$R$503,_calc!$E$792)),IF(LEN(INDEX('Vendor COIs'!$O$4:$O$503,(_calc!$E$792-500)))=0,"",INDEX('Vendor COIs'!$O$4:$O$503,(_calc!$E$792-500)))))</f>
        <v/>
      </c>
      <c r="H790" s="46">
        <f>IF(_calc!$E$792="","",IF(_calc!$E$792&lt;=500,IF(LEN(INDEX('Our policies'!$G$4:$G$503,_calc!$E$792))=0,"",INDEX('Our policies'!$G$4:$G$503,_calc!$E$792)),""))</f>
        <v/>
      </c>
      <c r="I790" s="46">
        <f>IF(_calc!$E$792="","",IF(_calc!$E$792&lt;=500,IF(LEN(INDEX('Our policies'!$H$4:$H$503,_calc!$E$792))=0,"",INDEX('Our policies'!$H$4:$H$503,_calc!$E$792)),""))</f>
        <v/>
      </c>
      <c r="K790" s="46">
        <f>IF(_calc!$E$792="","",IF(_calc!$E$792&lt;=500,IF(LEN(INDEX('Our policies'!$P$4:$P$503,_calc!$E$792))=0,"",INDEX('Our policies'!$P$4:$P$503,_calc!$E$792)),IF(LEN(INDEX('Vendor COIs'!$N$4:$N$503,(_calc!$E$792-500)))=0,"",INDEX('Vendor COIs'!$N$4:$N$503,(_calc!$E$792-500)))))</f>
        <v/>
      </c>
    </row>
    <row r="791">
      <c r="A791" s="46">
        <f>IF(_calc!$E$793="","",IF(_calc!$E$793&lt;=500,IF(LEN(INDEX('Our policies'!$A$4:$A$503,_calc!$E$793))=0,"",INDEX('Our policies'!$A$4:$A$503,_calc!$E$793)),"COI – "&amp;IF(LEN(INDEX('Vendor COIs'!$A$4:$A$503,(_calc!$E$793-500)))=0,"",INDEX('Vendor COIs'!$A$4:$A$503,(_calc!$E$793-500)))&amp;" – "&amp;IF(LEN(INDEX('Vendor COIs'!$B$4:$B$503,(_calc!$E$793-500)))=0,"",INDEX('Vendor COIs'!$B$4:$B$503,(_calc!$E$793-500)))))</f>
        <v/>
      </c>
      <c r="B791" s="46">
        <f>IF(_calc!$E$793="","",IF(_calc!$E$793&lt;=500,IF(ISNUMBER(INDEX('Our policies'!$J$4:$J$503,_calc!$E$793)),TEXT(INDEX('Our policies'!$J$4:$J$503,_calc!$E$793),"yyyy-mm-dd"),""),IF(ISNUMBER(INDEX('Vendor COIs'!$H$4:$H$503,(_calc!$E$793-500))),TEXT(INDEX('Vendor COIs'!$H$4:$H$503,(_calc!$E$793-500)),"yyyy-mm-dd"),"")))</f>
        <v/>
      </c>
      <c r="C791" s="46">
        <f>IF(_calc!$E$793="","",IF(_calc!$E$793&lt;=500,"Insurance","Certificate of insurance"))</f>
        <v/>
      </c>
      <c r="D791" s="46">
        <f>IF(_calc!$E$793="","",IF(_calc!$E$793&lt;=500,IF(ISNUMBER(INDEX('Our policies'!$I$4:$I$503,_calc!$E$793)),TEXT(INDEX('Our policies'!$I$4:$I$503,_calc!$E$793),"yyyy-mm-dd"),""),""))</f>
        <v/>
      </c>
      <c r="E791" s="46">
        <f>IF(_calc!$E$793="","",IF(_calc!$E$793&lt;=500,IF(LEN(INDEX('Our policies'!$Q$4:$Q$503,_calc!$E$793))=0,"",INDEX('Our policies'!$Q$4:$Q$503,_calc!$E$793)),"Medium"))</f>
        <v/>
      </c>
      <c r="F791" s="46">
        <f>IF(_calc!$E$793="","",IF(_calc!$E$793&lt;=500,TRIM(IF(LEN(IF(LEN(INDEX('Our policies'!$B$4:$B$503,_calc!$E$793))=0,"",INDEX('Our policies'!$B$4:$B$503,_calc!$E$793)))=0,"","Cover: "&amp;IF(LEN(INDEX('Our policies'!$B$4:$B$503,_calc!$E$793))=0,"",INDEX('Our policies'!$B$4:$B$503,_calc!$E$793))&amp;". ")&amp;IF(LEN(IF(LEN(INDEX('Our policies'!$C$4:$C$503,_calc!$E$793))=0,"",INDEX('Our policies'!$C$4:$C$503,_calc!$E$793)))=0,"","Insurer: "&amp;IF(LEN(INDEX('Our policies'!$C$4:$C$503,_calc!$E$793))=0,"",INDEX('Our policies'!$C$4:$C$503,_calc!$E$793))&amp;". ")&amp;IF(LEN(IF(LEN(INDEX('Our policies'!$D$4:$D$503,_calc!$E$793))=0,"",INDEX('Our policies'!$D$4:$D$503,_calc!$E$793)))=0,"","Broker: "&amp;IF(LEN(INDEX('Our policies'!$D$4:$D$503,_calc!$E$793))=0,"",INDEX('Our policies'!$D$4:$D$503,_calc!$E$793))&amp;". ")&amp;IF(LEN(IF(LEN(INDEX('Our policies'!$E$4:$E$503,_calc!$E$793))=0,"",INDEX('Our policies'!$E$4:$E$503,_calc!$E$793)))=0,"","Policy no.: "&amp;IF(LEN(INDEX('Our policies'!$E$4:$E$503,_calc!$E$793))=0,"",INDEX('Our policies'!$E$4:$E$503,_calc!$E$793))&amp;". ")&amp;IF(LEN(IF(LEN(INDEX('Our policies'!$S$4:$S$503,_calc!$E$793))=0,"",INDEX('Our policies'!$S$4:$S$503,_calc!$E$793)))=0,"",IF(LEN(INDEX('Our policies'!$S$4:$S$503,_calc!$E$793))=0,"",INDEX('Our policies'!$S$4:$S$503,_calc!$E$793)))),TRIM(IF(LEN(IF(LEN(INDEX('Vendor COIs'!$C$4:$C$503,(_calc!$E$793-500)))=0,"",INDEX('Vendor COIs'!$C$4:$C$503,(_calc!$E$793-500))))=0,"","Insurer: "&amp;IF(LEN(INDEX('Vendor COIs'!$C$4:$C$503,(_calc!$E$793-500)))=0,"",INDEX('Vendor COIs'!$C$4:$C$503,(_calc!$E$793-500)))&amp;". ")&amp;IF(LEN(IF(LEN(INDEX('Vendor COIs'!$D$4:$D$503,(_calc!$E$793-500)))=0,"",INDEX('Vendor COIs'!$D$4:$D$503,(_calc!$E$793-500))))=0,"","Policy no.: "&amp;IF(LEN(INDEX('Vendor COIs'!$D$4:$D$503,(_calc!$E$793-500)))=0,"",INDEX('Vendor COIs'!$D$4:$D$503,(_calc!$E$793-500)))&amp;". ")&amp;IF(LEN(IF(LEN(INDEX('Vendor COIs'!$F$4:$F$503,(_calc!$E$793-500)))=0,"",INDEX('Vendor COIs'!$F$4:$F$503,(_calc!$E$793-500))))=0,"","Meets minimum: "&amp;IF(LEN(INDEX('Vendor COIs'!$F$4:$F$503,(_calc!$E$793-500)))=0,"",INDEX('Vendor COIs'!$F$4:$F$503,(_calc!$E$793-500)))&amp;". ")&amp;IF(LEN(IF(LEN(INDEX('Vendor COIs'!$G$4:$G$503,(_calc!$E$793-500)))=0,"",INDEX('Vendor COIs'!$G$4:$G$503,(_calc!$E$793-500))))=0,"","Additional insured: "&amp;IF(LEN(INDEX('Vendor COIs'!$G$4:$G$503,(_calc!$E$793-500)))=0,"",INDEX('Vendor COIs'!$G$4:$G$503,(_calc!$E$793-500)))&amp;". ")&amp;IF(LEN(IF(LEN(INDEX('Vendor COIs'!$M$4:$M$503,(_calc!$E$793-500)))=0,"",INDEX('Vendor COIs'!$M$4:$M$503,(_calc!$E$793-500))))=0,"","Vendor contact: "&amp;IF(LEN(INDEX('Vendor COIs'!$M$4:$M$503,(_calc!$E$793-500)))=0,"",INDEX('Vendor COIs'!$M$4:$M$503,(_calc!$E$793-500)))&amp;". ")&amp;IF(LEN(IF(LEN(INDEX('Vendor COIs'!$P$4:$P$503,(_calc!$E$793-500)))=0,"",INDEX('Vendor COIs'!$P$4:$P$503,(_calc!$E$793-500))))=0,"",IF(LEN(INDEX('Vendor COIs'!$P$4:$P$503,(_calc!$E$793-500)))=0,"",INDEX('Vendor COIs'!$P$4:$P$503,(_calc!$E$793-500)))))))</f>
        <v/>
      </c>
      <c r="G791" s="46">
        <f>IF(_calc!$E$793="","",IF(_calc!$E$793&lt;=500,IF(LEN(INDEX('Our policies'!$R$4:$R$503,_calc!$E$793))=0,"",INDEX('Our policies'!$R$4:$R$503,_calc!$E$793)),IF(LEN(INDEX('Vendor COIs'!$O$4:$O$503,(_calc!$E$793-500)))=0,"",INDEX('Vendor COIs'!$O$4:$O$503,(_calc!$E$793-500)))))</f>
        <v/>
      </c>
      <c r="H791" s="46">
        <f>IF(_calc!$E$793="","",IF(_calc!$E$793&lt;=500,IF(LEN(INDEX('Our policies'!$G$4:$G$503,_calc!$E$793))=0,"",INDEX('Our policies'!$G$4:$G$503,_calc!$E$793)),""))</f>
        <v/>
      </c>
      <c r="I791" s="46">
        <f>IF(_calc!$E$793="","",IF(_calc!$E$793&lt;=500,IF(LEN(INDEX('Our policies'!$H$4:$H$503,_calc!$E$793))=0,"",INDEX('Our policies'!$H$4:$H$503,_calc!$E$793)),""))</f>
        <v/>
      </c>
      <c r="K791" s="46">
        <f>IF(_calc!$E$793="","",IF(_calc!$E$793&lt;=500,IF(LEN(INDEX('Our policies'!$P$4:$P$503,_calc!$E$793))=0,"",INDEX('Our policies'!$P$4:$P$503,_calc!$E$793)),IF(LEN(INDEX('Vendor COIs'!$N$4:$N$503,(_calc!$E$793-500)))=0,"",INDEX('Vendor COIs'!$N$4:$N$503,(_calc!$E$793-500)))))</f>
        <v/>
      </c>
    </row>
    <row r="792">
      <c r="A792" s="46">
        <f>IF(_calc!$E$794="","",IF(_calc!$E$794&lt;=500,IF(LEN(INDEX('Our policies'!$A$4:$A$503,_calc!$E$794))=0,"",INDEX('Our policies'!$A$4:$A$503,_calc!$E$794)),"COI – "&amp;IF(LEN(INDEX('Vendor COIs'!$A$4:$A$503,(_calc!$E$794-500)))=0,"",INDEX('Vendor COIs'!$A$4:$A$503,(_calc!$E$794-500)))&amp;" – "&amp;IF(LEN(INDEX('Vendor COIs'!$B$4:$B$503,(_calc!$E$794-500)))=0,"",INDEX('Vendor COIs'!$B$4:$B$503,(_calc!$E$794-500)))))</f>
        <v/>
      </c>
      <c r="B792" s="46">
        <f>IF(_calc!$E$794="","",IF(_calc!$E$794&lt;=500,IF(ISNUMBER(INDEX('Our policies'!$J$4:$J$503,_calc!$E$794)),TEXT(INDEX('Our policies'!$J$4:$J$503,_calc!$E$794),"yyyy-mm-dd"),""),IF(ISNUMBER(INDEX('Vendor COIs'!$H$4:$H$503,(_calc!$E$794-500))),TEXT(INDEX('Vendor COIs'!$H$4:$H$503,(_calc!$E$794-500)),"yyyy-mm-dd"),"")))</f>
        <v/>
      </c>
      <c r="C792" s="46">
        <f>IF(_calc!$E$794="","",IF(_calc!$E$794&lt;=500,"Insurance","Certificate of insurance"))</f>
        <v/>
      </c>
      <c r="D792" s="46">
        <f>IF(_calc!$E$794="","",IF(_calc!$E$794&lt;=500,IF(ISNUMBER(INDEX('Our policies'!$I$4:$I$503,_calc!$E$794)),TEXT(INDEX('Our policies'!$I$4:$I$503,_calc!$E$794),"yyyy-mm-dd"),""),""))</f>
        <v/>
      </c>
      <c r="E792" s="46">
        <f>IF(_calc!$E$794="","",IF(_calc!$E$794&lt;=500,IF(LEN(INDEX('Our policies'!$Q$4:$Q$503,_calc!$E$794))=0,"",INDEX('Our policies'!$Q$4:$Q$503,_calc!$E$794)),"Medium"))</f>
        <v/>
      </c>
      <c r="F792" s="46">
        <f>IF(_calc!$E$794="","",IF(_calc!$E$794&lt;=500,TRIM(IF(LEN(IF(LEN(INDEX('Our policies'!$B$4:$B$503,_calc!$E$794))=0,"",INDEX('Our policies'!$B$4:$B$503,_calc!$E$794)))=0,"","Cover: "&amp;IF(LEN(INDEX('Our policies'!$B$4:$B$503,_calc!$E$794))=0,"",INDEX('Our policies'!$B$4:$B$503,_calc!$E$794))&amp;". ")&amp;IF(LEN(IF(LEN(INDEX('Our policies'!$C$4:$C$503,_calc!$E$794))=0,"",INDEX('Our policies'!$C$4:$C$503,_calc!$E$794)))=0,"","Insurer: "&amp;IF(LEN(INDEX('Our policies'!$C$4:$C$503,_calc!$E$794))=0,"",INDEX('Our policies'!$C$4:$C$503,_calc!$E$794))&amp;". ")&amp;IF(LEN(IF(LEN(INDEX('Our policies'!$D$4:$D$503,_calc!$E$794))=0,"",INDEX('Our policies'!$D$4:$D$503,_calc!$E$794)))=0,"","Broker: "&amp;IF(LEN(INDEX('Our policies'!$D$4:$D$503,_calc!$E$794))=0,"",INDEX('Our policies'!$D$4:$D$503,_calc!$E$794))&amp;". ")&amp;IF(LEN(IF(LEN(INDEX('Our policies'!$E$4:$E$503,_calc!$E$794))=0,"",INDEX('Our policies'!$E$4:$E$503,_calc!$E$794)))=0,"","Policy no.: "&amp;IF(LEN(INDEX('Our policies'!$E$4:$E$503,_calc!$E$794))=0,"",INDEX('Our policies'!$E$4:$E$503,_calc!$E$794))&amp;". ")&amp;IF(LEN(IF(LEN(INDEX('Our policies'!$S$4:$S$503,_calc!$E$794))=0,"",INDEX('Our policies'!$S$4:$S$503,_calc!$E$794)))=0,"",IF(LEN(INDEX('Our policies'!$S$4:$S$503,_calc!$E$794))=0,"",INDEX('Our policies'!$S$4:$S$503,_calc!$E$794)))),TRIM(IF(LEN(IF(LEN(INDEX('Vendor COIs'!$C$4:$C$503,(_calc!$E$794-500)))=0,"",INDEX('Vendor COIs'!$C$4:$C$503,(_calc!$E$794-500))))=0,"","Insurer: "&amp;IF(LEN(INDEX('Vendor COIs'!$C$4:$C$503,(_calc!$E$794-500)))=0,"",INDEX('Vendor COIs'!$C$4:$C$503,(_calc!$E$794-500)))&amp;". ")&amp;IF(LEN(IF(LEN(INDEX('Vendor COIs'!$D$4:$D$503,(_calc!$E$794-500)))=0,"",INDEX('Vendor COIs'!$D$4:$D$503,(_calc!$E$794-500))))=0,"","Policy no.: "&amp;IF(LEN(INDEX('Vendor COIs'!$D$4:$D$503,(_calc!$E$794-500)))=0,"",INDEX('Vendor COIs'!$D$4:$D$503,(_calc!$E$794-500)))&amp;". ")&amp;IF(LEN(IF(LEN(INDEX('Vendor COIs'!$F$4:$F$503,(_calc!$E$794-500)))=0,"",INDEX('Vendor COIs'!$F$4:$F$503,(_calc!$E$794-500))))=0,"","Meets minimum: "&amp;IF(LEN(INDEX('Vendor COIs'!$F$4:$F$503,(_calc!$E$794-500)))=0,"",INDEX('Vendor COIs'!$F$4:$F$503,(_calc!$E$794-500)))&amp;". ")&amp;IF(LEN(IF(LEN(INDEX('Vendor COIs'!$G$4:$G$503,(_calc!$E$794-500)))=0,"",INDEX('Vendor COIs'!$G$4:$G$503,(_calc!$E$794-500))))=0,"","Additional insured: "&amp;IF(LEN(INDEX('Vendor COIs'!$G$4:$G$503,(_calc!$E$794-500)))=0,"",INDEX('Vendor COIs'!$G$4:$G$503,(_calc!$E$794-500)))&amp;". ")&amp;IF(LEN(IF(LEN(INDEX('Vendor COIs'!$M$4:$M$503,(_calc!$E$794-500)))=0,"",INDEX('Vendor COIs'!$M$4:$M$503,(_calc!$E$794-500))))=0,"","Vendor contact: "&amp;IF(LEN(INDEX('Vendor COIs'!$M$4:$M$503,(_calc!$E$794-500)))=0,"",INDEX('Vendor COIs'!$M$4:$M$503,(_calc!$E$794-500)))&amp;". ")&amp;IF(LEN(IF(LEN(INDEX('Vendor COIs'!$P$4:$P$503,(_calc!$E$794-500)))=0,"",INDEX('Vendor COIs'!$P$4:$P$503,(_calc!$E$794-500))))=0,"",IF(LEN(INDEX('Vendor COIs'!$P$4:$P$503,(_calc!$E$794-500)))=0,"",INDEX('Vendor COIs'!$P$4:$P$503,(_calc!$E$794-500)))))))</f>
        <v/>
      </c>
      <c r="G792" s="46">
        <f>IF(_calc!$E$794="","",IF(_calc!$E$794&lt;=500,IF(LEN(INDEX('Our policies'!$R$4:$R$503,_calc!$E$794))=0,"",INDEX('Our policies'!$R$4:$R$503,_calc!$E$794)),IF(LEN(INDEX('Vendor COIs'!$O$4:$O$503,(_calc!$E$794-500)))=0,"",INDEX('Vendor COIs'!$O$4:$O$503,(_calc!$E$794-500)))))</f>
        <v/>
      </c>
      <c r="H792" s="46">
        <f>IF(_calc!$E$794="","",IF(_calc!$E$794&lt;=500,IF(LEN(INDEX('Our policies'!$G$4:$G$503,_calc!$E$794))=0,"",INDEX('Our policies'!$G$4:$G$503,_calc!$E$794)),""))</f>
        <v/>
      </c>
      <c r="I792" s="46">
        <f>IF(_calc!$E$794="","",IF(_calc!$E$794&lt;=500,IF(LEN(INDEX('Our policies'!$H$4:$H$503,_calc!$E$794))=0,"",INDEX('Our policies'!$H$4:$H$503,_calc!$E$794)),""))</f>
        <v/>
      </c>
      <c r="K792" s="46">
        <f>IF(_calc!$E$794="","",IF(_calc!$E$794&lt;=500,IF(LEN(INDEX('Our policies'!$P$4:$P$503,_calc!$E$794))=0,"",INDEX('Our policies'!$P$4:$P$503,_calc!$E$794)),IF(LEN(INDEX('Vendor COIs'!$N$4:$N$503,(_calc!$E$794-500)))=0,"",INDEX('Vendor COIs'!$N$4:$N$503,(_calc!$E$794-500)))))</f>
        <v/>
      </c>
    </row>
    <row r="793">
      <c r="A793" s="46">
        <f>IF(_calc!$E$795="","",IF(_calc!$E$795&lt;=500,IF(LEN(INDEX('Our policies'!$A$4:$A$503,_calc!$E$795))=0,"",INDEX('Our policies'!$A$4:$A$503,_calc!$E$795)),"COI – "&amp;IF(LEN(INDEX('Vendor COIs'!$A$4:$A$503,(_calc!$E$795-500)))=0,"",INDEX('Vendor COIs'!$A$4:$A$503,(_calc!$E$795-500)))&amp;" – "&amp;IF(LEN(INDEX('Vendor COIs'!$B$4:$B$503,(_calc!$E$795-500)))=0,"",INDEX('Vendor COIs'!$B$4:$B$503,(_calc!$E$795-500)))))</f>
        <v/>
      </c>
      <c r="B793" s="46">
        <f>IF(_calc!$E$795="","",IF(_calc!$E$795&lt;=500,IF(ISNUMBER(INDEX('Our policies'!$J$4:$J$503,_calc!$E$795)),TEXT(INDEX('Our policies'!$J$4:$J$503,_calc!$E$795),"yyyy-mm-dd"),""),IF(ISNUMBER(INDEX('Vendor COIs'!$H$4:$H$503,(_calc!$E$795-500))),TEXT(INDEX('Vendor COIs'!$H$4:$H$503,(_calc!$E$795-500)),"yyyy-mm-dd"),"")))</f>
        <v/>
      </c>
      <c r="C793" s="46">
        <f>IF(_calc!$E$795="","",IF(_calc!$E$795&lt;=500,"Insurance","Certificate of insurance"))</f>
        <v/>
      </c>
      <c r="D793" s="46">
        <f>IF(_calc!$E$795="","",IF(_calc!$E$795&lt;=500,IF(ISNUMBER(INDEX('Our policies'!$I$4:$I$503,_calc!$E$795)),TEXT(INDEX('Our policies'!$I$4:$I$503,_calc!$E$795),"yyyy-mm-dd"),""),""))</f>
        <v/>
      </c>
      <c r="E793" s="46">
        <f>IF(_calc!$E$795="","",IF(_calc!$E$795&lt;=500,IF(LEN(INDEX('Our policies'!$Q$4:$Q$503,_calc!$E$795))=0,"",INDEX('Our policies'!$Q$4:$Q$503,_calc!$E$795)),"Medium"))</f>
        <v/>
      </c>
      <c r="F793" s="46">
        <f>IF(_calc!$E$795="","",IF(_calc!$E$795&lt;=500,TRIM(IF(LEN(IF(LEN(INDEX('Our policies'!$B$4:$B$503,_calc!$E$795))=0,"",INDEX('Our policies'!$B$4:$B$503,_calc!$E$795)))=0,"","Cover: "&amp;IF(LEN(INDEX('Our policies'!$B$4:$B$503,_calc!$E$795))=0,"",INDEX('Our policies'!$B$4:$B$503,_calc!$E$795))&amp;". ")&amp;IF(LEN(IF(LEN(INDEX('Our policies'!$C$4:$C$503,_calc!$E$795))=0,"",INDEX('Our policies'!$C$4:$C$503,_calc!$E$795)))=0,"","Insurer: "&amp;IF(LEN(INDEX('Our policies'!$C$4:$C$503,_calc!$E$795))=0,"",INDEX('Our policies'!$C$4:$C$503,_calc!$E$795))&amp;". ")&amp;IF(LEN(IF(LEN(INDEX('Our policies'!$D$4:$D$503,_calc!$E$795))=0,"",INDEX('Our policies'!$D$4:$D$503,_calc!$E$795)))=0,"","Broker: "&amp;IF(LEN(INDEX('Our policies'!$D$4:$D$503,_calc!$E$795))=0,"",INDEX('Our policies'!$D$4:$D$503,_calc!$E$795))&amp;". ")&amp;IF(LEN(IF(LEN(INDEX('Our policies'!$E$4:$E$503,_calc!$E$795))=0,"",INDEX('Our policies'!$E$4:$E$503,_calc!$E$795)))=0,"","Policy no.: "&amp;IF(LEN(INDEX('Our policies'!$E$4:$E$503,_calc!$E$795))=0,"",INDEX('Our policies'!$E$4:$E$503,_calc!$E$795))&amp;". ")&amp;IF(LEN(IF(LEN(INDEX('Our policies'!$S$4:$S$503,_calc!$E$795))=0,"",INDEX('Our policies'!$S$4:$S$503,_calc!$E$795)))=0,"",IF(LEN(INDEX('Our policies'!$S$4:$S$503,_calc!$E$795))=0,"",INDEX('Our policies'!$S$4:$S$503,_calc!$E$795)))),TRIM(IF(LEN(IF(LEN(INDEX('Vendor COIs'!$C$4:$C$503,(_calc!$E$795-500)))=0,"",INDEX('Vendor COIs'!$C$4:$C$503,(_calc!$E$795-500))))=0,"","Insurer: "&amp;IF(LEN(INDEX('Vendor COIs'!$C$4:$C$503,(_calc!$E$795-500)))=0,"",INDEX('Vendor COIs'!$C$4:$C$503,(_calc!$E$795-500)))&amp;". ")&amp;IF(LEN(IF(LEN(INDEX('Vendor COIs'!$D$4:$D$503,(_calc!$E$795-500)))=0,"",INDEX('Vendor COIs'!$D$4:$D$503,(_calc!$E$795-500))))=0,"","Policy no.: "&amp;IF(LEN(INDEX('Vendor COIs'!$D$4:$D$503,(_calc!$E$795-500)))=0,"",INDEX('Vendor COIs'!$D$4:$D$503,(_calc!$E$795-500)))&amp;". ")&amp;IF(LEN(IF(LEN(INDEX('Vendor COIs'!$F$4:$F$503,(_calc!$E$795-500)))=0,"",INDEX('Vendor COIs'!$F$4:$F$503,(_calc!$E$795-500))))=0,"","Meets minimum: "&amp;IF(LEN(INDEX('Vendor COIs'!$F$4:$F$503,(_calc!$E$795-500)))=0,"",INDEX('Vendor COIs'!$F$4:$F$503,(_calc!$E$795-500)))&amp;". ")&amp;IF(LEN(IF(LEN(INDEX('Vendor COIs'!$G$4:$G$503,(_calc!$E$795-500)))=0,"",INDEX('Vendor COIs'!$G$4:$G$503,(_calc!$E$795-500))))=0,"","Additional insured: "&amp;IF(LEN(INDEX('Vendor COIs'!$G$4:$G$503,(_calc!$E$795-500)))=0,"",INDEX('Vendor COIs'!$G$4:$G$503,(_calc!$E$795-500)))&amp;". ")&amp;IF(LEN(IF(LEN(INDEX('Vendor COIs'!$M$4:$M$503,(_calc!$E$795-500)))=0,"",INDEX('Vendor COIs'!$M$4:$M$503,(_calc!$E$795-500))))=0,"","Vendor contact: "&amp;IF(LEN(INDEX('Vendor COIs'!$M$4:$M$503,(_calc!$E$795-500)))=0,"",INDEX('Vendor COIs'!$M$4:$M$503,(_calc!$E$795-500)))&amp;". ")&amp;IF(LEN(IF(LEN(INDEX('Vendor COIs'!$P$4:$P$503,(_calc!$E$795-500)))=0,"",INDEX('Vendor COIs'!$P$4:$P$503,(_calc!$E$795-500))))=0,"",IF(LEN(INDEX('Vendor COIs'!$P$4:$P$503,(_calc!$E$795-500)))=0,"",INDEX('Vendor COIs'!$P$4:$P$503,(_calc!$E$795-500)))))))</f>
        <v/>
      </c>
      <c r="G793" s="46">
        <f>IF(_calc!$E$795="","",IF(_calc!$E$795&lt;=500,IF(LEN(INDEX('Our policies'!$R$4:$R$503,_calc!$E$795))=0,"",INDEX('Our policies'!$R$4:$R$503,_calc!$E$795)),IF(LEN(INDEX('Vendor COIs'!$O$4:$O$503,(_calc!$E$795-500)))=0,"",INDEX('Vendor COIs'!$O$4:$O$503,(_calc!$E$795-500)))))</f>
        <v/>
      </c>
      <c r="H793" s="46">
        <f>IF(_calc!$E$795="","",IF(_calc!$E$795&lt;=500,IF(LEN(INDEX('Our policies'!$G$4:$G$503,_calc!$E$795))=0,"",INDEX('Our policies'!$G$4:$G$503,_calc!$E$795)),""))</f>
        <v/>
      </c>
      <c r="I793" s="46">
        <f>IF(_calc!$E$795="","",IF(_calc!$E$795&lt;=500,IF(LEN(INDEX('Our policies'!$H$4:$H$503,_calc!$E$795))=0,"",INDEX('Our policies'!$H$4:$H$503,_calc!$E$795)),""))</f>
        <v/>
      </c>
      <c r="K793" s="46">
        <f>IF(_calc!$E$795="","",IF(_calc!$E$795&lt;=500,IF(LEN(INDEX('Our policies'!$P$4:$P$503,_calc!$E$795))=0,"",INDEX('Our policies'!$P$4:$P$503,_calc!$E$795)),IF(LEN(INDEX('Vendor COIs'!$N$4:$N$503,(_calc!$E$795-500)))=0,"",INDEX('Vendor COIs'!$N$4:$N$503,(_calc!$E$795-500)))))</f>
        <v/>
      </c>
    </row>
    <row r="794">
      <c r="A794" s="46">
        <f>IF(_calc!$E$796="","",IF(_calc!$E$796&lt;=500,IF(LEN(INDEX('Our policies'!$A$4:$A$503,_calc!$E$796))=0,"",INDEX('Our policies'!$A$4:$A$503,_calc!$E$796)),"COI – "&amp;IF(LEN(INDEX('Vendor COIs'!$A$4:$A$503,(_calc!$E$796-500)))=0,"",INDEX('Vendor COIs'!$A$4:$A$503,(_calc!$E$796-500)))&amp;" – "&amp;IF(LEN(INDEX('Vendor COIs'!$B$4:$B$503,(_calc!$E$796-500)))=0,"",INDEX('Vendor COIs'!$B$4:$B$503,(_calc!$E$796-500)))))</f>
        <v/>
      </c>
      <c r="B794" s="46">
        <f>IF(_calc!$E$796="","",IF(_calc!$E$796&lt;=500,IF(ISNUMBER(INDEX('Our policies'!$J$4:$J$503,_calc!$E$796)),TEXT(INDEX('Our policies'!$J$4:$J$503,_calc!$E$796),"yyyy-mm-dd"),""),IF(ISNUMBER(INDEX('Vendor COIs'!$H$4:$H$503,(_calc!$E$796-500))),TEXT(INDEX('Vendor COIs'!$H$4:$H$503,(_calc!$E$796-500)),"yyyy-mm-dd"),"")))</f>
        <v/>
      </c>
      <c r="C794" s="46">
        <f>IF(_calc!$E$796="","",IF(_calc!$E$796&lt;=500,"Insurance","Certificate of insurance"))</f>
        <v/>
      </c>
      <c r="D794" s="46">
        <f>IF(_calc!$E$796="","",IF(_calc!$E$796&lt;=500,IF(ISNUMBER(INDEX('Our policies'!$I$4:$I$503,_calc!$E$796)),TEXT(INDEX('Our policies'!$I$4:$I$503,_calc!$E$796),"yyyy-mm-dd"),""),""))</f>
        <v/>
      </c>
      <c r="E794" s="46">
        <f>IF(_calc!$E$796="","",IF(_calc!$E$796&lt;=500,IF(LEN(INDEX('Our policies'!$Q$4:$Q$503,_calc!$E$796))=0,"",INDEX('Our policies'!$Q$4:$Q$503,_calc!$E$796)),"Medium"))</f>
        <v/>
      </c>
      <c r="F794" s="46">
        <f>IF(_calc!$E$796="","",IF(_calc!$E$796&lt;=500,TRIM(IF(LEN(IF(LEN(INDEX('Our policies'!$B$4:$B$503,_calc!$E$796))=0,"",INDEX('Our policies'!$B$4:$B$503,_calc!$E$796)))=0,"","Cover: "&amp;IF(LEN(INDEX('Our policies'!$B$4:$B$503,_calc!$E$796))=0,"",INDEX('Our policies'!$B$4:$B$503,_calc!$E$796))&amp;". ")&amp;IF(LEN(IF(LEN(INDEX('Our policies'!$C$4:$C$503,_calc!$E$796))=0,"",INDEX('Our policies'!$C$4:$C$503,_calc!$E$796)))=0,"","Insurer: "&amp;IF(LEN(INDEX('Our policies'!$C$4:$C$503,_calc!$E$796))=0,"",INDEX('Our policies'!$C$4:$C$503,_calc!$E$796))&amp;". ")&amp;IF(LEN(IF(LEN(INDEX('Our policies'!$D$4:$D$503,_calc!$E$796))=0,"",INDEX('Our policies'!$D$4:$D$503,_calc!$E$796)))=0,"","Broker: "&amp;IF(LEN(INDEX('Our policies'!$D$4:$D$503,_calc!$E$796))=0,"",INDEX('Our policies'!$D$4:$D$503,_calc!$E$796))&amp;". ")&amp;IF(LEN(IF(LEN(INDEX('Our policies'!$E$4:$E$503,_calc!$E$796))=0,"",INDEX('Our policies'!$E$4:$E$503,_calc!$E$796)))=0,"","Policy no.: "&amp;IF(LEN(INDEX('Our policies'!$E$4:$E$503,_calc!$E$796))=0,"",INDEX('Our policies'!$E$4:$E$503,_calc!$E$796))&amp;". ")&amp;IF(LEN(IF(LEN(INDEX('Our policies'!$S$4:$S$503,_calc!$E$796))=0,"",INDEX('Our policies'!$S$4:$S$503,_calc!$E$796)))=0,"",IF(LEN(INDEX('Our policies'!$S$4:$S$503,_calc!$E$796))=0,"",INDEX('Our policies'!$S$4:$S$503,_calc!$E$796)))),TRIM(IF(LEN(IF(LEN(INDEX('Vendor COIs'!$C$4:$C$503,(_calc!$E$796-500)))=0,"",INDEX('Vendor COIs'!$C$4:$C$503,(_calc!$E$796-500))))=0,"","Insurer: "&amp;IF(LEN(INDEX('Vendor COIs'!$C$4:$C$503,(_calc!$E$796-500)))=0,"",INDEX('Vendor COIs'!$C$4:$C$503,(_calc!$E$796-500)))&amp;". ")&amp;IF(LEN(IF(LEN(INDEX('Vendor COIs'!$D$4:$D$503,(_calc!$E$796-500)))=0,"",INDEX('Vendor COIs'!$D$4:$D$503,(_calc!$E$796-500))))=0,"","Policy no.: "&amp;IF(LEN(INDEX('Vendor COIs'!$D$4:$D$503,(_calc!$E$796-500)))=0,"",INDEX('Vendor COIs'!$D$4:$D$503,(_calc!$E$796-500)))&amp;". ")&amp;IF(LEN(IF(LEN(INDEX('Vendor COIs'!$F$4:$F$503,(_calc!$E$796-500)))=0,"",INDEX('Vendor COIs'!$F$4:$F$503,(_calc!$E$796-500))))=0,"","Meets minimum: "&amp;IF(LEN(INDEX('Vendor COIs'!$F$4:$F$503,(_calc!$E$796-500)))=0,"",INDEX('Vendor COIs'!$F$4:$F$503,(_calc!$E$796-500)))&amp;". ")&amp;IF(LEN(IF(LEN(INDEX('Vendor COIs'!$G$4:$G$503,(_calc!$E$796-500)))=0,"",INDEX('Vendor COIs'!$G$4:$G$503,(_calc!$E$796-500))))=0,"","Additional insured: "&amp;IF(LEN(INDEX('Vendor COIs'!$G$4:$G$503,(_calc!$E$796-500)))=0,"",INDEX('Vendor COIs'!$G$4:$G$503,(_calc!$E$796-500)))&amp;". ")&amp;IF(LEN(IF(LEN(INDEX('Vendor COIs'!$M$4:$M$503,(_calc!$E$796-500)))=0,"",INDEX('Vendor COIs'!$M$4:$M$503,(_calc!$E$796-500))))=0,"","Vendor contact: "&amp;IF(LEN(INDEX('Vendor COIs'!$M$4:$M$503,(_calc!$E$796-500)))=0,"",INDEX('Vendor COIs'!$M$4:$M$503,(_calc!$E$796-500)))&amp;". ")&amp;IF(LEN(IF(LEN(INDEX('Vendor COIs'!$P$4:$P$503,(_calc!$E$796-500)))=0,"",INDEX('Vendor COIs'!$P$4:$P$503,(_calc!$E$796-500))))=0,"",IF(LEN(INDEX('Vendor COIs'!$P$4:$P$503,(_calc!$E$796-500)))=0,"",INDEX('Vendor COIs'!$P$4:$P$503,(_calc!$E$796-500)))))))</f>
        <v/>
      </c>
      <c r="G794" s="46">
        <f>IF(_calc!$E$796="","",IF(_calc!$E$796&lt;=500,IF(LEN(INDEX('Our policies'!$R$4:$R$503,_calc!$E$796))=0,"",INDEX('Our policies'!$R$4:$R$503,_calc!$E$796)),IF(LEN(INDEX('Vendor COIs'!$O$4:$O$503,(_calc!$E$796-500)))=0,"",INDEX('Vendor COIs'!$O$4:$O$503,(_calc!$E$796-500)))))</f>
        <v/>
      </c>
      <c r="H794" s="46">
        <f>IF(_calc!$E$796="","",IF(_calc!$E$796&lt;=500,IF(LEN(INDEX('Our policies'!$G$4:$G$503,_calc!$E$796))=0,"",INDEX('Our policies'!$G$4:$G$503,_calc!$E$796)),""))</f>
        <v/>
      </c>
      <c r="I794" s="46">
        <f>IF(_calc!$E$796="","",IF(_calc!$E$796&lt;=500,IF(LEN(INDEX('Our policies'!$H$4:$H$503,_calc!$E$796))=0,"",INDEX('Our policies'!$H$4:$H$503,_calc!$E$796)),""))</f>
        <v/>
      </c>
      <c r="K794" s="46">
        <f>IF(_calc!$E$796="","",IF(_calc!$E$796&lt;=500,IF(LEN(INDEX('Our policies'!$P$4:$P$503,_calc!$E$796))=0,"",INDEX('Our policies'!$P$4:$P$503,_calc!$E$796)),IF(LEN(INDEX('Vendor COIs'!$N$4:$N$503,(_calc!$E$796-500)))=0,"",INDEX('Vendor COIs'!$N$4:$N$503,(_calc!$E$796-500)))))</f>
        <v/>
      </c>
    </row>
    <row r="795">
      <c r="A795" s="46">
        <f>IF(_calc!$E$797="","",IF(_calc!$E$797&lt;=500,IF(LEN(INDEX('Our policies'!$A$4:$A$503,_calc!$E$797))=0,"",INDEX('Our policies'!$A$4:$A$503,_calc!$E$797)),"COI – "&amp;IF(LEN(INDEX('Vendor COIs'!$A$4:$A$503,(_calc!$E$797-500)))=0,"",INDEX('Vendor COIs'!$A$4:$A$503,(_calc!$E$797-500)))&amp;" – "&amp;IF(LEN(INDEX('Vendor COIs'!$B$4:$B$503,(_calc!$E$797-500)))=0,"",INDEX('Vendor COIs'!$B$4:$B$503,(_calc!$E$797-500)))))</f>
        <v/>
      </c>
      <c r="B795" s="46">
        <f>IF(_calc!$E$797="","",IF(_calc!$E$797&lt;=500,IF(ISNUMBER(INDEX('Our policies'!$J$4:$J$503,_calc!$E$797)),TEXT(INDEX('Our policies'!$J$4:$J$503,_calc!$E$797),"yyyy-mm-dd"),""),IF(ISNUMBER(INDEX('Vendor COIs'!$H$4:$H$503,(_calc!$E$797-500))),TEXT(INDEX('Vendor COIs'!$H$4:$H$503,(_calc!$E$797-500)),"yyyy-mm-dd"),"")))</f>
        <v/>
      </c>
      <c r="C795" s="46">
        <f>IF(_calc!$E$797="","",IF(_calc!$E$797&lt;=500,"Insurance","Certificate of insurance"))</f>
        <v/>
      </c>
      <c r="D795" s="46">
        <f>IF(_calc!$E$797="","",IF(_calc!$E$797&lt;=500,IF(ISNUMBER(INDEX('Our policies'!$I$4:$I$503,_calc!$E$797)),TEXT(INDEX('Our policies'!$I$4:$I$503,_calc!$E$797),"yyyy-mm-dd"),""),""))</f>
        <v/>
      </c>
      <c r="E795" s="46">
        <f>IF(_calc!$E$797="","",IF(_calc!$E$797&lt;=500,IF(LEN(INDEX('Our policies'!$Q$4:$Q$503,_calc!$E$797))=0,"",INDEX('Our policies'!$Q$4:$Q$503,_calc!$E$797)),"Medium"))</f>
        <v/>
      </c>
      <c r="F795" s="46">
        <f>IF(_calc!$E$797="","",IF(_calc!$E$797&lt;=500,TRIM(IF(LEN(IF(LEN(INDEX('Our policies'!$B$4:$B$503,_calc!$E$797))=0,"",INDEX('Our policies'!$B$4:$B$503,_calc!$E$797)))=0,"","Cover: "&amp;IF(LEN(INDEX('Our policies'!$B$4:$B$503,_calc!$E$797))=0,"",INDEX('Our policies'!$B$4:$B$503,_calc!$E$797))&amp;". ")&amp;IF(LEN(IF(LEN(INDEX('Our policies'!$C$4:$C$503,_calc!$E$797))=0,"",INDEX('Our policies'!$C$4:$C$503,_calc!$E$797)))=0,"","Insurer: "&amp;IF(LEN(INDEX('Our policies'!$C$4:$C$503,_calc!$E$797))=0,"",INDEX('Our policies'!$C$4:$C$503,_calc!$E$797))&amp;". ")&amp;IF(LEN(IF(LEN(INDEX('Our policies'!$D$4:$D$503,_calc!$E$797))=0,"",INDEX('Our policies'!$D$4:$D$503,_calc!$E$797)))=0,"","Broker: "&amp;IF(LEN(INDEX('Our policies'!$D$4:$D$503,_calc!$E$797))=0,"",INDEX('Our policies'!$D$4:$D$503,_calc!$E$797))&amp;". ")&amp;IF(LEN(IF(LEN(INDEX('Our policies'!$E$4:$E$503,_calc!$E$797))=0,"",INDEX('Our policies'!$E$4:$E$503,_calc!$E$797)))=0,"","Policy no.: "&amp;IF(LEN(INDEX('Our policies'!$E$4:$E$503,_calc!$E$797))=0,"",INDEX('Our policies'!$E$4:$E$503,_calc!$E$797))&amp;". ")&amp;IF(LEN(IF(LEN(INDEX('Our policies'!$S$4:$S$503,_calc!$E$797))=0,"",INDEX('Our policies'!$S$4:$S$503,_calc!$E$797)))=0,"",IF(LEN(INDEX('Our policies'!$S$4:$S$503,_calc!$E$797))=0,"",INDEX('Our policies'!$S$4:$S$503,_calc!$E$797)))),TRIM(IF(LEN(IF(LEN(INDEX('Vendor COIs'!$C$4:$C$503,(_calc!$E$797-500)))=0,"",INDEX('Vendor COIs'!$C$4:$C$503,(_calc!$E$797-500))))=0,"","Insurer: "&amp;IF(LEN(INDEX('Vendor COIs'!$C$4:$C$503,(_calc!$E$797-500)))=0,"",INDEX('Vendor COIs'!$C$4:$C$503,(_calc!$E$797-500)))&amp;". ")&amp;IF(LEN(IF(LEN(INDEX('Vendor COIs'!$D$4:$D$503,(_calc!$E$797-500)))=0,"",INDEX('Vendor COIs'!$D$4:$D$503,(_calc!$E$797-500))))=0,"","Policy no.: "&amp;IF(LEN(INDEX('Vendor COIs'!$D$4:$D$503,(_calc!$E$797-500)))=0,"",INDEX('Vendor COIs'!$D$4:$D$503,(_calc!$E$797-500)))&amp;". ")&amp;IF(LEN(IF(LEN(INDEX('Vendor COIs'!$F$4:$F$503,(_calc!$E$797-500)))=0,"",INDEX('Vendor COIs'!$F$4:$F$503,(_calc!$E$797-500))))=0,"","Meets minimum: "&amp;IF(LEN(INDEX('Vendor COIs'!$F$4:$F$503,(_calc!$E$797-500)))=0,"",INDEX('Vendor COIs'!$F$4:$F$503,(_calc!$E$797-500)))&amp;". ")&amp;IF(LEN(IF(LEN(INDEX('Vendor COIs'!$G$4:$G$503,(_calc!$E$797-500)))=0,"",INDEX('Vendor COIs'!$G$4:$G$503,(_calc!$E$797-500))))=0,"","Additional insured: "&amp;IF(LEN(INDEX('Vendor COIs'!$G$4:$G$503,(_calc!$E$797-500)))=0,"",INDEX('Vendor COIs'!$G$4:$G$503,(_calc!$E$797-500)))&amp;". ")&amp;IF(LEN(IF(LEN(INDEX('Vendor COIs'!$M$4:$M$503,(_calc!$E$797-500)))=0,"",INDEX('Vendor COIs'!$M$4:$M$503,(_calc!$E$797-500))))=0,"","Vendor contact: "&amp;IF(LEN(INDEX('Vendor COIs'!$M$4:$M$503,(_calc!$E$797-500)))=0,"",INDEX('Vendor COIs'!$M$4:$M$503,(_calc!$E$797-500)))&amp;". ")&amp;IF(LEN(IF(LEN(INDEX('Vendor COIs'!$P$4:$P$503,(_calc!$E$797-500)))=0,"",INDEX('Vendor COIs'!$P$4:$P$503,(_calc!$E$797-500))))=0,"",IF(LEN(INDEX('Vendor COIs'!$P$4:$P$503,(_calc!$E$797-500)))=0,"",INDEX('Vendor COIs'!$P$4:$P$503,(_calc!$E$797-500)))))))</f>
        <v/>
      </c>
      <c r="G795" s="46">
        <f>IF(_calc!$E$797="","",IF(_calc!$E$797&lt;=500,IF(LEN(INDEX('Our policies'!$R$4:$R$503,_calc!$E$797))=0,"",INDEX('Our policies'!$R$4:$R$503,_calc!$E$797)),IF(LEN(INDEX('Vendor COIs'!$O$4:$O$503,(_calc!$E$797-500)))=0,"",INDEX('Vendor COIs'!$O$4:$O$503,(_calc!$E$797-500)))))</f>
        <v/>
      </c>
      <c r="H795" s="46">
        <f>IF(_calc!$E$797="","",IF(_calc!$E$797&lt;=500,IF(LEN(INDEX('Our policies'!$G$4:$G$503,_calc!$E$797))=0,"",INDEX('Our policies'!$G$4:$G$503,_calc!$E$797)),""))</f>
        <v/>
      </c>
      <c r="I795" s="46">
        <f>IF(_calc!$E$797="","",IF(_calc!$E$797&lt;=500,IF(LEN(INDEX('Our policies'!$H$4:$H$503,_calc!$E$797))=0,"",INDEX('Our policies'!$H$4:$H$503,_calc!$E$797)),""))</f>
        <v/>
      </c>
      <c r="K795" s="46">
        <f>IF(_calc!$E$797="","",IF(_calc!$E$797&lt;=500,IF(LEN(INDEX('Our policies'!$P$4:$P$503,_calc!$E$797))=0,"",INDEX('Our policies'!$P$4:$P$503,_calc!$E$797)),IF(LEN(INDEX('Vendor COIs'!$N$4:$N$503,(_calc!$E$797-500)))=0,"",INDEX('Vendor COIs'!$N$4:$N$503,(_calc!$E$797-500)))))</f>
        <v/>
      </c>
    </row>
    <row r="796">
      <c r="A796" s="46">
        <f>IF(_calc!$E$798="","",IF(_calc!$E$798&lt;=500,IF(LEN(INDEX('Our policies'!$A$4:$A$503,_calc!$E$798))=0,"",INDEX('Our policies'!$A$4:$A$503,_calc!$E$798)),"COI – "&amp;IF(LEN(INDEX('Vendor COIs'!$A$4:$A$503,(_calc!$E$798-500)))=0,"",INDEX('Vendor COIs'!$A$4:$A$503,(_calc!$E$798-500)))&amp;" – "&amp;IF(LEN(INDEX('Vendor COIs'!$B$4:$B$503,(_calc!$E$798-500)))=0,"",INDEX('Vendor COIs'!$B$4:$B$503,(_calc!$E$798-500)))))</f>
        <v/>
      </c>
      <c r="B796" s="46">
        <f>IF(_calc!$E$798="","",IF(_calc!$E$798&lt;=500,IF(ISNUMBER(INDEX('Our policies'!$J$4:$J$503,_calc!$E$798)),TEXT(INDEX('Our policies'!$J$4:$J$503,_calc!$E$798),"yyyy-mm-dd"),""),IF(ISNUMBER(INDEX('Vendor COIs'!$H$4:$H$503,(_calc!$E$798-500))),TEXT(INDEX('Vendor COIs'!$H$4:$H$503,(_calc!$E$798-500)),"yyyy-mm-dd"),"")))</f>
        <v/>
      </c>
      <c r="C796" s="46">
        <f>IF(_calc!$E$798="","",IF(_calc!$E$798&lt;=500,"Insurance","Certificate of insurance"))</f>
        <v/>
      </c>
      <c r="D796" s="46">
        <f>IF(_calc!$E$798="","",IF(_calc!$E$798&lt;=500,IF(ISNUMBER(INDEX('Our policies'!$I$4:$I$503,_calc!$E$798)),TEXT(INDEX('Our policies'!$I$4:$I$503,_calc!$E$798),"yyyy-mm-dd"),""),""))</f>
        <v/>
      </c>
      <c r="E796" s="46">
        <f>IF(_calc!$E$798="","",IF(_calc!$E$798&lt;=500,IF(LEN(INDEX('Our policies'!$Q$4:$Q$503,_calc!$E$798))=0,"",INDEX('Our policies'!$Q$4:$Q$503,_calc!$E$798)),"Medium"))</f>
        <v/>
      </c>
      <c r="F796" s="46">
        <f>IF(_calc!$E$798="","",IF(_calc!$E$798&lt;=500,TRIM(IF(LEN(IF(LEN(INDEX('Our policies'!$B$4:$B$503,_calc!$E$798))=0,"",INDEX('Our policies'!$B$4:$B$503,_calc!$E$798)))=0,"","Cover: "&amp;IF(LEN(INDEX('Our policies'!$B$4:$B$503,_calc!$E$798))=0,"",INDEX('Our policies'!$B$4:$B$503,_calc!$E$798))&amp;". ")&amp;IF(LEN(IF(LEN(INDEX('Our policies'!$C$4:$C$503,_calc!$E$798))=0,"",INDEX('Our policies'!$C$4:$C$503,_calc!$E$798)))=0,"","Insurer: "&amp;IF(LEN(INDEX('Our policies'!$C$4:$C$503,_calc!$E$798))=0,"",INDEX('Our policies'!$C$4:$C$503,_calc!$E$798))&amp;". ")&amp;IF(LEN(IF(LEN(INDEX('Our policies'!$D$4:$D$503,_calc!$E$798))=0,"",INDEX('Our policies'!$D$4:$D$503,_calc!$E$798)))=0,"","Broker: "&amp;IF(LEN(INDEX('Our policies'!$D$4:$D$503,_calc!$E$798))=0,"",INDEX('Our policies'!$D$4:$D$503,_calc!$E$798))&amp;". ")&amp;IF(LEN(IF(LEN(INDEX('Our policies'!$E$4:$E$503,_calc!$E$798))=0,"",INDEX('Our policies'!$E$4:$E$503,_calc!$E$798)))=0,"","Policy no.: "&amp;IF(LEN(INDEX('Our policies'!$E$4:$E$503,_calc!$E$798))=0,"",INDEX('Our policies'!$E$4:$E$503,_calc!$E$798))&amp;". ")&amp;IF(LEN(IF(LEN(INDEX('Our policies'!$S$4:$S$503,_calc!$E$798))=0,"",INDEX('Our policies'!$S$4:$S$503,_calc!$E$798)))=0,"",IF(LEN(INDEX('Our policies'!$S$4:$S$503,_calc!$E$798))=0,"",INDEX('Our policies'!$S$4:$S$503,_calc!$E$798)))),TRIM(IF(LEN(IF(LEN(INDEX('Vendor COIs'!$C$4:$C$503,(_calc!$E$798-500)))=0,"",INDEX('Vendor COIs'!$C$4:$C$503,(_calc!$E$798-500))))=0,"","Insurer: "&amp;IF(LEN(INDEX('Vendor COIs'!$C$4:$C$503,(_calc!$E$798-500)))=0,"",INDEX('Vendor COIs'!$C$4:$C$503,(_calc!$E$798-500)))&amp;". ")&amp;IF(LEN(IF(LEN(INDEX('Vendor COIs'!$D$4:$D$503,(_calc!$E$798-500)))=0,"",INDEX('Vendor COIs'!$D$4:$D$503,(_calc!$E$798-500))))=0,"","Policy no.: "&amp;IF(LEN(INDEX('Vendor COIs'!$D$4:$D$503,(_calc!$E$798-500)))=0,"",INDEX('Vendor COIs'!$D$4:$D$503,(_calc!$E$798-500)))&amp;". ")&amp;IF(LEN(IF(LEN(INDEX('Vendor COIs'!$F$4:$F$503,(_calc!$E$798-500)))=0,"",INDEX('Vendor COIs'!$F$4:$F$503,(_calc!$E$798-500))))=0,"","Meets minimum: "&amp;IF(LEN(INDEX('Vendor COIs'!$F$4:$F$503,(_calc!$E$798-500)))=0,"",INDEX('Vendor COIs'!$F$4:$F$503,(_calc!$E$798-500)))&amp;". ")&amp;IF(LEN(IF(LEN(INDEX('Vendor COIs'!$G$4:$G$503,(_calc!$E$798-500)))=0,"",INDEX('Vendor COIs'!$G$4:$G$503,(_calc!$E$798-500))))=0,"","Additional insured: "&amp;IF(LEN(INDEX('Vendor COIs'!$G$4:$G$503,(_calc!$E$798-500)))=0,"",INDEX('Vendor COIs'!$G$4:$G$503,(_calc!$E$798-500)))&amp;". ")&amp;IF(LEN(IF(LEN(INDEX('Vendor COIs'!$M$4:$M$503,(_calc!$E$798-500)))=0,"",INDEX('Vendor COIs'!$M$4:$M$503,(_calc!$E$798-500))))=0,"","Vendor contact: "&amp;IF(LEN(INDEX('Vendor COIs'!$M$4:$M$503,(_calc!$E$798-500)))=0,"",INDEX('Vendor COIs'!$M$4:$M$503,(_calc!$E$798-500)))&amp;". ")&amp;IF(LEN(IF(LEN(INDEX('Vendor COIs'!$P$4:$P$503,(_calc!$E$798-500)))=0,"",INDEX('Vendor COIs'!$P$4:$P$503,(_calc!$E$798-500))))=0,"",IF(LEN(INDEX('Vendor COIs'!$P$4:$P$503,(_calc!$E$798-500)))=0,"",INDEX('Vendor COIs'!$P$4:$P$503,(_calc!$E$798-500)))))))</f>
        <v/>
      </c>
      <c r="G796" s="46">
        <f>IF(_calc!$E$798="","",IF(_calc!$E$798&lt;=500,IF(LEN(INDEX('Our policies'!$R$4:$R$503,_calc!$E$798))=0,"",INDEX('Our policies'!$R$4:$R$503,_calc!$E$798)),IF(LEN(INDEX('Vendor COIs'!$O$4:$O$503,(_calc!$E$798-500)))=0,"",INDEX('Vendor COIs'!$O$4:$O$503,(_calc!$E$798-500)))))</f>
        <v/>
      </c>
      <c r="H796" s="46">
        <f>IF(_calc!$E$798="","",IF(_calc!$E$798&lt;=500,IF(LEN(INDEX('Our policies'!$G$4:$G$503,_calc!$E$798))=0,"",INDEX('Our policies'!$G$4:$G$503,_calc!$E$798)),""))</f>
        <v/>
      </c>
      <c r="I796" s="46">
        <f>IF(_calc!$E$798="","",IF(_calc!$E$798&lt;=500,IF(LEN(INDEX('Our policies'!$H$4:$H$503,_calc!$E$798))=0,"",INDEX('Our policies'!$H$4:$H$503,_calc!$E$798)),""))</f>
        <v/>
      </c>
      <c r="K796" s="46">
        <f>IF(_calc!$E$798="","",IF(_calc!$E$798&lt;=500,IF(LEN(INDEX('Our policies'!$P$4:$P$503,_calc!$E$798))=0,"",INDEX('Our policies'!$P$4:$P$503,_calc!$E$798)),IF(LEN(INDEX('Vendor COIs'!$N$4:$N$503,(_calc!$E$798-500)))=0,"",INDEX('Vendor COIs'!$N$4:$N$503,(_calc!$E$798-500)))))</f>
        <v/>
      </c>
    </row>
    <row r="797">
      <c r="A797" s="46">
        <f>IF(_calc!$E$799="","",IF(_calc!$E$799&lt;=500,IF(LEN(INDEX('Our policies'!$A$4:$A$503,_calc!$E$799))=0,"",INDEX('Our policies'!$A$4:$A$503,_calc!$E$799)),"COI – "&amp;IF(LEN(INDEX('Vendor COIs'!$A$4:$A$503,(_calc!$E$799-500)))=0,"",INDEX('Vendor COIs'!$A$4:$A$503,(_calc!$E$799-500)))&amp;" – "&amp;IF(LEN(INDEX('Vendor COIs'!$B$4:$B$503,(_calc!$E$799-500)))=0,"",INDEX('Vendor COIs'!$B$4:$B$503,(_calc!$E$799-500)))))</f>
        <v/>
      </c>
      <c r="B797" s="46">
        <f>IF(_calc!$E$799="","",IF(_calc!$E$799&lt;=500,IF(ISNUMBER(INDEX('Our policies'!$J$4:$J$503,_calc!$E$799)),TEXT(INDEX('Our policies'!$J$4:$J$503,_calc!$E$799),"yyyy-mm-dd"),""),IF(ISNUMBER(INDEX('Vendor COIs'!$H$4:$H$503,(_calc!$E$799-500))),TEXT(INDEX('Vendor COIs'!$H$4:$H$503,(_calc!$E$799-500)),"yyyy-mm-dd"),"")))</f>
        <v/>
      </c>
      <c r="C797" s="46">
        <f>IF(_calc!$E$799="","",IF(_calc!$E$799&lt;=500,"Insurance","Certificate of insurance"))</f>
        <v/>
      </c>
      <c r="D797" s="46">
        <f>IF(_calc!$E$799="","",IF(_calc!$E$799&lt;=500,IF(ISNUMBER(INDEX('Our policies'!$I$4:$I$503,_calc!$E$799)),TEXT(INDEX('Our policies'!$I$4:$I$503,_calc!$E$799),"yyyy-mm-dd"),""),""))</f>
        <v/>
      </c>
      <c r="E797" s="46">
        <f>IF(_calc!$E$799="","",IF(_calc!$E$799&lt;=500,IF(LEN(INDEX('Our policies'!$Q$4:$Q$503,_calc!$E$799))=0,"",INDEX('Our policies'!$Q$4:$Q$503,_calc!$E$799)),"Medium"))</f>
        <v/>
      </c>
      <c r="F797" s="46">
        <f>IF(_calc!$E$799="","",IF(_calc!$E$799&lt;=500,TRIM(IF(LEN(IF(LEN(INDEX('Our policies'!$B$4:$B$503,_calc!$E$799))=0,"",INDEX('Our policies'!$B$4:$B$503,_calc!$E$799)))=0,"","Cover: "&amp;IF(LEN(INDEX('Our policies'!$B$4:$B$503,_calc!$E$799))=0,"",INDEX('Our policies'!$B$4:$B$503,_calc!$E$799))&amp;". ")&amp;IF(LEN(IF(LEN(INDEX('Our policies'!$C$4:$C$503,_calc!$E$799))=0,"",INDEX('Our policies'!$C$4:$C$503,_calc!$E$799)))=0,"","Insurer: "&amp;IF(LEN(INDEX('Our policies'!$C$4:$C$503,_calc!$E$799))=0,"",INDEX('Our policies'!$C$4:$C$503,_calc!$E$799))&amp;". ")&amp;IF(LEN(IF(LEN(INDEX('Our policies'!$D$4:$D$503,_calc!$E$799))=0,"",INDEX('Our policies'!$D$4:$D$503,_calc!$E$799)))=0,"","Broker: "&amp;IF(LEN(INDEX('Our policies'!$D$4:$D$503,_calc!$E$799))=0,"",INDEX('Our policies'!$D$4:$D$503,_calc!$E$799))&amp;". ")&amp;IF(LEN(IF(LEN(INDEX('Our policies'!$E$4:$E$503,_calc!$E$799))=0,"",INDEX('Our policies'!$E$4:$E$503,_calc!$E$799)))=0,"","Policy no.: "&amp;IF(LEN(INDEX('Our policies'!$E$4:$E$503,_calc!$E$799))=0,"",INDEX('Our policies'!$E$4:$E$503,_calc!$E$799))&amp;". ")&amp;IF(LEN(IF(LEN(INDEX('Our policies'!$S$4:$S$503,_calc!$E$799))=0,"",INDEX('Our policies'!$S$4:$S$503,_calc!$E$799)))=0,"",IF(LEN(INDEX('Our policies'!$S$4:$S$503,_calc!$E$799))=0,"",INDEX('Our policies'!$S$4:$S$503,_calc!$E$799)))),TRIM(IF(LEN(IF(LEN(INDEX('Vendor COIs'!$C$4:$C$503,(_calc!$E$799-500)))=0,"",INDEX('Vendor COIs'!$C$4:$C$503,(_calc!$E$799-500))))=0,"","Insurer: "&amp;IF(LEN(INDEX('Vendor COIs'!$C$4:$C$503,(_calc!$E$799-500)))=0,"",INDEX('Vendor COIs'!$C$4:$C$503,(_calc!$E$799-500)))&amp;". ")&amp;IF(LEN(IF(LEN(INDEX('Vendor COIs'!$D$4:$D$503,(_calc!$E$799-500)))=0,"",INDEX('Vendor COIs'!$D$4:$D$503,(_calc!$E$799-500))))=0,"","Policy no.: "&amp;IF(LEN(INDEX('Vendor COIs'!$D$4:$D$503,(_calc!$E$799-500)))=0,"",INDEX('Vendor COIs'!$D$4:$D$503,(_calc!$E$799-500)))&amp;". ")&amp;IF(LEN(IF(LEN(INDEX('Vendor COIs'!$F$4:$F$503,(_calc!$E$799-500)))=0,"",INDEX('Vendor COIs'!$F$4:$F$503,(_calc!$E$799-500))))=0,"","Meets minimum: "&amp;IF(LEN(INDEX('Vendor COIs'!$F$4:$F$503,(_calc!$E$799-500)))=0,"",INDEX('Vendor COIs'!$F$4:$F$503,(_calc!$E$799-500)))&amp;". ")&amp;IF(LEN(IF(LEN(INDEX('Vendor COIs'!$G$4:$G$503,(_calc!$E$799-500)))=0,"",INDEX('Vendor COIs'!$G$4:$G$503,(_calc!$E$799-500))))=0,"","Additional insured: "&amp;IF(LEN(INDEX('Vendor COIs'!$G$4:$G$503,(_calc!$E$799-500)))=0,"",INDEX('Vendor COIs'!$G$4:$G$503,(_calc!$E$799-500)))&amp;". ")&amp;IF(LEN(IF(LEN(INDEX('Vendor COIs'!$M$4:$M$503,(_calc!$E$799-500)))=0,"",INDEX('Vendor COIs'!$M$4:$M$503,(_calc!$E$799-500))))=0,"","Vendor contact: "&amp;IF(LEN(INDEX('Vendor COIs'!$M$4:$M$503,(_calc!$E$799-500)))=0,"",INDEX('Vendor COIs'!$M$4:$M$503,(_calc!$E$799-500)))&amp;". ")&amp;IF(LEN(IF(LEN(INDEX('Vendor COIs'!$P$4:$P$503,(_calc!$E$799-500)))=0,"",INDEX('Vendor COIs'!$P$4:$P$503,(_calc!$E$799-500))))=0,"",IF(LEN(INDEX('Vendor COIs'!$P$4:$P$503,(_calc!$E$799-500)))=0,"",INDEX('Vendor COIs'!$P$4:$P$503,(_calc!$E$799-500)))))))</f>
        <v/>
      </c>
      <c r="G797" s="46">
        <f>IF(_calc!$E$799="","",IF(_calc!$E$799&lt;=500,IF(LEN(INDEX('Our policies'!$R$4:$R$503,_calc!$E$799))=0,"",INDEX('Our policies'!$R$4:$R$503,_calc!$E$799)),IF(LEN(INDEX('Vendor COIs'!$O$4:$O$503,(_calc!$E$799-500)))=0,"",INDEX('Vendor COIs'!$O$4:$O$503,(_calc!$E$799-500)))))</f>
        <v/>
      </c>
      <c r="H797" s="46">
        <f>IF(_calc!$E$799="","",IF(_calc!$E$799&lt;=500,IF(LEN(INDEX('Our policies'!$G$4:$G$503,_calc!$E$799))=0,"",INDEX('Our policies'!$G$4:$G$503,_calc!$E$799)),""))</f>
        <v/>
      </c>
      <c r="I797" s="46">
        <f>IF(_calc!$E$799="","",IF(_calc!$E$799&lt;=500,IF(LEN(INDEX('Our policies'!$H$4:$H$503,_calc!$E$799))=0,"",INDEX('Our policies'!$H$4:$H$503,_calc!$E$799)),""))</f>
        <v/>
      </c>
      <c r="K797" s="46">
        <f>IF(_calc!$E$799="","",IF(_calc!$E$799&lt;=500,IF(LEN(INDEX('Our policies'!$P$4:$P$503,_calc!$E$799))=0,"",INDEX('Our policies'!$P$4:$P$503,_calc!$E$799)),IF(LEN(INDEX('Vendor COIs'!$N$4:$N$503,(_calc!$E$799-500)))=0,"",INDEX('Vendor COIs'!$N$4:$N$503,(_calc!$E$799-500)))))</f>
        <v/>
      </c>
    </row>
    <row r="798">
      <c r="A798" s="46">
        <f>IF(_calc!$E$800="","",IF(_calc!$E$800&lt;=500,IF(LEN(INDEX('Our policies'!$A$4:$A$503,_calc!$E$800))=0,"",INDEX('Our policies'!$A$4:$A$503,_calc!$E$800)),"COI – "&amp;IF(LEN(INDEX('Vendor COIs'!$A$4:$A$503,(_calc!$E$800-500)))=0,"",INDEX('Vendor COIs'!$A$4:$A$503,(_calc!$E$800-500)))&amp;" – "&amp;IF(LEN(INDEX('Vendor COIs'!$B$4:$B$503,(_calc!$E$800-500)))=0,"",INDEX('Vendor COIs'!$B$4:$B$503,(_calc!$E$800-500)))))</f>
        <v/>
      </c>
      <c r="B798" s="46">
        <f>IF(_calc!$E$800="","",IF(_calc!$E$800&lt;=500,IF(ISNUMBER(INDEX('Our policies'!$J$4:$J$503,_calc!$E$800)),TEXT(INDEX('Our policies'!$J$4:$J$503,_calc!$E$800),"yyyy-mm-dd"),""),IF(ISNUMBER(INDEX('Vendor COIs'!$H$4:$H$503,(_calc!$E$800-500))),TEXT(INDEX('Vendor COIs'!$H$4:$H$503,(_calc!$E$800-500)),"yyyy-mm-dd"),"")))</f>
        <v/>
      </c>
      <c r="C798" s="46">
        <f>IF(_calc!$E$800="","",IF(_calc!$E$800&lt;=500,"Insurance","Certificate of insurance"))</f>
        <v/>
      </c>
      <c r="D798" s="46">
        <f>IF(_calc!$E$800="","",IF(_calc!$E$800&lt;=500,IF(ISNUMBER(INDEX('Our policies'!$I$4:$I$503,_calc!$E$800)),TEXT(INDEX('Our policies'!$I$4:$I$503,_calc!$E$800),"yyyy-mm-dd"),""),""))</f>
        <v/>
      </c>
      <c r="E798" s="46">
        <f>IF(_calc!$E$800="","",IF(_calc!$E$800&lt;=500,IF(LEN(INDEX('Our policies'!$Q$4:$Q$503,_calc!$E$800))=0,"",INDEX('Our policies'!$Q$4:$Q$503,_calc!$E$800)),"Medium"))</f>
        <v/>
      </c>
      <c r="F798" s="46">
        <f>IF(_calc!$E$800="","",IF(_calc!$E$800&lt;=500,TRIM(IF(LEN(IF(LEN(INDEX('Our policies'!$B$4:$B$503,_calc!$E$800))=0,"",INDEX('Our policies'!$B$4:$B$503,_calc!$E$800)))=0,"","Cover: "&amp;IF(LEN(INDEX('Our policies'!$B$4:$B$503,_calc!$E$800))=0,"",INDEX('Our policies'!$B$4:$B$503,_calc!$E$800))&amp;". ")&amp;IF(LEN(IF(LEN(INDEX('Our policies'!$C$4:$C$503,_calc!$E$800))=0,"",INDEX('Our policies'!$C$4:$C$503,_calc!$E$800)))=0,"","Insurer: "&amp;IF(LEN(INDEX('Our policies'!$C$4:$C$503,_calc!$E$800))=0,"",INDEX('Our policies'!$C$4:$C$503,_calc!$E$800))&amp;". ")&amp;IF(LEN(IF(LEN(INDEX('Our policies'!$D$4:$D$503,_calc!$E$800))=0,"",INDEX('Our policies'!$D$4:$D$503,_calc!$E$800)))=0,"","Broker: "&amp;IF(LEN(INDEX('Our policies'!$D$4:$D$503,_calc!$E$800))=0,"",INDEX('Our policies'!$D$4:$D$503,_calc!$E$800))&amp;". ")&amp;IF(LEN(IF(LEN(INDEX('Our policies'!$E$4:$E$503,_calc!$E$800))=0,"",INDEX('Our policies'!$E$4:$E$503,_calc!$E$800)))=0,"","Policy no.: "&amp;IF(LEN(INDEX('Our policies'!$E$4:$E$503,_calc!$E$800))=0,"",INDEX('Our policies'!$E$4:$E$503,_calc!$E$800))&amp;". ")&amp;IF(LEN(IF(LEN(INDEX('Our policies'!$S$4:$S$503,_calc!$E$800))=0,"",INDEX('Our policies'!$S$4:$S$503,_calc!$E$800)))=0,"",IF(LEN(INDEX('Our policies'!$S$4:$S$503,_calc!$E$800))=0,"",INDEX('Our policies'!$S$4:$S$503,_calc!$E$800)))),TRIM(IF(LEN(IF(LEN(INDEX('Vendor COIs'!$C$4:$C$503,(_calc!$E$800-500)))=0,"",INDEX('Vendor COIs'!$C$4:$C$503,(_calc!$E$800-500))))=0,"","Insurer: "&amp;IF(LEN(INDEX('Vendor COIs'!$C$4:$C$503,(_calc!$E$800-500)))=0,"",INDEX('Vendor COIs'!$C$4:$C$503,(_calc!$E$800-500)))&amp;". ")&amp;IF(LEN(IF(LEN(INDEX('Vendor COIs'!$D$4:$D$503,(_calc!$E$800-500)))=0,"",INDEX('Vendor COIs'!$D$4:$D$503,(_calc!$E$800-500))))=0,"","Policy no.: "&amp;IF(LEN(INDEX('Vendor COIs'!$D$4:$D$503,(_calc!$E$800-500)))=0,"",INDEX('Vendor COIs'!$D$4:$D$503,(_calc!$E$800-500)))&amp;". ")&amp;IF(LEN(IF(LEN(INDEX('Vendor COIs'!$F$4:$F$503,(_calc!$E$800-500)))=0,"",INDEX('Vendor COIs'!$F$4:$F$503,(_calc!$E$800-500))))=0,"","Meets minimum: "&amp;IF(LEN(INDEX('Vendor COIs'!$F$4:$F$503,(_calc!$E$800-500)))=0,"",INDEX('Vendor COIs'!$F$4:$F$503,(_calc!$E$800-500)))&amp;". ")&amp;IF(LEN(IF(LEN(INDEX('Vendor COIs'!$G$4:$G$503,(_calc!$E$800-500)))=0,"",INDEX('Vendor COIs'!$G$4:$G$503,(_calc!$E$800-500))))=0,"","Additional insured: "&amp;IF(LEN(INDEX('Vendor COIs'!$G$4:$G$503,(_calc!$E$800-500)))=0,"",INDEX('Vendor COIs'!$G$4:$G$503,(_calc!$E$800-500)))&amp;". ")&amp;IF(LEN(IF(LEN(INDEX('Vendor COIs'!$M$4:$M$503,(_calc!$E$800-500)))=0,"",INDEX('Vendor COIs'!$M$4:$M$503,(_calc!$E$800-500))))=0,"","Vendor contact: "&amp;IF(LEN(INDEX('Vendor COIs'!$M$4:$M$503,(_calc!$E$800-500)))=0,"",INDEX('Vendor COIs'!$M$4:$M$503,(_calc!$E$800-500)))&amp;". ")&amp;IF(LEN(IF(LEN(INDEX('Vendor COIs'!$P$4:$P$503,(_calc!$E$800-500)))=0,"",INDEX('Vendor COIs'!$P$4:$P$503,(_calc!$E$800-500))))=0,"",IF(LEN(INDEX('Vendor COIs'!$P$4:$P$503,(_calc!$E$800-500)))=0,"",INDEX('Vendor COIs'!$P$4:$P$503,(_calc!$E$800-500)))))))</f>
        <v/>
      </c>
      <c r="G798" s="46">
        <f>IF(_calc!$E$800="","",IF(_calc!$E$800&lt;=500,IF(LEN(INDEX('Our policies'!$R$4:$R$503,_calc!$E$800))=0,"",INDEX('Our policies'!$R$4:$R$503,_calc!$E$800)),IF(LEN(INDEX('Vendor COIs'!$O$4:$O$503,(_calc!$E$800-500)))=0,"",INDEX('Vendor COIs'!$O$4:$O$503,(_calc!$E$800-500)))))</f>
        <v/>
      </c>
      <c r="H798" s="46">
        <f>IF(_calc!$E$800="","",IF(_calc!$E$800&lt;=500,IF(LEN(INDEX('Our policies'!$G$4:$G$503,_calc!$E$800))=0,"",INDEX('Our policies'!$G$4:$G$503,_calc!$E$800)),""))</f>
        <v/>
      </c>
      <c r="I798" s="46">
        <f>IF(_calc!$E$800="","",IF(_calc!$E$800&lt;=500,IF(LEN(INDEX('Our policies'!$H$4:$H$503,_calc!$E$800))=0,"",INDEX('Our policies'!$H$4:$H$503,_calc!$E$800)),""))</f>
        <v/>
      </c>
      <c r="K798" s="46">
        <f>IF(_calc!$E$800="","",IF(_calc!$E$800&lt;=500,IF(LEN(INDEX('Our policies'!$P$4:$P$503,_calc!$E$800))=0,"",INDEX('Our policies'!$P$4:$P$503,_calc!$E$800)),IF(LEN(INDEX('Vendor COIs'!$N$4:$N$503,(_calc!$E$800-500)))=0,"",INDEX('Vendor COIs'!$N$4:$N$503,(_calc!$E$800-500)))))</f>
        <v/>
      </c>
    </row>
    <row r="799">
      <c r="A799" s="46">
        <f>IF(_calc!$E$801="","",IF(_calc!$E$801&lt;=500,IF(LEN(INDEX('Our policies'!$A$4:$A$503,_calc!$E$801))=0,"",INDEX('Our policies'!$A$4:$A$503,_calc!$E$801)),"COI – "&amp;IF(LEN(INDEX('Vendor COIs'!$A$4:$A$503,(_calc!$E$801-500)))=0,"",INDEX('Vendor COIs'!$A$4:$A$503,(_calc!$E$801-500)))&amp;" – "&amp;IF(LEN(INDEX('Vendor COIs'!$B$4:$B$503,(_calc!$E$801-500)))=0,"",INDEX('Vendor COIs'!$B$4:$B$503,(_calc!$E$801-500)))))</f>
        <v/>
      </c>
      <c r="B799" s="46">
        <f>IF(_calc!$E$801="","",IF(_calc!$E$801&lt;=500,IF(ISNUMBER(INDEX('Our policies'!$J$4:$J$503,_calc!$E$801)),TEXT(INDEX('Our policies'!$J$4:$J$503,_calc!$E$801),"yyyy-mm-dd"),""),IF(ISNUMBER(INDEX('Vendor COIs'!$H$4:$H$503,(_calc!$E$801-500))),TEXT(INDEX('Vendor COIs'!$H$4:$H$503,(_calc!$E$801-500)),"yyyy-mm-dd"),"")))</f>
        <v/>
      </c>
      <c r="C799" s="46">
        <f>IF(_calc!$E$801="","",IF(_calc!$E$801&lt;=500,"Insurance","Certificate of insurance"))</f>
        <v/>
      </c>
      <c r="D799" s="46">
        <f>IF(_calc!$E$801="","",IF(_calc!$E$801&lt;=500,IF(ISNUMBER(INDEX('Our policies'!$I$4:$I$503,_calc!$E$801)),TEXT(INDEX('Our policies'!$I$4:$I$503,_calc!$E$801),"yyyy-mm-dd"),""),""))</f>
        <v/>
      </c>
      <c r="E799" s="46">
        <f>IF(_calc!$E$801="","",IF(_calc!$E$801&lt;=500,IF(LEN(INDEX('Our policies'!$Q$4:$Q$503,_calc!$E$801))=0,"",INDEX('Our policies'!$Q$4:$Q$503,_calc!$E$801)),"Medium"))</f>
        <v/>
      </c>
      <c r="F799" s="46">
        <f>IF(_calc!$E$801="","",IF(_calc!$E$801&lt;=500,TRIM(IF(LEN(IF(LEN(INDEX('Our policies'!$B$4:$B$503,_calc!$E$801))=0,"",INDEX('Our policies'!$B$4:$B$503,_calc!$E$801)))=0,"","Cover: "&amp;IF(LEN(INDEX('Our policies'!$B$4:$B$503,_calc!$E$801))=0,"",INDEX('Our policies'!$B$4:$B$503,_calc!$E$801))&amp;". ")&amp;IF(LEN(IF(LEN(INDEX('Our policies'!$C$4:$C$503,_calc!$E$801))=0,"",INDEX('Our policies'!$C$4:$C$503,_calc!$E$801)))=0,"","Insurer: "&amp;IF(LEN(INDEX('Our policies'!$C$4:$C$503,_calc!$E$801))=0,"",INDEX('Our policies'!$C$4:$C$503,_calc!$E$801))&amp;". ")&amp;IF(LEN(IF(LEN(INDEX('Our policies'!$D$4:$D$503,_calc!$E$801))=0,"",INDEX('Our policies'!$D$4:$D$503,_calc!$E$801)))=0,"","Broker: "&amp;IF(LEN(INDEX('Our policies'!$D$4:$D$503,_calc!$E$801))=0,"",INDEX('Our policies'!$D$4:$D$503,_calc!$E$801))&amp;". ")&amp;IF(LEN(IF(LEN(INDEX('Our policies'!$E$4:$E$503,_calc!$E$801))=0,"",INDEX('Our policies'!$E$4:$E$503,_calc!$E$801)))=0,"","Policy no.: "&amp;IF(LEN(INDEX('Our policies'!$E$4:$E$503,_calc!$E$801))=0,"",INDEX('Our policies'!$E$4:$E$503,_calc!$E$801))&amp;". ")&amp;IF(LEN(IF(LEN(INDEX('Our policies'!$S$4:$S$503,_calc!$E$801))=0,"",INDEX('Our policies'!$S$4:$S$503,_calc!$E$801)))=0,"",IF(LEN(INDEX('Our policies'!$S$4:$S$503,_calc!$E$801))=0,"",INDEX('Our policies'!$S$4:$S$503,_calc!$E$801)))),TRIM(IF(LEN(IF(LEN(INDEX('Vendor COIs'!$C$4:$C$503,(_calc!$E$801-500)))=0,"",INDEX('Vendor COIs'!$C$4:$C$503,(_calc!$E$801-500))))=0,"","Insurer: "&amp;IF(LEN(INDEX('Vendor COIs'!$C$4:$C$503,(_calc!$E$801-500)))=0,"",INDEX('Vendor COIs'!$C$4:$C$503,(_calc!$E$801-500)))&amp;". ")&amp;IF(LEN(IF(LEN(INDEX('Vendor COIs'!$D$4:$D$503,(_calc!$E$801-500)))=0,"",INDEX('Vendor COIs'!$D$4:$D$503,(_calc!$E$801-500))))=0,"","Policy no.: "&amp;IF(LEN(INDEX('Vendor COIs'!$D$4:$D$503,(_calc!$E$801-500)))=0,"",INDEX('Vendor COIs'!$D$4:$D$503,(_calc!$E$801-500)))&amp;". ")&amp;IF(LEN(IF(LEN(INDEX('Vendor COIs'!$F$4:$F$503,(_calc!$E$801-500)))=0,"",INDEX('Vendor COIs'!$F$4:$F$503,(_calc!$E$801-500))))=0,"","Meets minimum: "&amp;IF(LEN(INDEX('Vendor COIs'!$F$4:$F$503,(_calc!$E$801-500)))=0,"",INDEX('Vendor COIs'!$F$4:$F$503,(_calc!$E$801-500)))&amp;". ")&amp;IF(LEN(IF(LEN(INDEX('Vendor COIs'!$G$4:$G$503,(_calc!$E$801-500)))=0,"",INDEX('Vendor COIs'!$G$4:$G$503,(_calc!$E$801-500))))=0,"","Additional insured: "&amp;IF(LEN(INDEX('Vendor COIs'!$G$4:$G$503,(_calc!$E$801-500)))=0,"",INDEX('Vendor COIs'!$G$4:$G$503,(_calc!$E$801-500)))&amp;". ")&amp;IF(LEN(IF(LEN(INDEX('Vendor COIs'!$M$4:$M$503,(_calc!$E$801-500)))=0,"",INDEX('Vendor COIs'!$M$4:$M$503,(_calc!$E$801-500))))=0,"","Vendor contact: "&amp;IF(LEN(INDEX('Vendor COIs'!$M$4:$M$503,(_calc!$E$801-500)))=0,"",INDEX('Vendor COIs'!$M$4:$M$503,(_calc!$E$801-500)))&amp;". ")&amp;IF(LEN(IF(LEN(INDEX('Vendor COIs'!$P$4:$P$503,(_calc!$E$801-500)))=0,"",INDEX('Vendor COIs'!$P$4:$P$503,(_calc!$E$801-500))))=0,"",IF(LEN(INDEX('Vendor COIs'!$P$4:$P$503,(_calc!$E$801-500)))=0,"",INDEX('Vendor COIs'!$P$4:$P$503,(_calc!$E$801-500)))))))</f>
        <v/>
      </c>
      <c r="G799" s="46">
        <f>IF(_calc!$E$801="","",IF(_calc!$E$801&lt;=500,IF(LEN(INDEX('Our policies'!$R$4:$R$503,_calc!$E$801))=0,"",INDEX('Our policies'!$R$4:$R$503,_calc!$E$801)),IF(LEN(INDEX('Vendor COIs'!$O$4:$O$503,(_calc!$E$801-500)))=0,"",INDEX('Vendor COIs'!$O$4:$O$503,(_calc!$E$801-500)))))</f>
        <v/>
      </c>
      <c r="H799" s="46">
        <f>IF(_calc!$E$801="","",IF(_calc!$E$801&lt;=500,IF(LEN(INDEX('Our policies'!$G$4:$G$503,_calc!$E$801))=0,"",INDEX('Our policies'!$G$4:$G$503,_calc!$E$801)),""))</f>
        <v/>
      </c>
      <c r="I799" s="46">
        <f>IF(_calc!$E$801="","",IF(_calc!$E$801&lt;=500,IF(LEN(INDEX('Our policies'!$H$4:$H$503,_calc!$E$801))=0,"",INDEX('Our policies'!$H$4:$H$503,_calc!$E$801)),""))</f>
        <v/>
      </c>
      <c r="K799" s="46">
        <f>IF(_calc!$E$801="","",IF(_calc!$E$801&lt;=500,IF(LEN(INDEX('Our policies'!$P$4:$P$503,_calc!$E$801))=0,"",INDEX('Our policies'!$P$4:$P$503,_calc!$E$801)),IF(LEN(INDEX('Vendor COIs'!$N$4:$N$503,(_calc!$E$801-500)))=0,"",INDEX('Vendor COIs'!$N$4:$N$503,(_calc!$E$801-500)))))</f>
        <v/>
      </c>
    </row>
    <row r="800">
      <c r="A800" s="46">
        <f>IF(_calc!$E$802="","",IF(_calc!$E$802&lt;=500,IF(LEN(INDEX('Our policies'!$A$4:$A$503,_calc!$E$802))=0,"",INDEX('Our policies'!$A$4:$A$503,_calc!$E$802)),"COI – "&amp;IF(LEN(INDEX('Vendor COIs'!$A$4:$A$503,(_calc!$E$802-500)))=0,"",INDEX('Vendor COIs'!$A$4:$A$503,(_calc!$E$802-500)))&amp;" – "&amp;IF(LEN(INDEX('Vendor COIs'!$B$4:$B$503,(_calc!$E$802-500)))=0,"",INDEX('Vendor COIs'!$B$4:$B$503,(_calc!$E$802-500)))))</f>
        <v/>
      </c>
      <c r="B800" s="46">
        <f>IF(_calc!$E$802="","",IF(_calc!$E$802&lt;=500,IF(ISNUMBER(INDEX('Our policies'!$J$4:$J$503,_calc!$E$802)),TEXT(INDEX('Our policies'!$J$4:$J$503,_calc!$E$802),"yyyy-mm-dd"),""),IF(ISNUMBER(INDEX('Vendor COIs'!$H$4:$H$503,(_calc!$E$802-500))),TEXT(INDEX('Vendor COIs'!$H$4:$H$503,(_calc!$E$802-500)),"yyyy-mm-dd"),"")))</f>
        <v/>
      </c>
      <c r="C800" s="46">
        <f>IF(_calc!$E$802="","",IF(_calc!$E$802&lt;=500,"Insurance","Certificate of insurance"))</f>
        <v/>
      </c>
      <c r="D800" s="46">
        <f>IF(_calc!$E$802="","",IF(_calc!$E$802&lt;=500,IF(ISNUMBER(INDEX('Our policies'!$I$4:$I$503,_calc!$E$802)),TEXT(INDEX('Our policies'!$I$4:$I$503,_calc!$E$802),"yyyy-mm-dd"),""),""))</f>
        <v/>
      </c>
      <c r="E800" s="46">
        <f>IF(_calc!$E$802="","",IF(_calc!$E$802&lt;=500,IF(LEN(INDEX('Our policies'!$Q$4:$Q$503,_calc!$E$802))=0,"",INDEX('Our policies'!$Q$4:$Q$503,_calc!$E$802)),"Medium"))</f>
        <v/>
      </c>
      <c r="F800" s="46">
        <f>IF(_calc!$E$802="","",IF(_calc!$E$802&lt;=500,TRIM(IF(LEN(IF(LEN(INDEX('Our policies'!$B$4:$B$503,_calc!$E$802))=0,"",INDEX('Our policies'!$B$4:$B$503,_calc!$E$802)))=0,"","Cover: "&amp;IF(LEN(INDEX('Our policies'!$B$4:$B$503,_calc!$E$802))=0,"",INDEX('Our policies'!$B$4:$B$503,_calc!$E$802))&amp;". ")&amp;IF(LEN(IF(LEN(INDEX('Our policies'!$C$4:$C$503,_calc!$E$802))=0,"",INDEX('Our policies'!$C$4:$C$503,_calc!$E$802)))=0,"","Insurer: "&amp;IF(LEN(INDEX('Our policies'!$C$4:$C$503,_calc!$E$802))=0,"",INDEX('Our policies'!$C$4:$C$503,_calc!$E$802))&amp;". ")&amp;IF(LEN(IF(LEN(INDEX('Our policies'!$D$4:$D$503,_calc!$E$802))=0,"",INDEX('Our policies'!$D$4:$D$503,_calc!$E$802)))=0,"","Broker: "&amp;IF(LEN(INDEX('Our policies'!$D$4:$D$503,_calc!$E$802))=0,"",INDEX('Our policies'!$D$4:$D$503,_calc!$E$802))&amp;". ")&amp;IF(LEN(IF(LEN(INDEX('Our policies'!$E$4:$E$503,_calc!$E$802))=0,"",INDEX('Our policies'!$E$4:$E$503,_calc!$E$802)))=0,"","Policy no.: "&amp;IF(LEN(INDEX('Our policies'!$E$4:$E$503,_calc!$E$802))=0,"",INDEX('Our policies'!$E$4:$E$503,_calc!$E$802))&amp;". ")&amp;IF(LEN(IF(LEN(INDEX('Our policies'!$S$4:$S$503,_calc!$E$802))=0,"",INDEX('Our policies'!$S$4:$S$503,_calc!$E$802)))=0,"",IF(LEN(INDEX('Our policies'!$S$4:$S$503,_calc!$E$802))=0,"",INDEX('Our policies'!$S$4:$S$503,_calc!$E$802)))),TRIM(IF(LEN(IF(LEN(INDEX('Vendor COIs'!$C$4:$C$503,(_calc!$E$802-500)))=0,"",INDEX('Vendor COIs'!$C$4:$C$503,(_calc!$E$802-500))))=0,"","Insurer: "&amp;IF(LEN(INDEX('Vendor COIs'!$C$4:$C$503,(_calc!$E$802-500)))=0,"",INDEX('Vendor COIs'!$C$4:$C$503,(_calc!$E$802-500)))&amp;". ")&amp;IF(LEN(IF(LEN(INDEX('Vendor COIs'!$D$4:$D$503,(_calc!$E$802-500)))=0,"",INDEX('Vendor COIs'!$D$4:$D$503,(_calc!$E$802-500))))=0,"","Policy no.: "&amp;IF(LEN(INDEX('Vendor COIs'!$D$4:$D$503,(_calc!$E$802-500)))=0,"",INDEX('Vendor COIs'!$D$4:$D$503,(_calc!$E$802-500)))&amp;". ")&amp;IF(LEN(IF(LEN(INDEX('Vendor COIs'!$F$4:$F$503,(_calc!$E$802-500)))=0,"",INDEX('Vendor COIs'!$F$4:$F$503,(_calc!$E$802-500))))=0,"","Meets minimum: "&amp;IF(LEN(INDEX('Vendor COIs'!$F$4:$F$503,(_calc!$E$802-500)))=0,"",INDEX('Vendor COIs'!$F$4:$F$503,(_calc!$E$802-500)))&amp;". ")&amp;IF(LEN(IF(LEN(INDEX('Vendor COIs'!$G$4:$G$503,(_calc!$E$802-500)))=0,"",INDEX('Vendor COIs'!$G$4:$G$503,(_calc!$E$802-500))))=0,"","Additional insured: "&amp;IF(LEN(INDEX('Vendor COIs'!$G$4:$G$503,(_calc!$E$802-500)))=0,"",INDEX('Vendor COIs'!$G$4:$G$503,(_calc!$E$802-500)))&amp;". ")&amp;IF(LEN(IF(LEN(INDEX('Vendor COIs'!$M$4:$M$503,(_calc!$E$802-500)))=0,"",INDEX('Vendor COIs'!$M$4:$M$503,(_calc!$E$802-500))))=0,"","Vendor contact: "&amp;IF(LEN(INDEX('Vendor COIs'!$M$4:$M$503,(_calc!$E$802-500)))=0,"",INDEX('Vendor COIs'!$M$4:$M$503,(_calc!$E$802-500)))&amp;". ")&amp;IF(LEN(IF(LEN(INDEX('Vendor COIs'!$P$4:$P$503,(_calc!$E$802-500)))=0,"",INDEX('Vendor COIs'!$P$4:$P$503,(_calc!$E$802-500))))=0,"",IF(LEN(INDEX('Vendor COIs'!$P$4:$P$503,(_calc!$E$802-500)))=0,"",INDEX('Vendor COIs'!$P$4:$P$503,(_calc!$E$802-500)))))))</f>
        <v/>
      </c>
      <c r="G800" s="46">
        <f>IF(_calc!$E$802="","",IF(_calc!$E$802&lt;=500,IF(LEN(INDEX('Our policies'!$R$4:$R$503,_calc!$E$802))=0,"",INDEX('Our policies'!$R$4:$R$503,_calc!$E$802)),IF(LEN(INDEX('Vendor COIs'!$O$4:$O$503,(_calc!$E$802-500)))=0,"",INDEX('Vendor COIs'!$O$4:$O$503,(_calc!$E$802-500)))))</f>
        <v/>
      </c>
      <c r="H800" s="46">
        <f>IF(_calc!$E$802="","",IF(_calc!$E$802&lt;=500,IF(LEN(INDEX('Our policies'!$G$4:$G$503,_calc!$E$802))=0,"",INDEX('Our policies'!$G$4:$G$503,_calc!$E$802)),""))</f>
        <v/>
      </c>
      <c r="I800" s="46">
        <f>IF(_calc!$E$802="","",IF(_calc!$E$802&lt;=500,IF(LEN(INDEX('Our policies'!$H$4:$H$503,_calc!$E$802))=0,"",INDEX('Our policies'!$H$4:$H$503,_calc!$E$802)),""))</f>
        <v/>
      </c>
      <c r="K800" s="46">
        <f>IF(_calc!$E$802="","",IF(_calc!$E$802&lt;=500,IF(LEN(INDEX('Our policies'!$P$4:$P$503,_calc!$E$802))=0,"",INDEX('Our policies'!$P$4:$P$503,_calc!$E$802)),IF(LEN(INDEX('Vendor COIs'!$N$4:$N$503,(_calc!$E$802-500)))=0,"",INDEX('Vendor COIs'!$N$4:$N$503,(_calc!$E$802-500)))))</f>
        <v/>
      </c>
    </row>
    <row r="801">
      <c r="A801" s="46">
        <f>IF(_calc!$E$803="","",IF(_calc!$E$803&lt;=500,IF(LEN(INDEX('Our policies'!$A$4:$A$503,_calc!$E$803))=0,"",INDEX('Our policies'!$A$4:$A$503,_calc!$E$803)),"COI – "&amp;IF(LEN(INDEX('Vendor COIs'!$A$4:$A$503,(_calc!$E$803-500)))=0,"",INDEX('Vendor COIs'!$A$4:$A$503,(_calc!$E$803-500)))&amp;" – "&amp;IF(LEN(INDEX('Vendor COIs'!$B$4:$B$503,(_calc!$E$803-500)))=0,"",INDEX('Vendor COIs'!$B$4:$B$503,(_calc!$E$803-500)))))</f>
        <v/>
      </c>
      <c r="B801" s="46">
        <f>IF(_calc!$E$803="","",IF(_calc!$E$803&lt;=500,IF(ISNUMBER(INDEX('Our policies'!$J$4:$J$503,_calc!$E$803)),TEXT(INDEX('Our policies'!$J$4:$J$503,_calc!$E$803),"yyyy-mm-dd"),""),IF(ISNUMBER(INDEX('Vendor COIs'!$H$4:$H$503,(_calc!$E$803-500))),TEXT(INDEX('Vendor COIs'!$H$4:$H$503,(_calc!$E$803-500)),"yyyy-mm-dd"),"")))</f>
        <v/>
      </c>
      <c r="C801" s="46">
        <f>IF(_calc!$E$803="","",IF(_calc!$E$803&lt;=500,"Insurance","Certificate of insurance"))</f>
        <v/>
      </c>
      <c r="D801" s="46">
        <f>IF(_calc!$E$803="","",IF(_calc!$E$803&lt;=500,IF(ISNUMBER(INDEX('Our policies'!$I$4:$I$503,_calc!$E$803)),TEXT(INDEX('Our policies'!$I$4:$I$503,_calc!$E$803),"yyyy-mm-dd"),""),""))</f>
        <v/>
      </c>
      <c r="E801" s="46">
        <f>IF(_calc!$E$803="","",IF(_calc!$E$803&lt;=500,IF(LEN(INDEX('Our policies'!$Q$4:$Q$503,_calc!$E$803))=0,"",INDEX('Our policies'!$Q$4:$Q$503,_calc!$E$803)),"Medium"))</f>
        <v/>
      </c>
      <c r="F801" s="46">
        <f>IF(_calc!$E$803="","",IF(_calc!$E$803&lt;=500,TRIM(IF(LEN(IF(LEN(INDEX('Our policies'!$B$4:$B$503,_calc!$E$803))=0,"",INDEX('Our policies'!$B$4:$B$503,_calc!$E$803)))=0,"","Cover: "&amp;IF(LEN(INDEX('Our policies'!$B$4:$B$503,_calc!$E$803))=0,"",INDEX('Our policies'!$B$4:$B$503,_calc!$E$803))&amp;". ")&amp;IF(LEN(IF(LEN(INDEX('Our policies'!$C$4:$C$503,_calc!$E$803))=0,"",INDEX('Our policies'!$C$4:$C$503,_calc!$E$803)))=0,"","Insurer: "&amp;IF(LEN(INDEX('Our policies'!$C$4:$C$503,_calc!$E$803))=0,"",INDEX('Our policies'!$C$4:$C$503,_calc!$E$803))&amp;". ")&amp;IF(LEN(IF(LEN(INDEX('Our policies'!$D$4:$D$503,_calc!$E$803))=0,"",INDEX('Our policies'!$D$4:$D$503,_calc!$E$803)))=0,"","Broker: "&amp;IF(LEN(INDEX('Our policies'!$D$4:$D$503,_calc!$E$803))=0,"",INDEX('Our policies'!$D$4:$D$503,_calc!$E$803))&amp;". ")&amp;IF(LEN(IF(LEN(INDEX('Our policies'!$E$4:$E$503,_calc!$E$803))=0,"",INDEX('Our policies'!$E$4:$E$503,_calc!$E$803)))=0,"","Policy no.: "&amp;IF(LEN(INDEX('Our policies'!$E$4:$E$503,_calc!$E$803))=0,"",INDEX('Our policies'!$E$4:$E$503,_calc!$E$803))&amp;". ")&amp;IF(LEN(IF(LEN(INDEX('Our policies'!$S$4:$S$503,_calc!$E$803))=0,"",INDEX('Our policies'!$S$4:$S$503,_calc!$E$803)))=0,"",IF(LEN(INDEX('Our policies'!$S$4:$S$503,_calc!$E$803))=0,"",INDEX('Our policies'!$S$4:$S$503,_calc!$E$803)))),TRIM(IF(LEN(IF(LEN(INDEX('Vendor COIs'!$C$4:$C$503,(_calc!$E$803-500)))=0,"",INDEX('Vendor COIs'!$C$4:$C$503,(_calc!$E$803-500))))=0,"","Insurer: "&amp;IF(LEN(INDEX('Vendor COIs'!$C$4:$C$503,(_calc!$E$803-500)))=0,"",INDEX('Vendor COIs'!$C$4:$C$503,(_calc!$E$803-500)))&amp;". ")&amp;IF(LEN(IF(LEN(INDEX('Vendor COIs'!$D$4:$D$503,(_calc!$E$803-500)))=0,"",INDEX('Vendor COIs'!$D$4:$D$503,(_calc!$E$803-500))))=0,"","Policy no.: "&amp;IF(LEN(INDEX('Vendor COIs'!$D$4:$D$503,(_calc!$E$803-500)))=0,"",INDEX('Vendor COIs'!$D$4:$D$503,(_calc!$E$803-500)))&amp;". ")&amp;IF(LEN(IF(LEN(INDEX('Vendor COIs'!$F$4:$F$503,(_calc!$E$803-500)))=0,"",INDEX('Vendor COIs'!$F$4:$F$503,(_calc!$E$803-500))))=0,"","Meets minimum: "&amp;IF(LEN(INDEX('Vendor COIs'!$F$4:$F$503,(_calc!$E$803-500)))=0,"",INDEX('Vendor COIs'!$F$4:$F$503,(_calc!$E$803-500)))&amp;". ")&amp;IF(LEN(IF(LEN(INDEX('Vendor COIs'!$G$4:$G$503,(_calc!$E$803-500)))=0,"",INDEX('Vendor COIs'!$G$4:$G$503,(_calc!$E$803-500))))=0,"","Additional insured: "&amp;IF(LEN(INDEX('Vendor COIs'!$G$4:$G$503,(_calc!$E$803-500)))=0,"",INDEX('Vendor COIs'!$G$4:$G$503,(_calc!$E$803-500)))&amp;". ")&amp;IF(LEN(IF(LEN(INDEX('Vendor COIs'!$M$4:$M$503,(_calc!$E$803-500)))=0,"",INDEX('Vendor COIs'!$M$4:$M$503,(_calc!$E$803-500))))=0,"","Vendor contact: "&amp;IF(LEN(INDEX('Vendor COIs'!$M$4:$M$503,(_calc!$E$803-500)))=0,"",INDEX('Vendor COIs'!$M$4:$M$503,(_calc!$E$803-500)))&amp;". ")&amp;IF(LEN(IF(LEN(INDEX('Vendor COIs'!$P$4:$P$503,(_calc!$E$803-500)))=0,"",INDEX('Vendor COIs'!$P$4:$P$503,(_calc!$E$803-500))))=0,"",IF(LEN(INDEX('Vendor COIs'!$P$4:$P$503,(_calc!$E$803-500)))=0,"",INDEX('Vendor COIs'!$P$4:$P$503,(_calc!$E$803-500)))))))</f>
        <v/>
      </c>
      <c r="G801" s="46">
        <f>IF(_calc!$E$803="","",IF(_calc!$E$803&lt;=500,IF(LEN(INDEX('Our policies'!$R$4:$R$503,_calc!$E$803))=0,"",INDEX('Our policies'!$R$4:$R$503,_calc!$E$803)),IF(LEN(INDEX('Vendor COIs'!$O$4:$O$503,(_calc!$E$803-500)))=0,"",INDEX('Vendor COIs'!$O$4:$O$503,(_calc!$E$803-500)))))</f>
        <v/>
      </c>
      <c r="H801" s="46">
        <f>IF(_calc!$E$803="","",IF(_calc!$E$803&lt;=500,IF(LEN(INDEX('Our policies'!$G$4:$G$503,_calc!$E$803))=0,"",INDEX('Our policies'!$G$4:$G$503,_calc!$E$803)),""))</f>
        <v/>
      </c>
      <c r="I801" s="46">
        <f>IF(_calc!$E$803="","",IF(_calc!$E$803&lt;=500,IF(LEN(INDEX('Our policies'!$H$4:$H$503,_calc!$E$803))=0,"",INDEX('Our policies'!$H$4:$H$503,_calc!$E$803)),""))</f>
        <v/>
      </c>
      <c r="K801" s="46">
        <f>IF(_calc!$E$803="","",IF(_calc!$E$803&lt;=500,IF(LEN(INDEX('Our policies'!$P$4:$P$503,_calc!$E$803))=0,"",INDEX('Our policies'!$P$4:$P$503,_calc!$E$803)),IF(LEN(INDEX('Vendor COIs'!$N$4:$N$503,(_calc!$E$803-500)))=0,"",INDEX('Vendor COIs'!$N$4:$N$503,(_calc!$E$803-500)))))</f>
        <v/>
      </c>
    </row>
    <row r="802">
      <c r="A802" s="46">
        <f>IF(_calc!$E$804="","",IF(_calc!$E$804&lt;=500,IF(LEN(INDEX('Our policies'!$A$4:$A$503,_calc!$E$804))=0,"",INDEX('Our policies'!$A$4:$A$503,_calc!$E$804)),"COI – "&amp;IF(LEN(INDEX('Vendor COIs'!$A$4:$A$503,(_calc!$E$804-500)))=0,"",INDEX('Vendor COIs'!$A$4:$A$503,(_calc!$E$804-500)))&amp;" – "&amp;IF(LEN(INDEX('Vendor COIs'!$B$4:$B$503,(_calc!$E$804-500)))=0,"",INDEX('Vendor COIs'!$B$4:$B$503,(_calc!$E$804-500)))))</f>
        <v/>
      </c>
      <c r="B802" s="46">
        <f>IF(_calc!$E$804="","",IF(_calc!$E$804&lt;=500,IF(ISNUMBER(INDEX('Our policies'!$J$4:$J$503,_calc!$E$804)),TEXT(INDEX('Our policies'!$J$4:$J$503,_calc!$E$804),"yyyy-mm-dd"),""),IF(ISNUMBER(INDEX('Vendor COIs'!$H$4:$H$503,(_calc!$E$804-500))),TEXT(INDEX('Vendor COIs'!$H$4:$H$503,(_calc!$E$804-500)),"yyyy-mm-dd"),"")))</f>
        <v/>
      </c>
      <c r="C802" s="46">
        <f>IF(_calc!$E$804="","",IF(_calc!$E$804&lt;=500,"Insurance","Certificate of insurance"))</f>
        <v/>
      </c>
      <c r="D802" s="46">
        <f>IF(_calc!$E$804="","",IF(_calc!$E$804&lt;=500,IF(ISNUMBER(INDEX('Our policies'!$I$4:$I$503,_calc!$E$804)),TEXT(INDEX('Our policies'!$I$4:$I$503,_calc!$E$804),"yyyy-mm-dd"),""),""))</f>
        <v/>
      </c>
      <c r="E802" s="46">
        <f>IF(_calc!$E$804="","",IF(_calc!$E$804&lt;=500,IF(LEN(INDEX('Our policies'!$Q$4:$Q$503,_calc!$E$804))=0,"",INDEX('Our policies'!$Q$4:$Q$503,_calc!$E$804)),"Medium"))</f>
        <v/>
      </c>
      <c r="F802" s="46">
        <f>IF(_calc!$E$804="","",IF(_calc!$E$804&lt;=500,TRIM(IF(LEN(IF(LEN(INDEX('Our policies'!$B$4:$B$503,_calc!$E$804))=0,"",INDEX('Our policies'!$B$4:$B$503,_calc!$E$804)))=0,"","Cover: "&amp;IF(LEN(INDEX('Our policies'!$B$4:$B$503,_calc!$E$804))=0,"",INDEX('Our policies'!$B$4:$B$503,_calc!$E$804))&amp;". ")&amp;IF(LEN(IF(LEN(INDEX('Our policies'!$C$4:$C$503,_calc!$E$804))=0,"",INDEX('Our policies'!$C$4:$C$503,_calc!$E$804)))=0,"","Insurer: "&amp;IF(LEN(INDEX('Our policies'!$C$4:$C$503,_calc!$E$804))=0,"",INDEX('Our policies'!$C$4:$C$503,_calc!$E$804))&amp;". ")&amp;IF(LEN(IF(LEN(INDEX('Our policies'!$D$4:$D$503,_calc!$E$804))=0,"",INDEX('Our policies'!$D$4:$D$503,_calc!$E$804)))=0,"","Broker: "&amp;IF(LEN(INDEX('Our policies'!$D$4:$D$503,_calc!$E$804))=0,"",INDEX('Our policies'!$D$4:$D$503,_calc!$E$804))&amp;". ")&amp;IF(LEN(IF(LEN(INDEX('Our policies'!$E$4:$E$503,_calc!$E$804))=0,"",INDEX('Our policies'!$E$4:$E$503,_calc!$E$804)))=0,"","Policy no.: "&amp;IF(LEN(INDEX('Our policies'!$E$4:$E$503,_calc!$E$804))=0,"",INDEX('Our policies'!$E$4:$E$503,_calc!$E$804))&amp;". ")&amp;IF(LEN(IF(LEN(INDEX('Our policies'!$S$4:$S$503,_calc!$E$804))=0,"",INDEX('Our policies'!$S$4:$S$503,_calc!$E$804)))=0,"",IF(LEN(INDEX('Our policies'!$S$4:$S$503,_calc!$E$804))=0,"",INDEX('Our policies'!$S$4:$S$503,_calc!$E$804)))),TRIM(IF(LEN(IF(LEN(INDEX('Vendor COIs'!$C$4:$C$503,(_calc!$E$804-500)))=0,"",INDEX('Vendor COIs'!$C$4:$C$503,(_calc!$E$804-500))))=0,"","Insurer: "&amp;IF(LEN(INDEX('Vendor COIs'!$C$4:$C$503,(_calc!$E$804-500)))=0,"",INDEX('Vendor COIs'!$C$4:$C$503,(_calc!$E$804-500)))&amp;". ")&amp;IF(LEN(IF(LEN(INDEX('Vendor COIs'!$D$4:$D$503,(_calc!$E$804-500)))=0,"",INDEX('Vendor COIs'!$D$4:$D$503,(_calc!$E$804-500))))=0,"","Policy no.: "&amp;IF(LEN(INDEX('Vendor COIs'!$D$4:$D$503,(_calc!$E$804-500)))=0,"",INDEX('Vendor COIs'!$D$4:$D$503,(_calc!$E$804-500)))&amp;". ")&amp;IF(LEN(IF(LEN(INDEX('Vendor COIs'!$F$4:$F$503,(_calc!$E$804-500)))=0,"",INDEX('Vendor COIs'!$F$4:$F$503,(_calc!$E$804-500))))=0,"","Meets minimum: "&amp;IF(LEN(INDEX('Vendor COIs'!$F$4:$F$503,(_calc!$E$804-500)))=0,"",INDEX('Vendor COIs'!$F$4:$F$503,(_calc!$E$804-500)))&amp;". ")&amp;IF(LEN(IF(LEN(INDEX('Vendor COIs'!$G$4:$G$503,(_calc!$E$804-500)))=0,"",INDEX('Vendor COIs'!$G$4:$G$503,(_calc!$E$804-500))))=0,"","Additional insured: "&amp;IF(LEN(INDEX('Vendor COIs'!$G$4:$G$503,(_calc!$E$804-500)))=0,"",INDEX('Vendor COIs'!$G$4:$G$503,(_calc!$E$804-500)))&amp;". ")&amp;IF(LEN(IF(LEN(INDEX('Vendor COIs'!$M$4:$M$503,(_calc!$E$804-500)))=0,"",INDEX('Vendor COIs'!$M$4:$M$503,(_calc!$E$804-500))))=0,"","Vendor contact: "&amp;IF(LEN(INDEX('Vendor COIs'!$M$4:$M$503,(_calc!$E$804-500)))=0,"",INDEX('Vendor COIs'!$M$4:$M$503,(_calc!$E$804-500)))&amp;". ")&amp;IF(LEN(IF(LEN(INDEX('Vendor COIs'!$P$4:$P$503,(_calc!$E$804-500)))=0,"",INDEX('Vendor COIs'!$P$4:$P$503,(_calc!$E$804-500))))=0,"",IF(LEN(INDEX('Vendor COIs'!$P$4:$P$503,(_calc!$E$804-500)))=0,"",INDEX('Vendor COIs'!$P$4:$P$503,(_calc!$E$804-500)))))))</f>
        <v/>
      </c>
      <c r="G802" s="46">
        <f>IF(_calc!$E$804="","",IF(_calc!$E$804&lt;=500,IF(LEN(INDEX('Our policies'!$R$4:$R$503,_calc!$E$804))=0,"",INDEX('Our policies'!$R$4:$R$503,_calc!$E$804)),IF(LEN(INDEX('Vendor COIs'!$O$4:$O$503,(_calc!$E$804-500)))=0,"",INDEX('Vendor COIs'!$O$4:$O$503,(_calc!$E$804-500)))))</f>
        <v/>
      </c>
      <c r="H802" s="46">
        <f>IF(_calc!$E$804="","",IF(_calc!$E$804&lt;=500,IF(LEN(INDEX('Our policies'!$G$4:$G$503,_calc!$E$804))=0,"",INDEX('Our policies'!$G$4:$G$503,_calc!$E$804)),""))</f>
        <v/>
      </c>
      <c r="I802" s="46">
        <f>IF(_calc!$E$804="","",IF(_calc!$E$804&lt;=500,IF(LEN(INDEX('Our policies'!$H$4:$H$503,_calc!$E$804))=0,"",INDEX('Our policies'!$H$4:$H$503,_calc!$E$804)),""))</f>
        <v/>
      </c>
      <c r="K802" s="46">
        <f>IF(_calc!$E$804="","",IF(_calc!$E$804&lt;=500,IF(LEN(INDEX('Our policies'!$P$4:$P$503,_calc!$E$804))=0,"",INDEX('Our policies'!$P$4:$P$503,_calc!$E$804)),IF(LEN(INDEX('Vendor COIs'!$N$4:$N$503,(_calc!$E$804-500)))=0,"",INDEX('Vendor COIs'!$N$4:$N$503,(_calc!$E$804-500)))))</f>
        <v/>
      </c>
    </row>
    <row r="803">
      <c r="A803" s="46">
        <f>IF(_calc!$E$805="","",IF(_calc!$E$805&lt;=500,IF(LEN(INDEX('Our policies'!$A$4:$A$503,_calc!$E$805))=0,"",INDEX('Our policies'!$A$4:$A$503,_calc!$E$805)),"COI – "&amp;IF(LEN(INDEX('Vendor COIs'!$A$4:$A$503,(_calc!$E$805-500)))=0,"",INDEX('Vendor COIs'!$A$4:$A$503,(_calc!$E$805-500)))&amp;" – "&amp;IF(LEN(INDEX('Vendor COIs'!$B$4:$B$503,(_calc!$E$805-500)))=0,"",INDEX('Vendor COIs'!$B$4:$B$503,(_calc!$E$805-500)))))</f>
        <v/>
      </c>
      <c r="B803" s="46">
        <f>IF(_calc!$E$805="","",IF(_calc!$E$805&lt;=500,IF(ISNUMBER(INDEX('Our policies'!$J$4:$J$503,_calc!$E$805)),TEXT(INDEX('Our policies'!$J$4:$J$503,_calc!$E$805),"yyyy-mm-dd"),""),IF(ISNUMBER(INDEX('Vendor COIs'!$H$4:$H$503,(_calc!$E$805-500))),TEXT(INDEX('Vendor COIs'!$H$4:$H$503,(_calc!$E$805-500)),"yyyy-mm-dd"),"")))</f>
        <v/>
      </c>
      <c r="C803" s="46">
        <f>IF(_calc!$E$805="","",IF(_calc!$E$805&lt;=500,"Insurance","Certificate of insurance"))</f>
        <v/>
      </c>
      <c r="D803" s="46">
        <f>IF(_calc!$E$805="","",IF(_calc!$E$805&lt;=500,IF(ISNUMBER(INDEX('Our policies'!$I$4:$I$503,_calc!$E$805)),TEXT(INDEX('Our policies'!$I$4:$I$503,_calc!$E$805),"yyyy-mm-dd"),""),""))</f>
        <v/>
      </c>
      <c r="E803" s="46">
        <f>IF(_calc!$E$805="","",IF(_calc!$E$805&lt;=500,IF(LEN(INDEX('Our policies'!$Q$4:$Q$503,_calc!$E$805))=0,"",INDEX('Our policies'!$Q$4:$Q$503,_calc!$E$805)),"Medium"))</f>
        <v/>
      </c>
      <c r="F803" s="46">
        <f>IF(_calc!$E$805="","",IF(_calc!$E$805&lt;=500,TRIM(IF(LEN(IF(LEN(INDEX('Our policies'!$B$4:$B$503,_calc!$E$805))=0,"",INDEX('Our policies'!$B$4:$B$503,_calc!$E$805)))=0,"","Cover: "&amp;IF(LEN(INDEX('Our policies'!$B$4:$B$503,_calc!$E$805))=0,"",INDEX('Our policies'!$B$4:$B$503,_calc!$E$805))&amp;". ")&amp;IF(LEN(IF(LEN(INDEX('Our policies'!$C$4:$C$503,_calc!$E$805))=0,"",INDEX('Our policies'!$C$4:$C$503,_calc!$E$805)))=0,"","Insurer: "&amp;IF(LEN(INDEX('Our policies'!$C$4:$C$503,_calc!$E$805))=0,"",INDEX('Our policies'!$C$4:$C$503,_calc!$E$805))&amp;". ")&amp;IF(LEN(IF(LEN(INDEX('Our policies'!$D$4:$D$503,_calc!$E$805))=0,"",INDEX('Our policies'!$D$4:$D$503,_calc!$E$805)))=0,"","Broker: "&amp;IF(LEN(INDEX('Our policies'!$D$4:$D$503,_calc!$E$805))=0,"",INDEX('Our policies'!$D$4:$D$503,_calc!$E$805))&amp;". ")&amp;IF(LEN(IF(LEN(INDEX('Our policies'!$E$4:$E$503,_calc!$E$805))=0,"",INDEX('Our policies'!$E$4:$E$503,_calc!$E$805)))=0,"","Policy no.: "&amp;IF(LEN(INDEX('Our policies'!$E$4:$E$503,_calc!$E$805))=0,"",INDEX('Our policies'!$E$4:$E$503,_calc!$E$805))&amp;". ")&amp;IF(LEN(IF(LEN(INDEX('Our policies'!$S$4:$S$503,_calc!$E$805))=0,"",INDEX('Our policies'!$S$4:$S$503,_calc!$E$805)))=0,"",IF(LEN(INDEX('Our policies'!$S$4:$S$503,_calc!$E$805))=0,"",INDEX('Our policies'!$S$4:$S$503,_calc!$E$805)))),TRIM(IF(LEN(IF(LEN(INDEX('Vendor COIs'!$C$4:$C$503,(_calc!$E$805-500)))=0,"",INDEX('Vendor COIs'!$C$4:$C$503,(_calc!$E$805-500))))=0,"","Insurer: "&amp;IF(LEN(INDEX('Vendor COIs'!$C$4:$C$503,(_calc!$E$805-500)))=0,"",INDEX('Vendor COIs'!$C$4:$C$503,(_calc!$E$805-500)))&amp;". ")&amp;IF(LEN(IF(LEN(INDEX('Vendor COIs'!$D$4:$D$503,(_calc!$E$805-500)))=0,"",INDEX('Vendor COIs'!$D$4:$D$503,(_calc!$E$805-500))))=0,"","Policy no.: "&amp;IF(LEN(INDEX('Vendor COIs'!$D$4:$D$503,(_calc!$E$805-500)))=0,"",INDEX('Vendor COIs'!$D$4:$D$503,(_calc!$E$805-500)))&amp;". ")&amp;IF(LEN(IF(LEN(INDEX('Vendor COIs'!$F$4:$F$503,(_calc!$E$805-500)))=0,"",INDEX('Vendor COIs'!$F$4:$F$503,(_calc!$E$805-500))))=0,"","Meets minimum: "&amp;IF(LEN(INDEX('Vendor COIs'!$F$4:$F$503,(_calc!$E$805-500)))=0,"",INDEX('Vendor COIs'!$F$4:$F$503,(_calc!$E$805-500)))&amp;". ")&amp;IF(LEN(IF(LEN(INDEX('Vendor COIs'!$G$4:$G$503,(_calc!$E$805-500)))=0,"",INDEX('Vendor COIs'!$G$4:$G$503,(_calc!$E$805-500))))=0,"","Additional insured: "&amp;IF(LEN(INDEX('Vendor COIs'!$G$4:$G$503,(_calc!$E$805-500)))=0,"",INDEX('Vendor COIs'!$G$4:$G$503,(_calc!$E$805-500)))&amp;". ")&amp;IF(LEN(IF(LEN(INDEX('Vendor COIs'!$M$4:$M$503,(_calc!$E$805-500)))=0,"",INDEX('Vendor COIs'!$M$4:$M$503,(_calc!$E$805-500))))=0,"","Vendor contact: "&amp;IF(LEN(INDEX('Vendor COIs'!$M$4:$M$503,(_calc!$E$805-500)))=0,"",INDEX('Vendor COIs'!$M$4:$M$503,(_calc!$E$805-500)))&amp;". ")&amp;IF(LEN(IF(LEN(INDEX('Vendor COIs'!$P$4:$P$503,(_calc!$E$805-500)))=0,"",INDEX('Vendor COIs'!$P$4:$P$503,(_calc!$E$805-500))))=0,"",IF(LEN(INDEX('Vendor COIs'!$P$4:$P$503,(_calc!$E$805-500)))=0,"",INDEX('Vendor COIs'!$P$4:$P$503,(_calc!$E$805-500)))))))</f>
        <v/>
      </c>
      <c r="G803" s="46">
        <f>IF(_calc!$E$805="","",IF(_calc!$E$805&lt;=500,IF(LEN(INDEX('Our policies'!$R$4:$R$503,_calc!$E$805))=0,"",INDEX('Our policies'!$R$4:$R$503,_calc!$E$805)),IF(LEN(INDEX('Vendor COIs'!$O$4:$O$503,(_calc!$E$805-500)))=0,"",INDEX('Vendor COIs'!$O$4:$O$503,(_calc!$E$805-500)))))</f>
        <v/>
      </c>
      <c r="H803" s="46">
        <f>IF(_calc!$E$805="","",IF(_calc!$E$805&lt;=500,IF(LEN(INDEX('Our policies'!$G$4:$G$503,_calc!$E$805))=0,"",INDEX('Our policies'!$G$4:$G$503,_calc!$E$805)),""))</f>
        <v/>
      </c>
      <c r="I803" s="46">
        <f>IF(_calc!$E$805="","",IF(_calc!$E$805&lt;=500,IF(LEN(INDEX('Our policies'!$H$4:$H$503,_calc!$E$805))=0,"",INDEX('Our policies'!$H$4:$H$503,_calc!$E$805)),""))</f>
        <v/>
      </c>
      <c r="K803" s="46">
        <f>IF(_calc!$E$805="","",IF(_calc!$E$805&lt;=500,IF(LEN(INDEX('Our policies'!$P$4:$P$503,_calc!$E$805))=0,"",INDEX('Our policies'!$P$4:$P$503,_calc!$E$805)),IF(LEN(INDEX('Vendor COIs'!$N$4:$N$503,(_calc!$E$805-500)))=0,"",INDEX('Vendor COIs'!$N$4:$N$503,(_calc!$E$805-500)))))</f>
        <v/>
      </c>
    </row>
    <row r="804">
      <c r="A804" s="46">
        <f>IF(_calc!$E$806="","",IF(_calc!$E$806&lt;=500,IF(LEN(INDEX('Our policies'!$A$4:$A$503,_calc!$E$806))=0,"",INDEX('Our policies'!$A$4:$A$503,_calc!$E$806)),"COI – "&amp;IF(LEN(INDEX('Vendor COIs'!$A$4:$A$503,(_calc!$E$806-500)))=0,"",INDEX('Vendor COIs'!$A$4:$A$503,(_calc!$E$806-500)))&amp;" – "&amp;IF(LEN(INDEX('Vendor COIs'!$B$4:$B$503,(_calc!$E$806-500)))=0,"",INDEX('Vendor COIs'!$B$4:$B$503,(_calc!$E$806-500)))))</f>
        <v/>
      </c>
      <c r="B804" s="46">
        <f>IF(_calc!$E$806="","",IF(_calc!$E$806&lt;=500,IF(ISNUMBER(INDEX('Our policies'!$J$4:$J$503,_calc!$E$806)),TEXT(INDEX('Our policies'!$J$4:$J$503,_calc!$E$806),"yyyy-mm-dd"),""),IF(ISNUMBER(INDEX('Vendor COIs'!$H$4:$H$503,(_calc!$E$806-500))),TEXT(INDEX('Vendor COIs'!$H$4:$H$503,(_calc!$E$806-500)),"yyyy-mm-dd"),"")))</f>
        <v/>
      </c>
      <c r="C804" s="46">
        <f>IF(_calc!$E$806="","",IF(_calc!$E$806&lt;=500,"Insurance","Certificate of insurance"))</f>
        <v/>
      </c>
      <c r="D804" s="46">
        <f>IF(_calc!$E$806="","",IF(_calc!$E$806&lt;=500,IF(ISNUMBER(INDEX('Our policies'!$I$4:$I$503,_calc!$E$806)),TEXT(INDEX('Our policies'!$I$4:$I$503,_calc!$E$806),"yyyy-mm-dd"),""),""))</f>
        <v/>
      </c>
      <c r="E804" s="46">
        <f>IF(_calc!$E$806="","",IF(_calc!$E$806&lt;=500,IF(LEN(INDEX('Our policies'!$Q$4:$Q$503,_calc!$E$806))=0,"",INDEX('Our policies'!$Q$4:$Q$503,_calc!$E$806)),"Medium"))</f>
        <v/>
      </c>
      <c r="F804" s="46">
        <f>IF(_calc!$E$806="","",IF(_calc!$E$806&lt;=500,TRIM(IF(LEN(IF(LEN(INDEX('Our policies'!$B$4:$B$503,_calc!$E$806))=0,"",INDEX('Our policies'!$B$4:$B$503,_calc!$E$806)))=0,"","Cover: "&amp;IF(LEN(INDEX('Our policies'!$B$4:$B$503,_calc!$E$806))=0,"",INDEX('Our policies'!$B$4:$B$503,_calc!$E$806))&amp;". ")&amp;IF(LEN(IF(LEN(INDEX('Our policies'!$C$4:$C$503,_calc!$E$806))=0,"",INDEX('Our policies'!$C$4:$C$503,_calc!$E$806)))=0,"","Insurer: "&amp;IF(LEN(INDEX('Our policies'!$C$4:$C$503,_calc!$E$806))=0,"",INDEX('Our policies'!$C$4:$C$503,_calc!$E$806))&amp;". ")&amp;IF(LEN(IF(LEN(INDEX('Our policies'!$D$4:$D$503,_calc!$E$806))=0,"",INDEX('Our policies'!$D$4:$D$503,_calc!$E$806)))=0,"","Broker: "&amp;IF(LEN(INDEX('Our policies'!$D$4:$D$503,_calc!$E$806))=0,"",INDEX('Our policies'!$D$4:$D$503,_calc!$E$806))&amp;". ")&amp;IF(LEN(IF(LEN(INDEX('Our policies'!$E$4:$E$503,_calc!$E$806))=0,"",INDEX('Our policies'!$E$4:$E$503,_calc!$E$806)))=0,"","Policy no.: "&amp;IF(LEN(INDEX('Our policies'!$E$4:$E$503,_calc!$E$806))=0,"",INDEX('Our policies'!$E$4:$E$503,_calc!$E$806))&amp;". ")&amp;IF(LEN(IF(LEN(INDEX('Our policies'!$S$4:$S$503,_calc!$E$806))=0,"",INDEX('Our policies'!$S$4:$S$503,_calc!$E$806)))=0,"",IF(LEN(INDEX('Our policies'!$S$4:$S$503,_calc!$E$806))=0,"",INDEX('Our policies'!$S$4:$S$503,_calc!$E$806)))),TRIM(IF(LEN(IF(LEN(INDEX('Vendor COIs'!$C$4:$C$503,(_calc!$E$806-500)))=0,"",INDEX('Vendor COIs'!$C$4:$C$503,(_calc!$E$806-500))))=0,"","Insurer: "&amp;IF(LEN(INDEX('Vendor COIs'!$C$4:$C$503,(_calc!$E$806-500)))=0,"",INDEX('Vendor COIs'!$C$4:$C$503,(_calc!$E$806-500)))&amp;". ")&amp;IF(LEN(IF(LEN(INDEX('Vendor COIs'!$D$4:$D$503,(_calc!$E$806-500)))=0,"",INDEX('Vendor COIs'!$D$4:$D$503,(_calc!$E$806-500))))=0,"","Policy no.: "&amp;IF(LEN(INDEX('Vendor COIs'!$D$4:$D$503,(_calc!$E$806-500)))=0,"",INDEX('Vendor COIs'!$D$4:$D$503,(_calc!$E$806-500)))&amp;". ")&amp;IF(LEN(IF(LEN(INDEX('Vendor COIs'!$F$4:$F$503,(_calc!$E$806-500)))=0,"",INDEX('Vendor COIs'!$F$4:$F$503,(_calc!$E$806-500))))=0,"","Meets minimum: "&amp;IF(LEN(INDEX('Vendor COIs'!$F$4:$F$503,(_calc!$E$806-500)))=0,"",INDEX('Vendor COIs'!$F$4:$F$503,(_calc!$E$806-500)))&amp;". ")&amp;IF(LEN(IF(LEN(INDEX('Vendor COIs'!$G$4:$G$503,(_calc!$E$806-500)))=0,"",INDEX('Vendor COIs'!$G$4:$G$503,(_calc!$E$806-500))))=0,"","Additional insured: "&amp;IF(LEN(INDEX('Vendor COIs'!$G$4:$G$503,(_calc!$E$806-500)))=0,"",INDEX('Vendor COIs'!$G$4:$G$503,(_calc!$E$806-500)))&amp;". ")&amp;IF(LEN(IF(LEN(INDEX('Vendor COIs'!$M$4:$M$503,(_calc!$E$806-500)))=0,"",INDEX('Vendor COIs'!$M$4:$M$503,(_calc!$E$806-500))))=0,"","Vendor contact: "&amp;IF(LEN(INDEX('Vendor COIs'!$M$4:$M$503,(_calc!$E$806-500)))=0,"",INDEX('Vendor COIs'!$M$4:$M$503,(_calc!$E$806-500)))&amp;". ")&amp;IF(LEN(IF(LEN(INDEX('Vendor COIs'!$P$4:$P$503,(_calc!$E$806-500)))=0,"",INDEX('Vendor COIs'!$P$4:$P$503,(_calc!$E$806-500))))=0,"",IF(LEN(INDEX('Vendor COIs'!$P$4:$P$503,(_calc!$E$806-500)))=0,"",INDEX('Vendor COIs'!$P$4:$P$503,(_calc!$E$806-500)))))))</f>
        <v/>
      </c>
      <c r="G804" s="46">
        <f>IF(_calc!$E$806="","",IF(_calc!$E$806&lt;=500,IF(LEN(INDEX('Our policies'!$R$4:$R$503,_calc!$E$806))=0,"",INDEX('Our policies'!$R$4:$R$503,_calc!$E$806)),IF(LEN(INDEX('Vendor COIs'!$O$4:$O$503,(_calc!$E$806-500)))=0,"",INDEX('Vendor COIs'!$O$4:$O$503,(_calc!$E$806-500)))))</f>
        <v/>
      </c>
      <c r="H804" s="46">
        <f>IF(_calc!$E$806="","",IF(_calc!$E$806&lt;=500,IF(LEN(INDEX('Our policies'!$G$4:$G$503,_calc!$E$806))=0,"",INDEX('Our policies'!$G$4:$G$503,_calc!$E$806)),""))</f>
        <v/>
      </c>
      <c r="I804" s="46">
        <f>IF(_calc!$E$806="","",IF(_calc!$E$806&lt;=500,IF(LEN(INDEX('Our policies'!$H$4:$H$503,_calc!$E$806))=0,"",INDEX('Our policies'!$H$4:$H$503,_calc!$E$806)),""))</f>
        <v/>
      </c>
      <c r="K804" s="46">
        <f>IF(_calc!$E$806="","",IF(_calc!$E$806&lt;=500,IF(LEN(INDEX('Our policies'!$P$4:$P$503,_calc!$E$806))=0,"",INDEX('Our policies'!$P$4:$P$503,_calc!$E$806)),IF(LEN(INDEX('Vendor COIs'!$N$4:$N$503,(_calc!$E$806-500)))=0,"",INDEX('Vendor COIs'!$N$4:$N$503,(_calc!$E$806-500)))))</f>
        <v/>
      </c>
    </row>
    <row r="805">
      <c r="A805" s="46">
        <f>IF(_calc!$E$807="","",IF(_calc!$E$807&lt;=500,IF(LEN(INDEX('Our policies'!$A$4:$A$503,_calc!$E$807))=0,"",INDEX('Our policies'!$A$4:$A$503,_calc!$E$807)),"COI – "&amp;IF(LEN(INDEX('Vendor COIs'!$A$4:$A$503,(_calc!$E$807-500)))=0,"",INDEX('Vendor COIs'!$A$4:$A$503,(_calc!$E$807-500)))&amp;" – "&amp;IF(LEN(INDEX('Vendor COIs'!$B$4:$B$503,(_calc!$E$807-500)))=0,"",INDEX('Vendor COIs'!$B$4:$B$503,(_calc!$E$807-500)))))</f>
        <v/>
      </c>
      <c r="B805" s="46">
        <f>IF(_calc!$E$807="","",IF(_calc!$E$807&lt;=500,IF(ISNUMBER(INDEX('Our policies'!$J$4:$J$503,_calc!$E$807)),TEXT(INDEX('Our policies'!$J$4:$J$503,_calc!$E$807),"yyyy-mm-dd"),""),IF(ISNUMBER(INDEX('Vendor COIs'!$H$4:$H$503,(_calc!$E$807-500))),TEXT(INDEX('Vendor COIs'!$H$4:$H$503,(_calc!$E$807-500)),"yyyy-mm-dd"),"")))</f>
        <v/>
      </c>
      <c r="C805" s="46">
        <f>IF(_calc!$E$807="","",IF(_calc!$E$807&lt;=500,"Insurance","Certificate of insurance"))</f>
        <v/>
      </c>
      <c r="D805" s="46">
        <f>IF(_calc!$E$807="","",IF(_calc!$E$807&lt;=500,IF(ISNUMBER(INDEX('Our policies'!$I$4:$I$503,_calc!$E$807)),TEXT(INDEX('Our policies'!$I$4:$I$503,_calc!$E$807),"yyyy-mm-dd"),""),""))</f>
        <v/>
      </c>
      <c r="E805" s="46">
        <f>IF(_calc!$E$807="","",IF(_calc!$E$807&lt;=500,IF(LEN(INDEX('Our policies'!$Q$4:$Q$503,_calc!$E$807))=0,"",INDEX('Our policies'!$Q$4:$Q$503,_calc!$E$807)),"Medium"))</f>
        <v/>
      </c>
      <c r="F805" s="46">
        <f>IF(_calc!$E$807="","",IF(_calc!$E$807&lt;=500,TRIM(IF(LEN(IF(LEN(INDEX('Our policies'!$B$4:$B$503,_calc!$E$807))=0,"",INDEX('Our policies'!$B$4:$B$503,_calc!$E$807)))=0,"","Cover: "&amp;IF(LEN(INDEX('Our policies'!$B$4:$B$503,_calc!$E$807))=0,"",INDEX('Our policies'!$B$4:$B$503,_calc!$E$807))&amp;". ")&amp;IF(LEN(IF(LEN(INDEX('Our policies'!$C$4:$C$503,_calc!$E$807))=0,"",INDEX('Our policies'!$C$4:$C$503,_calc!$E$807)))=0,"","Insurer: "&amp;IF(LEN(INDEX('Our policies'!$C$4:$C$503,_calc!$E$807))=0,"",INDEX('Our policies'!$C$4:$C$503,_calc!$E$807))&amp;". ")&amp;IF(LEN(IF(LEN(INDEX('Our policies'!$D$4:$D$503,_calc!$E$807))=0,"",INDEX('Our policies'!$D$4:$D$503,_calc!$E$807)))=0,"","Broker: "&amp;IF(LEN(INDEX('Our policies'!$D$4:$D$503,_calc!$E$807))=0,"",INDEX('Our policies'!$D$4:$D$503,_calc!$E$807))&amp;". ")&amp;IF(LEN(IF(LEN(INDEX('Our policies'!$E$4:$E$503,_calc!$E$807))=0,"",INDEX('Our policies'!$E$4:$E$503,_calc!$E$807)))=0,"","Policy no.: "&amp;IF(LEN(INDEX('Our policies'!$E$4:$E$503,_calc!$E$807))=0,"",INDEX('Our policies'!$E$4:$E$503,_calc!$E$807))&amp;". ")&amp;IF(LEN(IF(LEN(INDEX('Our policies'!$S$4:$S$503,_calc!$E$807))=0,"",INDEX('Our policies'!$S$4:$S$503,_calc!$E$807)))=0,"",IF(LEN(INDEX('Our policies'!$S$4:$S$503,_calc!$E$807))=0,"",INDEX('Our policies'!$S$4:$S$503,_calc!$E$807)))),TRIM(IF(LEN(IF(LEN(INDEX('Vendor COIs'!$C$4:$C$503,(_calc!$E$807-500)))=0,"",INDEX('Vendor COIs'!$C$4:$C$503,(_calc!$E$807-500))))=0,"","Insurer: "&amp;IF(LEN(INDEX('Vendor COIs'!$C$4:$C$503,(_calc!$E$807-500)))=0,"",INDEX('Vendor COIs'!$C$4:$C$503,(_calc!$E$807-500)))&amp;". ")&amp;IF(LEN(IF(LEN(INDEX('Vendor COIs'!$D$4:$D$503,(_calc!$E$807-500)))=0,"",INDEX('Vendor COIs'!$D$4:$D$503,(_calc!$E$807-500))))=0,"","Policy no.: "&amp;IF(LEN(INDEX('Vendor COIs'!$D$4:$D$503,(_calc!$E$807-500)))=0,"",INDEX('Vendor COIs'!$D$4:$D$503,(_calc!$E$807-500)))&amp;". ")&amp;IF(LEN(IF(LEN(INDEX('Vendor COIs'!$F$4:$F$503,(_calc!$E$807-500)))=0,"",INDEX('Vendor COIs'!$F$4:$F$503,(_calc!$E$807-500))))=0,"","Meets minimum: "&amp;IF(LEN(INDEX('Vendor COIs'!$F$4:$F$503,(_calc!$E$807-500)))=0,"",INDEX('Vendor COIs'!$F$4:$F$503,(_calc!$E$807-500)))&amp;". ")&amp;IF(LEN(IF(LEN(INDEX('Vendor COIs'!$G$4:$G$503,(_calc!$E$807-500)))=0,"",INDEX('Vendor COIs'!$G$4:$G$503,(_calc!$E$807-500))))=0,"","Additional insured: "&amp;IF(LEN(INDEX('Vendor COIs'!$G$4:$G$503,(_calc!$E$807-500)))=0,"",INDEX('Vendor COIs'!$G$4:$G$503,(_calc!$E$807-500)))&amp;". ")&amp;IF(LEN(IF(LEN(INDEX('Vendor COIs'!$M$4:$M$503,(_calc!$E$807-500)))=0,"",INDEX('Vendor COIs'!$M$4:$M$503,(_calc!$E$807-500))))=0,"","Vendor contact: "&amp;IF(LEN(INDEX('Vendor COIs'!$M$4:$M$503,(_calc!$E$807-500)))=0,"",INDEX('Vendor COIs'!$M$4:$M$503,(_calc!$E$807-500)))&amp;". ")&amp;IF(LEN(IF(LEN(INDEX('Vendor COIs'!$P$4:$P$503,(_calc!$E$807-500)))=0,"",INDEX('Vendor COIs'!$P$4:$P$503,(_calc!$E$807-500))))=0,"",IF(LEN(INDEX('Vendor COIs'!$P$4:$P$503,(_calc!$E$807-500)))=0,"",INDEX('Vendor COIs'!$P$4:$P$503,(_calc!$E$807-500)))))))</f>
        <v/>
      </c>
      <c r="G805" s="46">
        <f>IF(_calc!$E$807="","",IF(_calc!$E$807&lt;=500,IF(LEN(INDEX('Our policies'!$R$4:$R$503,_calc!$E$807))=0,"",INDEX('Our policies'!$R$4:$R$503,_calc!$E$807)),IF(LEN(INDEX('Vendor COIs'!$O$4:$O$503,(_calc!$E$807-500)))=0,"",INDEX('Vendor COIs'!$O$4:$O$503,(_calc!$E$807-500)))))</f>
        <v/>
      </c>
      <c r="H805" s="46">
        <f>IF(_calc!$E$807="","",IF(_calc!$E$807&lt;=500,IF(LEN(INDEX('Our policies'!$G$4:$G$503,_calc!$E$807))=0,"",INDEX('Our policies'!$G$4:$G$503,_calc!$E$807)),""))</f>
        <v/>
      </c>
      <c r="I805" s="46">
        <f>IF(_calc!$E$807="","",IF(_calc!$E$807&lt;=500,IF(LEN(INDEX('Our policies'!$H$4:$H$503,_calc!$E$807))=0,"",INDEX('Our policies'!$H$4:$H$503,_calc!$E$807)),""))</f>
        <v/>
      </c>
      <c r="K805" s="46">
        <f>IF(_calc!$E$807="","",IF(_calc!$E$807&lt;=500,IF(LEN(INDEX('Our policies'!$P$4:$P$503,_calc!$E$807))=0,"",INDEX('Our policies'!$P$4:$P$503,_calc!$E$807)),IF(LEN(INDEX('Vendor COIs'!$N$4:$N$503,(_calc!$E$807-500)))=0,"",INDEX('Vendor COIs'!$N$4:$N$503,(_calc!$E$807-500)))))</f>
        <v/>
      </c>
    </row>
    <row r="806">
      <c r="A806" s="46">
        <f>IF(_calc!$E$808="","",IF(_calc!$E$808&lt;=500,IF(LEN(INDEX('Our policies'!$A$4:$A$503,_calc!$E$808))=0,"",INDEX('Our policies'!$A$4:$A$503,_calc!$E$808)),"COI – "&amp;IF(LEN(INDEX('Vendor COIs'!$A$4:$A$503,(_calc!$E$808-500)))=0,"",INDEX('Vendor COIs'!$A$4:$A$503,(_calc!$E$808-500)))&amp;" – "&amp;IF(LEN(INDEX('Vendor COIs'!$B$4:$B$503,(_calc!$E$808-500)))=0,"",INDEX('Vendor COIs'!$B$4:$B$503,(_calc!$E$808-500)))))</f>
        <v/>
      </c>
      <c r="B806" s="46">
        <f>IF(_calc!$E$808="","",IF(_calc!$E$808&lt;=500,IF(ISNUMBER(INDEX('Our policies'!$J$4:$J$503,_calc!$E$808)),TEXT(INDEX('Our policies'!$J$4:$J$503,_calc!$E$808),"yyyy-mm-dd"),""),IF(ISNUMBER(INDEX('Vendor COIs'!$H$4:$H$503,(_calc!$E$808-500))),TEXT(INDEX('Vendor COIs'!$H$4:$H$503,(_calc!$E$808-500)),"yyyy-mm-dd"),"")))</f>
        <v/>
      </c>
      <c r="C806" s="46">
        <f>IF(_calc!$E$808="","",IF(_calc!$E$808&lt;=500,"Insurance","Certificate of insurance"))</f>
        <v/>
      </c>
      <c r="D806" s="46">
        <f>IF(_calc!$E$808="","",IF(_calc!$E$808&lt;=500,IF(ISNUMBER(INDEX('Our policies'!$I$4:$I$503,_calc!$E$808)),TEXT(INDEX('Our policies'!$I$4:$I$503,_calc!$E$808),"yyyy-mm-dd"),""),""))</f>
        <v/>
      </c>
      <c r="E806" s="46">
        <f>IF(_calc!$E$808="","",IF(_calc!$E$808&lt;=500,IF(LEN(INDEX('Our policies'!$Q$4:$Q$503,_calc!$E$808))=0,"",INDEX('Our policies'!$Q$4:$Q$503,_calc!$E$808)),"Medium"))</f>
        <v/>
      </c>
      <c r="F806" s="46">
        <f>IF(_calc!$E$808="","",IF(_calc!$E$808&lt;=500,TRIM(IF(LEN(IF(LEN(INDEX('Our policies'!$B$4:$B$503,_calc!$E$808))=0,"",INDEX('Our policies'!$B$4:$B$503,_calc!$E$808)))=0,"","Cover: "&amp;IF(LEN(INDEX('Our policies'!$B$4:$B$503,_calc!$E$808))=0,"",INDEX('Our policies'!$B$4:$B$503,_calc!$E$808))&amp;". ")&amp;IF(LEN(IF(LEN(INDEX('Our policies'!$C$4:$C$503,_calc!$E$808))=0,"",INDEX('Our policies'!$C$4:$C$503,_calc!$E$808)))=0,"","Insurer: "&amp;IF(LEN(INDEX('Our policies'!$C$4:$C$503,_calc!$E$808))=0,"",INDEX('Our policies'!$C$4:$C$503,_calc!$E$808))&amp;". ")&amp;IF(LEN(IF(LEN(INDEX('Our policies'!$D$4:$D$503,_calc!$E$808))=0,"",INDEX('Our policies'!$D$4:$D$503,_calc!$E$808)))=0,"","Broker: "&amp;IF(LEN(INDEX('Our policies'!$D$4:$D$503,_calc!$E$808))=0,"",INDEX('Our policies'!$D$4:$D$503,_calc!$E$808))&amp;". ")&amp;IF(LEN(IF(LEN(INDEX('Our policies'!$E$4:$E$503,_calc!$E$808))=0,"",INDEX('Our policies'!$E$4:$E$503,_calc!$E$808)))=0,"","Policy no.: "&amp;IF(LEN(INDEX('Our policies'!$E$4:$E$503,_calc!$E$808))=0,"",INDEX('Our policies'!$E$4:$E$503,_calc!$E$808))&amp;". ")&amp;IF(LEN(IF(LEN(INDEX('Our policies'!$S$4:$S$503,_calc!$E$808))=0,"",INDEX('Our policies'!$S$4:$S$503,_calc!$E$808)))=0,"",IF(LEN(INDEX('Our policies'!$S$4:$S$503,_calc!$E$808))=0,"",INDEX('Our policies'!$S$4:$S$503,_calc!$E$808)))),TRIM(IF(LEN(IF(LEN(INDEX('Vendor COIs'!$C$4:$C$503,(_calc!$E$808-500)))=0,"",INDEX('Vendor COIs'!$C$4:$C$503,(_calc!$E$808-500))))=0,"","Insurer: "&amp;IF(LEN(INDEX('Vendor COIs'!$C$4:$C$503,(_calc!$E$808-500)))=0,"",INDEX('Vendor COIs'!$C$4:$C$503,(_calc!$E$808-500)))&amp;". ")&amp;IF(LEN(IF(LEN(INDEX('Vendor COIs'!$D$4:$D$503,(_calc!$E$808-500)))=0,"",INDEX('Vendor COIs'!$D$4:$D$503,(_calc!$E$808-500))))=0,"","Policy no.: "&amp;IF(LEN(INDEX('Vendor COIs'!$D$4:$D$503,(_calc!$E$808-500)))=0,"",INDEX('Vendor COIs'!$D$4:$D$503,(_calc!$E$808-500)))&amp;". ")&amp;IF(LEN(IF(LEN(INDEX('Vendor COIs'!$F$4:$F$503,(_calc!$E$808-500)))=0,"",INDEX('Vendor COIs'!$F$4:$F$503,(_calc!$E$808-500))))=0,"","Meets minimum: "&amp;IF(LEN(INDEX('Vendor COIs'!$F$4:$F$503,(_calc!$E$808-500)))=0,"",INDEX('Vendor COIs'!$F$4:$F$503,(_calc!$E$808-500)))&amp;". ")&amp;IF(LEN(IF(LEN(INDEX('Vendor COIs'!$G$4:$G$503,(_calc!$E$808-500)))=0,"",INDEX('Vendor COIs'!$G$4:$G$503,(_calc!$E$808-500))))=0,"","Additional insured: "&amp;IF(LEN(INDEX('Vendor COIs'!$G$4:$G$503,(_calc!$E$808-500)))=0,"",INDEX('Vendor COIs'!$G$4:$G$503,(_calc!$E$808-500)))&amp;". ")&amp;IF(LEN(IF(LEN(INDEX('Vendor COIs'!$M$4:$M$503,(_calc!$E$808-500)))=0,"",INDEX('Vendor COIs'!$M$4:$M$503,(_calc!$E$808-500))))=0,"","Vendor contact: "&amp;IF(LEN(INDEX('Vendor COIs'!$M$4:$M$503,(_calc!$E$808-500)))=0,"",INDEX('Vendor COIs'!$M$4:$M$503,(_calc!$E$808-500)))&amp;". ")&amp;IF(LEN(IF(LEN(INDEX('Vendor COIs'!$P$4:$P$503,(_calc!$E$808-500)))=0,"",INDEX('Vendor COIs'!$P$4:$P$503,(_calc!$E$808-500))))=0,"",IF(LEN(INDEX('Vendor COIs'!$P$4:$P$503,(_calc!$E$808-500)))=0,"",INDEX('Vendor COIs'!$P$4:$P$503,(_calc!$E$808-500)))))))</f>
        <v/>
      </c>
      <c r="G806" s="46">
        <f>IF(_calc!$E$808="","",IF(_calc!$E$808&lt;=500,IF(LEN(INDEX('Our policies'!$R$4:$R$503,_calc!$E$808))=0,"",INDEX('Our policies'!$R$4:$R$503,_calc!$E$808)),IF(LEN(INDEX('Vendor COIs'!$O$4:$O$503,(_calc!$E$808-500)))=0,"",INDEX('Vendor COIs'!$O$4:$O$503,(_calc!$E$808-500)))))</f>
        <v/>
      </c>
      <c r="H806" s="46">
        <f>IF(_calc!$E$808="","",IF(_calc!$E$808&lt;=500,IF(LEN(INDEX('Our policies'!$G$4:$G$503,_calc!$E$808))=0,"",INDEX('Our policies'!$G$4:$G$503,_calc!$E$808)),""))</f>
        <v/>
      </c>
      <c r="I806" s="46">
        <f>IF(_calc!$E$808="","",IF(_calc!$E$808&lt;=500,IF(LEN(INDEX('Our policies'!$H$4:$H$503,_calc!$E$808))=0,"",INDEX('Our policies'!$H$4:$H$503,_calc!$E$808)),""))</f>
        <v/>
      </c>
      <c r="K806" s="46">
        <f>IF(_calc!$E$808="","",IF(_calc!$E$808&lt;=500,IF(LEN(INDEX('Our policies'!$P$4:$P$503,_calc!$E$808))=0,"",INDEX('Our policies'!$P$4:$P$503,_calc!$E$808)),IF(LEN(INDEX('Vendor COIs'!$N$4:$N$503,(_calc!$E$808-500)))=0,"",INDEX('Vendor COIs'!$N$4:$N$503,(_calc!$E$808-500)))))</f>
        <v/>
      </c>
    </row>
    <row r="807">
      <c r="A807" s="46">
        <f>IF(_calc!$E$809="","",IF(_calc!$E$809&lt;=500,IF(LEN(INDEX('Our policies'!$A$4:$A$503,_calc!$E$809))=0,"",INDEX('Our policies'!$A$4:$A$503,_calc!$E$809)),"COI – "&amp;IF(LEN(INDEX('Vendor COIs'!$A$4:$A$503,(_calc!$E$809-500)))=0,"",INDEX('Vendor COIs'!$A$4:$A$503,(_calc!$E$809-500)))&amp;" – "&amp;IF(LEN(INDEX('Vendor COIs'!$B$4:$B$503,(_calc!$E$809-500)))=0,"",INDEX('Vendor COIs'!$B$4:$B$503,(_calc!$E$809-500)))))</f>
        <v/>
      </c>
      <c r="B807" s="46">
        <f>IF(_calc!$E$809="","",IF(_calc!$E$809&lt;=500,IF(ISNUMBER(INDEX('Our policies'!$J$4:$J$503,_calc!$E$809)),TEXT(INDEX('Our policies'!$J$4:$J$503,_calc!$E$809),"yyyy-mm-dd"),""),IF(ISNUMBER(INDEX('Vendor COIs'!$H$4:$H$503,(_calc!$E$809-500))),TEXT(INDEX('Vendor COIs'!$H$4:$H$503,(_calc!$E$809-500)),"yyyy-mm-dd"),"")))</f>
        <v/>
      </c>
      <c r="C807" s="46">
        <f>IF(_calc!$E$809="","",IF(_calc!$E$809&lt;=500,"Insurance","Certificate of insurance"))</f>
        <v/>
      </c>
      <c r="D807" s="46">
        <f>IF(_calc!$E$809="","",IF(_calc!$E$809&lt;=500,IF(ISNUMBER(INDEX('Our policies'!$I$4:$I$503,_calc!$E$809)),TEXT(INDEX('Our policies'!$I$4:$I$503,_calc!$E$809),"yyyy-mm-dd"),""),""))</f>
        <v/>
      </c>
      <c r="E807" s="46">
        <f>IF(_calc!$E$809="","",IF(_calc!$E$809&lt;=500,IF(LEN(INDEX('Our policies'!$Q$4:$Q$503,_calc!$E$809))=0,"",INDEX('Our policies'!$Q$4:$Q$503,_calc!$E$809)),"Medium"))</f>
        <v/>
      </c>
      <c r="F807" s="46">
        <f>IF(_calc!$E$809="","",IF(_calc!$E$809&lt;=500,TRIM(IF(LEN(IF(LEN(INDEX('Our policies'!$B$4:$B$503,_calc!$E$809))=0,"",INDEX('Our policies'!$B$4:$B$503,_calc!$E$809)))=0,"","Cover: "&amp;IF(LEN(INDEX('Our policies'!$B$4:$B$503,_calc!$E$809))=0,"",INDEX('Our policies'!$B$4:$B$503,_calc!$E$809))&amp;". ")&amp;IF(LEN(IF(LEN(INDEX('Our policies'!$C$4:$C$503,_calc!$E$809))=0,"",INDEX('Our policies'!$C$4:$C$503,_calc!$E$809)))=0,"","Insurer: "&amp;IF(LEN(INDEX('Our policies'!$C$4:$C$503,_calc!$E$809))=0,"",INDEX('Our policies'!$C$4:$C$503,_calc!$E$809))&amp;". ")&amp;IF(LEN(IF(LEN(INDEX('Our policies'!$D$4:$D$503,_calc!$E$809))=0,"",INDEX('Our policies'!$D$4:$D$503,_calc!$E$809)))=0,"","Broker: "&amp;IF(LEN(INDEX('Our policies'!$D$4:$D$503,_calc!$E$809))=0,"",INDEX('Our policies'!$D$4:$D$503,_calc!$E$809))&amp;". ")&amp;IF(LEN(IF(LEN(INDEX('Our policies'!$E$4:$E$503,_calc!$E$809))=0,"",INDEX('Our policies'!$E$4:$E$503,_calc!$E$809)))=0,"","Policy no.: "&amp;IF(LEN(INDEX('Our policies'!$E$4:$E$503,_calc!$E$809))=0,"",INDEX('Our policies'!$E$4:$E$503,_calc!$E$809))&amp;". ")&amp;IF(LEN(IF(LEN(INDEX('Our policies'!$S$4:$S$503,_calc!$E$809))=0,"",INDEX('Our policies'!$S$4:$S$503,_calc!$E$809)))=0,"",IF(LEN(INDEX('Our policies'!$S$4:$S$503,_calc!$E$809))=0,"",INDEX('Our policies'!$S$4:$S$503,_calc!$E$809)))),TRIM(IF(LEN(IF(LEN(INDEX('Vendor COIs'!$C$4:$C$503,(_calc!$E$809-500)))=0,"",INDEX('Vendor COIs'!$C$4:$C$503,(_calc!$E$809-500))))=0,"","Insurer: "&amp;IF(LEN(INDEX('Vendor COIs'!$C$4:$C$503,(_calc!$E$809-500)))=0,"",INDEX('Vendor COIs'!$C$4:$C$503,(_calc!$E$809-500)))&amp;". ")&amp;IF(LEN(IF(LEN(INDEX('Vendor COIs'!$D$4:$D$503,(_calc!$E$809-500)))=0,"",INDEX('Vendor COIs'!$D$4:$D$503,(_calc!$E$809-500))))=0,"","Policy no.: "&amp;IF(LEN(INDEX('Vendor COIs'!$D$4:$D$503,(_calc!$E$809-500)))=0,"",INDEX('Vendor COIs'!$D$4:$D$503,(_calc!$E$809-500)))&amp;". ")&amp;IF(LEN(IF(LEN(INDEX('Vendor COIs'!$F$4:$F$503,(_calc!$E$809-500)))=0,"",INDEX('Vendor COIs'!$F$4:$F$503,(_calc!$E$809-500))))=0,"","Meets minimum: "&amp;IF(LEN(INDEX('Vendor COIs'!$F$4:$F$503,(_calc!$E$809-500)))=0,"",INDEX('Vendor COIs'!$F$4:$F$503,(_calc!$E$809-500)))&amp;". ")&amp;IF(LEN(IF(LEN(INDEX('Vendor COIs'!$G$4:$G$503,(_calc!$E$809-500)))=0,"",INDEX('Vendor COIs'!$G$4:$G$503,(_calc!$E$809-500))))=0,"","Additional insured: "&amp;IF(LEN(INDEX('Vendor COIs'!$G$4:$G$503,(_calc!$E$809-500)))=0,"",INDEX('Vendor COIs'!$G$4:$G$503,(_calc!$E$809-500)))&amp;". ")&amp;IF(LEN(IF(LEN(INDEX('Vendor COIs'!$M$4:$M$503,(_calc!$E$809-500)))=0,"",INDEX('Vendor COIs'!$M$4:$M$503,(_calc!$E$809-500))))=0,"","Vendor contact: "&amp;IF(LEN(INDEX('Vendor COIs'!$M$4:$M$503,(_calc!$E$809-500)))=0,"",INDEX('Vendor COIs'!$M$4:$M$503,(_calc!$E$809-500)))&amp;". ")&amp;IF(LEN(IF(LEN(INDEX('Vendor COIs'!$P$4:$P$503,(_calc!$E$809-500)))=0,"",INDEX('Vendor COIs'!$P$4:$P$503,(_calc!$E$809-500))))=0,"",IF(LEN(INDEX('Vendor COIs'!$P$4:$P$503,(_calc!$E$809-500)))=0,"",INDEX('Vendor COIs'!$P$4:$P$503,(_calc!$E$809-500)))))))</f>
        <v/>
      </c>
      <c r="G807" s="46">
        <f>IF(_calc!$E$809="","",IF(_calc!$E$809&lt;=500,IF(LEN(INDEX('Our policies'!$R$4:$R$503,_calc!$E$809))=0,"",INDEX('Our policies'!$R$4:$R$503,_calc!$E$809)),IF(LEN(INDEX('Vendor COIs'!$O$4:$O$503,(_calc!$E$809-500)))=0,"",INDEX('Vendor COIs'!$O$4:$O$503,(_calc!$E$809-500)))))</f>
        <v/>
      </c>
      <c r="H807" s="46">
        <f>IF(_calc!$E$809="","",IF(_calc!$E$809&lt;=500,IF(LEN(INDEX('Our policies'!$G$4:$G$503,_calc!$E$809))=0,"",INDEX('Our policies'!$G$4:$G$503,_calc!$E$809)),""))</f>
        <v/>
      </c>
      <c r="I807" s="46">
        <f>IF(_calc!$E$809="","",IF(_calc!$E$809&lt;=500,IF(LEN(INDEX('Our policies'!$H$4:$H$503,_calc!$E$809))=0,"",INDEX('Our policies'!$H$4:$H$503,_calc!$E$809)),""))</f>
        <v/>
      </c>
      <c r="K807" s="46">
        <f>IF(_calc!$E$809="","",IF(_calc!$E$809&lt;=500,IF(LEN(INDEX('Our policies'!$P$4:$P$503,_calc!$E$809))=0,"",INDEX('Our policies'!$P$4:$P$503,_calc!$E$809)),IF(LEN(INDEX('Vendor COIs'!$N$4:$N$503,(_calc!$E$809-500)))=0,"",INDEX('Vendor COIs'!$N$4:$N$503,(_calc!$E$809-500)))))</f>
        <v/>
      </c>
    </row>
    <row r="808">
      <c r="A808" s="46">
        <f>IF(_calc!$E$810="","",IF(_calc!$E$810&lt;=500,IF(LEN(INDEX('Our policies'!$A$4:$A$503,_calc!$E$810))=0,"",INDEX('Our policies'!$A$4:$A$503,_calc!$E$810)),"COI – "&amp;IF(LEN(INDEX('Vendor COIs'!$A$4:$A$503,(_calc!$E$810-500)))=0,"",INDEX('Vendor COIs'!$A$4:$A$503,(_calc!$E$810-500)))&amp;" – "&amp;IF(LEN(INDEX('Vendor COIs'!$B$4:$B$503,(_calc!$E$810-500)))=0,"",INDEX('Vendor COIs'!$B$4:$B$503,(_calc!$E$810-500)))))</f>
        <v/>
      </c>
      <c r="B808" s="46">
        <f>IF(_calc!$E$810="","",IF(_calc!$E$810&lt;=500,IF(ISNUMBER(INDEX('Our policies'!$J$4:$J$503,_calc!$E$810)),TEXT(INDEX('Our policies'!$J$4:$J$503,_calc!$E$810),"yyyy-mm-dd"),""),IF(ISNUMBER(INDEX('Vendor COIs'!$H$4:$H$503,(_calc!$E$810-500))),TEXT(INDEX('Vendor COIs'!$H$4:$H$503,(_calc!$E$810-500)),"yyyy-mm-dd"),"")))</f>
        <v/>
      </c>
      <c r="C808" s="46">
        <f>IF(_calc!$E$810="","",IF(_calc!$E$810&lt;=500,"Insurance","Certificate of insurance"))</f>
        <v/>
      </c>
      <c r="D808" s="46">
        <f>IF(_calc!$E$810="","",IF(_calc!$E$810&lt;=500,IF(ISNUMBER(INDEX('Our policies'!$I$4:$I$503,_calc!$E$810)),TEXT(INDEX('Our policies'!$I$4:$I$503,_calc!$E$810),"yyyy-mm-dd"),""),""))</f>
        <v/>
      </c>
      <c r="E808" s="46">
        <f>IF(_calc!$E$810="","",IF(_calc!$E$810&lt;=500,IF(LEN(INDEX('Our policies'!$Q$4:$Q$503,_calc!$E$810))=0,"",INDEX('Our policies'!$Q$4:$Q$503,_calc!$E$810)),"Medium"))</f>
        <v/>
      </c>
      <c r="F808" s="46">
        <f>IF(_calc!$E$810="","",IF(_calc!$E$810&lt;=500,TRIM(IF(LEN(IF(LEN(INDEX('Our policies'!$B$4:$B$503,_calc!$E$810))=0,"",INDEX('Our policies'!$B$4:$B$503,_calc!$E$810)))=0,"","Cover: "&amp;IF(LEN(INDEX('Our policies'!$B$4:$B$503,_calc!$E$810))=0,"",INDEX('Our policies'!$B$4:$B$503,_calc!$E$810))&amp;". ")&amp;IF(LEN(IF(LEN(INDEX('Our policies'!$C$4:$C$503,_calc!$E$810))=0,"",INDEX('Our policies'!$C$4:$C$503,_calc!$E$810)))=0,"","Insurer: "&amp;IF(LEN(INDEX('Our policies'!$C$4:$C$503,_calc!$E$810))=0,"",INDEX('Our policies'!$C$4:$C$503,_calc!$E$810))&amp;". ")&amp;IF(LEN(IF(LEN(INDEX('Our policies'!$D$4:$D$503,_calc!$E$810))=0,"",INDEX('Our policies'!$D$4:$D$503,_calc!$E$810)))=0,"","Broker: "&amp;IF(LEN(INDEX('Our policies'!$D$4:$D$503,_calc!$E$810))=0,"",INDEX('Our policies'!$D$4:$D$503,_calc!$E$810))&amp;". ")&amp;IF(LEN(IF(LEN(INDEX('Our policies'!$E$4:$E$503,_calc!$E$810))=0,"",INDEX('Our policies'!$E$4:$E$503,_calc!$E$810)))=0,"","Policy no.: "&amp;IF(LEN(INDEX('Our policies'!$E$4:$E$503,_calc!$E$810))=0,"",INDEX('Our policies'!$E$4:$E$503,_calc!$E$810))&amp;". ")&amp;IF(LEN(IF(LEN(INDEX('Our policies'!$S$4:$S$503,_calc!$E$810))=0,"",INDEX('Our policies'!$S$4:$S$503,_calc!$E$810)))=0,"",IF(LEN(INDEX('Our policies'!$S$4:$S$503,_calc!$E$810))=0,"",INDEX('Our policies'!$S$4:$S$503,_calc!$E$810)))),TRIM(IF(LEN(IF(LEN(INDEX('Vendor COIs'!$C$4:$C$503,(_calc!$E$810-500)))=0,"",INDEX('Vendor COIs'!$C$4:$C$503,(_calc!$E$810-500))))=0,"","Insurer: "&amp;IF(LEN(INDEX('Vendor COIs'!$C$4:$C$503,(_calc!$E$810-500)))=0,"",INDEX('Vendor COIs'!$C$4:$C$503,(_calc!$E$810-500)))&amp;". ")&amp;IF(LEN(IF(LEN(INDEX('Vendor COIs'!$D$4:$D$503,(_calc!$E$810-500)))=0,"",INDEX('Vendor COIs'!$D$4:$D$503,(_calc!$E$810-500))))=0,"","Policy no.: "&amp;IF(LEN(INDEX('Vendor COIs'!$D$4:$D$503,(_calc!$E$810-500)))=0,"",INDEX('Vendor COIs'!$D$4:$D$503,(_calc!$E$810-500)))&amp;". ")&amp;IF(LEN(IF(LEN(INDEX('Vendor COIs'!$F$4:$F$503,(_calc!$E$810-500)))=0,"",INDEX('Vendor COIs'!$F$4:$F$503,(_calc!$E$810-500))))=0,"","Meets minimum: "&amp;IF(LEN(INDEX('Vendor COIs'!$F$4:$F$503,(_calc!$E$810-500)))=0,"",INDEX('Vendor COIs'!$F$4:$F$503,(_calc!$E$810-500)))&amp;". ")&amp;IF(LEN(IF(LEN(INDEX('Vendor COIs'!$G$4:$G$503,(_calc!$E$810-500)))=0,"",INDEX('Vendor COIs'!$G$4:$G$503,(_calc!$E$810-500))))=0,"","Additional insured: "&amp;IF(LEN(INDEX('Vendor COIs'!$G$4:$G$503,(_calc!$E$810-500)))=0,"",INDEX('Vendor COIs'!$G$4:$G$503,(_calc!$E$810-500)))&amp;". ")&amp;IF(LEN(IF(LEN(INDEX('Vendor COIs'!$M$4:$M$503,(_calc!$E$810-500)))=0,"",INDEX('Vendor COIs'!$M$4:$M$503,(_calc!$E$810-500))))=0,"","Vendor contact: "&amp;IF(LEN(INDEX('Vendor COIs'!$M$4:$M$503,(_calc!$E$810-500)))=0,"",INDEX('Vendor COIs'!$M$4:$M$503,(_calc!$E$810-500)))&amp;". ")&amp;IF(LEN(IF(LEN(INDEX('Vendor COIs'!$P$4:$P$503,(_calc!$E$810-500)))=0,"",INDEX('Vendor COIs'!$P$4:$P$503,(_calc!$E$810-500))))=0,"",IF(LEN(INDEX('Vendor COIs'!$P$4:$P$503,(_calc!$E$810-500)))=0,"",INDEX('Vendor COIs'!$P$4:$P$503,(_calc!$E$810-500)))))))</f>
        <v/>
      </c>
      <c r="G808" s="46">
        <f>IF(_calc!$E$810="","",IF(_calc!$E$810&lt;=500,IF(LEN(INDEX('Our policies'!$R$4:$R$503,_calc!$E$810))=0,"",INDEX('Our policies'!$R$4:$R$503,_calc!$E$810)),IF(LEN(INDEX('Vendor COIs'!$O$4:$O$503,(_calc!$E$810-500)))=0,"",INDEX('Vendor COIs'!$O$4:$O$503,(_calc!$E$810-500)))))</f>
        <v/>
      </c>
      <c r="H808" s="46">
        <f>IF(_calc!$E$810="","",IF(_calc!$E$810&lt;=500,IF(LEN(INDEX('Our policies'!$G$4:$G$503,_calc!$E$810))=0,"",INDEX('Our policies'!$G$4:$G$503,_calc!$E$810)),""))</f>
        <v/>
      </c>
      <c r="I808" s="46">
        <f>IF(_calc!$E$810="","",IF(_calc!$E$810&lt;=500,IF(LEN(INDEX('Our policies'!$H$4:$H$503,_calc!$E$810))=0,"",INDEX('Our policies'!$H$4:$H$503,_calc!$E$810)),""))</f>
        <v/>
      </c>
      <c r="K808" s="46">
        <f>IF(_calc!$E$810="","",IF(_calc!$E$810&lt;=500,IF(LEN(INDEX('Our policies'!$P$4:$P$503,_calc!$E$810))=0,"",INDEX('Our policies'!$P$4:$P$503,_calc!$E$810)),IF(LEN(INDEX('Vendor COIs'!$N$4:$N$503,(_calc!$E$810-500)))=0,"",INDEX('Vendor COIs'!$N$4:$N$503,(_calc!$E$810-500)))))</f>
        <v/>
      </c>
    </row>
    <row r="809">
      <c r="A809" s="46">
        <f>IF(_calc!$E$811="","",IF(_calc!$E$811&lt;=500,IF(LEN(INDEX('Our policies'!$A$4:$A$503,_calc!$E$811))=0,"",INDEX('Our policies'!$A$4:$A$503,_calc!$E$811)),"COI – "&amp;IF(LEN(INDEX('Vendor COIs'!$A$4:$A$503,(_calc!$E$811-500)))=0,"",INDEX('Vendor COIs'!$A$4:$A$503,(_calc!$E$811-500)))&amp;" – "&amp;IF(LEN(INDEX('Vendor COIs'!$B$4:$B$503,(_calc!$E$811-500)))=0,"",INDEX('Vendor COIs'!$B$4:$B$503,(_calc!$E$811-500)))))</f>
        <v/>
      </c>
      <c r="B809" s="46">
        <f>IF(_calc!$E$811="","",IF(_calc!$E$811&lt;=500,IF(ISNUMBER(INDEX('Our policies'!$J$4:$J$503,_calc!$E$811)),TEXT(INDEX('Our policies'!$J$4:$J$503,_calc!$E$811),"yyyy-mm-dd"),""),IF(ISNUMBER(INDEX('Vendor COIs'!$H$4:$H$503,(_calc!$E$811-500))),TEXT(INDEX('Vendor COIs'!$H$4:$H$503,(_calc!$E$811-500)),"yyyy-mm-dd"),"")))</f>
        <v/>
      </c>
      <c r="C809" s="46">
        <f>IF(_calc!$E$811="","",IF(_calc!$E$811&lt;=500,"Insurance","Certificate of insurance"))</f>
        <v/>
      </c>
      <c r="D809" s="46">
        <f>IF(_calc!$E$811="","",IF(_calc!$E$811&lt;=500,IF(ISNUMBER(INDEX('Our policies'!$I$4:$I$503,_calc!$E$811)),TEXT(INDEX('Our policies'!$I$4:$I$503,_calc!$E$811),"yyyy-mm-dd"),""),""))</f>
        <v/>
      </c>
      <c r="E809" s="46">
        <f>IF(_calc!$E$811="","",IF(_calc!$E$811&lt;=500,IF(LEN(INDEX('Our policies'!$Q$4:$Q$503,_calc!$E$811))=0,"",INDEX('Our policies'!$Q$4:$Q$503,_calc!$E$811)),"Medium"))</f>
        <v/>
      </c>
      <c r="F809" s="46">
        <f>IF(_calc!$E$811="","",IF(_calc!$E$811&lt;=500,TRIM(IF(LEN(IF(LEN(INDEX('Our policies'!$B$4:$B$503,_calc!$E$811))=0,"",INDEX('Our policies'!$B$4:$B$503,_calc!$E$811)))=0,"","Cover: "&amp;IF(LEN(INDEX('Our policies'!$B$4:$B$503,_calc!$E$811))=0,"",INDEX('Our policies'!$B$4:$B$503,_calc!$E$811))&amp;". ")&amp;IF(LEN(IF(LEN(INDEX('Our policies'!$C$4:$C$503,_calc!$E$811))=0,"",INDEX('Our policies'!$C$4:$C$503,_calc!$E$811)))=0,"","Insurer: "&amp;IF(LEN(INDEX('Our policies'!$C$4:$C$503,_calc!$E$811))=0,"",INDEX('Our policies'!$C$4:$C$503,_calc!$E$811))&amp;". ")&amp;IF(LEN(IF(LEN(INDEX('Our policies'!$D$4:$D$503,_calc!$E$811))=0,"",INDEX('Our policies'!$D$4:$D$503,_calc!$E$811)))=0,"","Broker: "&amp;IF(LEN(INDEX('Our policies'!$D$4:$D$503,_calc!$E$811))=0,"",INDEX('Our policies'!$D$4:$D$503,_calc!$E$811))&amp;". ")&amp;IF(LEN(IF(LEN(INDEX('Our policies'!$E$4:$E$503,_calc!$E$811))=0,"",INDEX('Our policies'!$E$4:$E$503,_calc!$E$811)))=0,"","Policy no.: "&amp;IF(LEN(INDEX('Our policies'!$E$4:$E$503,_calc!$E$811))=0,"",INDEX('Our policies'!$E$4:$E$503,_calc!$E$811))&amp;". ")&amp;IF(LEN(IF(LEN(INDEX('Our policies'!$S$4:$S$503,_calc!$E$811))=0,"",INDEX('Our policies'!$S$4:$S$503,_calc!$E$811)))=0,"",IF(LEN(INDEX('Our policies'!$S$4:$S$503,_calc!$E$811))=0,"",INDEX('Our policies'!$S$4:$S$503,_calc!$E$811)))),TRIM(IF(LEN(IF(LEN(INDEX('Vendor COIs'!$C$4:$C$503,(_calc!$E$811-500)))=0,"",INDEX('Vendor COIs'!$C$4:$C$503,(_calc!$E$811-500))))=0,"","Insurer: "&amp;IF(LEN(INDEX('Vendor COIs'!$C$4:$C$503,(_calc!$E$811-500)))=0,"",INDEX('Vendor COIs'!$C$4:$C$503,(_calc!$E$811-500)))&amp;". ")&amp;IF(LEN(IF(LEN(INDEX('Vendor COIs'!$D$4:$D$503,(_calc!$E$811-500)))=0,"",INDEX('Vendor COIs'!$D$4:$D$503,(_calc!$E$811-500))))=0,"","Policy no.: "&amp;IF(LEN(INDEX('Vendor COIs'!$D$4:$D$503,(_calc!$E$811-500)))=0,"",INDEX('Vendor COIs'!$D$4:$D$503,(_calc!$E$811-500)))&amp;". ")&amp;IF(LEN(IF(LEN(INDEX('Vendor COIs'!$F$4:$F$503,(_calc!$E$811-500)))=0,"",INDEX('Vendor COIs'!$F$4:$F$503,(_calc!$E$811-500))))=0,"","Meets minimum: "&amp;IF(LEN(INDEX('Vendor COIs'!$F$4:$F$503,(_calc!$E$811-500)))=0,"",INDEX('Vendor COIs'!$F$4:$F$503,(_calc!$E$811-500)))&amp;". ")&amp;IF(LEN(IF(LEN(INDEX('Vendor COIs'!$G$4:$G$503,(_calc!$E$811-500)))=0,"",INDEX('Vendor COIs'!$G$4:$G$503,(_calc!$E$811-500))))=0,"","Additional insured: "&amp;IF(LEN(INDEX('Vendor COIs'!$G$4:$G$503,(_calc!$E$811-500)))=0,"",INDEX('Vendor COIs'!$G$4:$G$503,(_calc!$E$811-500)))&amp;". ")&amp;IF(LEN(IF(LEN(INDEX('Vendor COIs'!$M$4:$M$503,(_calc!$E$811-500)))=0,"",INDEX('Vendor COIs'!$M$4:$M$503,(_calc!$E$811-500))))=0,"","Vendor contact: "&amp;IF(LEN(INDEX('Vendor COIs'!$M$4:$M$503,(_calc!$E$811-500)))=0,"",INDEX('Vendor COIs'!$M$4:$M$503,(_calc!$E$811-500)))&amp;". ")&amp;IF(LEN(IF(LEN(INDEX('Vendor COIs'!$P$4:$P$503,(_calc!$E$811-500)))=0,"",INDEX('Vendor COIs'!$P$4:$P$503,(_calc!$E$811-500))))=0,"",IF(LEN(INDEX('Vendor COIs'!$P$4:$P$503,(_calc!$E$811-500)))=0,"",INDEX('Vendor COIs'!$P$4:$P$503,(_calc!$E$811-500)))))))</f>
        <v/>
      </c>
      <c r="G809" s="46">
        <f>IF(_calc!$E$811="","",IF(_calc!$E$811&lt;=500,IF(LEN(INDEX('Our policies'!$R$4:$R$503,_calc!$E$811))=0,"",INDEX('Our policies'!$R$4:$R$503,_calc!$E$811)),IF(LEN(INDEX('Vendor COIs'!$O$4:$O$503,(_calc!$E$811-500)))=0,"",INDEX('Vendor COIs'!$O$4:$O$503,(_calc!$E$811-500)))))</f>
        <v/>
      </c>
      <c r="H809" s="46">
        <f>IF(_calc!$E$811="","",IF(_calc!$E$811&lt;=500,IF(LEN(INDEX('Our policies'!$G$4:$G$503,_calc!$E$811))=0,"",INDEX('Our policies'!$G$4:$G$503,_calc!$E$811)),""))</f>
        <v/>
      </c>
      <c r="I809" s="46">
        <f>IF(_calc!$E$811="","",IF(_calc!$E$811&lt;=500,IF(LEN(INDEX('Our policies'!$H$4:$H$503,_calc!$E$811))=0,"",INDEX('Our policies'!$H$4:$H$503,_calc!$E$811)),""))</f>
        <v/>
      </c>
      <c r="K809" s="46">
        <f>IF(_calc!$E$811="","",IF(_calc!$E$811&lt;=500,IF(LEN(INDEX('Our policies'!$P$4:$P$503,_calc!$E$811))=0,"",INDEX('Our policies'!$P$4:$P$503,_calc!$E$811)),IF(LEN(INDEX('Vendor COIs'!$N$4:$N$503,(_calc!$E$811-500)))=0,"",INDEX('Vendor COIs'!$N$4:$N$503,(_calc!$E$811-500)))))</f>
        <v/>
      </c>
    </row>
    <row r="810">
      <c r="A810" s="46">
        <f>IF(_calc!$E$812="","",IF(_calc!$E$812&lt;=500,IF(LEN(INDEX('Our policies'!$A$4:$A$503,_calc!$E$812))=0,"",INDEX('Our policies'!$A$4:$A$503,_calc!$E$812)),"COI – "&amp;IF(LEN(INDEX('Vendor COIs'!$A$4:$A$503,(_calc!$E$812-500)))=0,"",INDEX('Vendor COIs'!$A$4:$A$503,(_calc!$E$812-500)))&amp;" – "&amp;IF(LEN(INDEX('Vendor COIs'!$B$4:$B$503,(_calc!$E$812-500)))=0,"",INDEX('Vendor COIs'!$B$4:$B$503,(_calc!$E$812-500)))))</f>
        <v/>
      </c>
      <c r="B810" s="46">
        <f>IF(_calc!$E$812="","",IF(_calc!$E$812&lt;=500,IF(ISNUMBER(INDEX('Our policies'!$J$4:$J$503,_calc!$E$812)),TEXT(INDEX('Our policies'!$J$4:$J$503,_calc!$E$812),"yyyy-mm-dd"),""),IF(ISNUMBER(INDEX('Vendor COIs'!$H$4:$H$503,(_calc!$E$812-500))),TEXT(INDEX('Vendor COIs'!$H$4:$H$503,(_calc!$E$812-500)),"yyyy-mm-dd"),"")))</f>
        <v/>
      </c>
      <c r="C810" s="46">
        <f>IF(_calc!$E$812="","",IF(_calc!$E$812&lt;=500,"Insurance","Certificate of insurance"))</f>
        <v/>
      </c>
      <c r="D810" s="46">
        <f>IF(_calc!$E$812="","",IF(_calc!$E$812&lt;=500,IF(ISNUMBER(INDEX('Our policies'!$I$4:$I$503,_calc!$E$812)),TEXT(INDEX('Our policies'!$I$4:$I$503,_calc!$E$812),"yyyy-mm-dd"),""),""))</f>
        <v/>
      </c>
      <c r="E810" s="46">
        <f>IF(_calc!$E$812="","",IF(_calc!$E$812&lt;=500,IF(LEN(INDEX('Our policies'!$Q$4:$Q$503,_calc!$E$812))=0,"",INDEX('Our policies'!$Q$4:$Q$503,_calc!$E$812)),"Medium"))</f>
        <v/>
      </c>
      <c r="F810" s="46">
        <f>IF(_calc!$E$812="","",IF(_calc!$E$812&lt;=500,TRIM(IF(LEN(IF(LEN(INDEX('Our policies'!$B$4:$B$503,_calc!$E$812))=0,"",INDEX('Our policies'!$B$4:$B$503,_calc!$E$812)))=0,"","Cover: "&amp;IF(LEN(INDEX('Our policies'!$B$4:$B$503,_calc!$E$812))=0,"",INDEX('Our policies'!$B$4:$B$503,_calc!$E$812))&amp;". ")&amp;IF(LEN(IF(LEN(INDEX('Our policies'!$C$4:$C$503,_calc!$E$812))=0,"",INDEX('Our policies'!$C$4:$C$503,_calc!$E$812)))=0,"","Insurer: "&amp;IF(LEN(INDEX('Our policies'!$C$4:$C$503,_calc!$E$812))=0,"",INDEX('Our policies'!$C$4:$C$503,_calc!$E$812))&amp;". ")&amp;IF(LEN(IF(LEN(INDEX('Our policies'!$D$4:$D$503,_calc!$E$812))=0,"",INDEX('Our policies'!$D$4:$D$503,_calc!$E$812)))=0,"","Broker: "&amp;IF(LEN(INDEX('Our policies'!$D$4:$D$503,_calc!$E$812))=0,"",INDEX('Our policies'!$D$4:$D$503,_calc!$E$812))&amp;". ")&amp;IF(LEN(IF(LEN(INDEX('Our policies'!$E$4:$E$503,_calc!$E$812))=0,"",INDEX('Our policies'!$E$4:$E$503,_calc!$E$812)))=0,"","Policy no.: "&amp;IF(LEN(INDEX('Our policies'!$E$4:$E$503,_calc!$E$812))=0,"",INDEX('Our policies'!$E$4:$E$503,_calc!$E$812))&amp;". ")&amp;IF(LEN(IF(LEN(INDEX('Our policies'!$S$4:$S$503,_calc!$E$812))=0,"",INDEX('Our policies'!$S$4:$S$503,_calc!$E$812)))=0,"",IF(LEN(INDEX('Our policies'!$S$4:$S$503,_calc!$E$812))=0,"",INDEX('Our policies'!$S$4:$S$503,_calc!$E$812)))),TRIM(IF(LEN(IF(LEN(INDEX('Vendor COIs'!$C$4:$C$503,(_calc!$E$812-500)))=0,"",INDEX('Vendor COIs'!$C$4:$C$503,(_calc!$E$812-500))))=0,"","Insurer: "&amp;IF(LEN(INDEX('Vendor COIs'!$C$4:$C$503,(_calc!$E$812-500)))=0,"",INDEX('Vendor COIs'!$C$4:$C$503,(_calc!$E$812-500)))&amp;". ")&amp;IF(LEN(IF(LEN(INDEX('Vendor COIs'!$D$4:$D$503,(_calc!$E$812-500)))=0,"",INDEX('Vendor COIs'!$D$4:$D$503,(_calc!$E$812-500))))=0,"","Policy no.: "&amp;IF(LEN(INDEX('Vendor COIs'!$D$4:$D$503,(_calc!$E$812-500)))=0,"",INDEX('Vendor COIs'!$D$4:$D$503,(_calc!$E$812-500)))&amp;". ")&amp;IF(LEN(IF(LEN(INDEX('Vendor COIs'!$F$4:$F$503,(_calc!$E$812-500)))=0,"",INDEX('Vendor COIs'!$F$4:$F$503,(_calc!$E$812-500))))=0,"","Meets minimum: "&amp;IF(LEN(INDEX('Vendor COIs'!$F$4:$F$503,(_calc!$E$812-500)))=0,"",INDEX('Vendor COIs'!$F$4:$F$503,(_calc!$E$812-500)))&amp;". ")&amp;IF(LEN(IF(LEN(INDEX('Vendor COIs'!$G$4:$G$503,(_calc!$E$812-500)))=0,"",INDEX('Vendor COIs'!$G$4:$G$503,(_calc!$E$812-500))))=0,"","Additional insured: "&amp;IF(LEN(INDEX('Vendor COIs'!$G$4:$G$503,(_calc!$E$812-500)))=0,"",INDEX('Vendor COIs'!$G$4:$G$503,(_calc!$E$812-500)))&amp;". ")&amp;IF(LEN(IF(LEN(INDEX('Vendor COIs'!$M$4:$M$503,(_calc!$E$812-500)))=0,"",INDEX('Vendor COIs'!$M$4:$M$503,(_calc!$E$812-500))))=0,"","Vendor contact: "&amp;IF(LEN(INDEX('Vendor COIs'!$M$4:$M$503,(_calc!$E$812-500)))=0,"",INDEX('Vendor COIs'!$M$4:$M$503,(_calc!$E$812-500)))&amp;". ")&amp;IF(LEN(IF(LEN(INDEX('Vendor COIs'!$P$4:$P$503,(_calc!$E$812-500)))=0,"",INDEX('Vendor COIs'!$P$4:$P$503,(_calc!$E$812-500))))=0,"",IF(LEN(INDEX('Vendor COIs'!$P$4:$P$503,(_calc!$E$812-500)))=0,"",INDEX('Vendor COIs'!$P$4:$P$503,(_calc!$E$812-500)))))))</f>
        <v/>
      </c>
      <c r="G810" s="46">
        <f>IF(_calc!$E$812="","",IF(_calc!$E$812&lt;=500,IF(LEN(INDEX('Our policies'!$R$4:$R$503,_calc!$E$812))=0,"",INDEX('Our policies'!$R$4:$R$503,_calc!$E$812)),IF(LEN(INDEX('Vendor COIs'!$O$4:$O$503,(_calc!$E$812-500)))=0,"",INDEX('Vendor COIs'!$O$4:$O$503,(_calc!$E$812-500)))))</f>
        <v/>
      </c>
      <c r="H810" s="46">
        <f>IF(_calc!$E$812="","",IF(_calc!$E$812&lt;=500,IF(LEN(INDEX('Our policies'!$G$4:$G$503,_calc!$E$812))=0,"",INDEX('Our policies'!$G$4:$G$503,_calc!$E$812)),""))</f>
        <v/>
      </c>
      <c r="I810" s="46">
        <f>IF(_calc!$E$812="","",IF(_calc!$E$812&lt;=500,IF(LEN(INDEX('Our policies'!$H$4:$H$503,_calc!$E$812))=0,"",INDEX('Our policies'!$H$4:$H$503,_calc!$E$812)),""))</f>
        <v/>
      </c>
      <c r="K810" s="46">
        <f>IF(_calc!$E$812="","",IF(_calc!$E$812&lt;=500,IF(LEN(INDEX('Our policies'!$P$4:$P$503,_calc!$E$812))=0,"",INDEX('Our policies'!$P$4:$P$503,_calc!$E$812)),IF(LEN(INDEX('Vendor COIs'!$N$4:$N$503,(_calc!$E$812-500)))=0,"",INDEX('Vendor COIs'!$N$4:$N$503,(_calc!$E$812-500)))))</f>
        <v/>
      </c>
    </row>
    <row r="811">
      <c r="A811" s="46">
        <f>IF(_calc!$E$813="","",IF(_calc!$E$813&lt;=500,IF(LEN(INDEX('Our policies'!$A$4:$A$503,_calc!$E$813))=0,"",INDEX('Our policies'!$A$4:$A$503,_calc!$E$813)),"COI – "&amp;IF(LEN(INDEX('Vendor COIs'!$A$4:$A$503,(_calc!$E$813-500)))=0,"",INDEX('Vendor COIs'!$A$4:$A$503,(_calc!$E$813-500)))&amp;" – "&amp;IF(LEN(INDEX('Vendor COIs'!$B$4:$B$503,(_calc!$E$813-500)))=0,"",INDEX('Vendor COIs'!$B$4:$B$503,(_calc!$E$813-500)))))</f>
        <v/>
      </c>
      <c r="B811" s="46">
        <f>IF(_calc!$E$813="","",IF(_calc!$E$813&lt;=500,IF(ISNUMBER(INDEX('Our policies'!$J$4:$J$503,_calc!$E$813)),TEXT(INDEX('Our policies'!$J$4:$J$503,_calc!$E$813),"yyyy-mm-dd"),""),IF(ISNUMBER(INDEX('Vendor COIs'!$H$4:$H$503,(_calc!$E$813-500))),TEXT(INDEX('Vendor COIs'!$H$4:$H$503,(_calc!$E$813-500)),"yyyy-mm-dd"),"")))</f>
        <v/>
      </c>
      <c r="C811" s="46">
        <f>IF(_calc!$E$813="","",IF(_calc!$E$813&lt;=500,"Insurance","Certificate of insurance"))</f>
        <v/>
      </c>
      <c r="D811" s="46">
        <f>IF(_calc!$E$813="","",IF(_calc!$E$813&lt;=500,IF(ISNUMBER(INDEX('Our policies'!$I$4:$I$503,_calc!$E$813)),TEXT(INDEX('Our policies'!$I$4:$I$503,_calc!$E$813),"yyyy-mm-dd"),""),""))</f>
        <v/>
      </c>
      <c r="E811" s="46">
        <f>IF(_calc!$E$813="","",IF(_calc!$E$813&lt;=500,IF(LEN(INDEX('Our policies'!$Q$4:$Q$503,_calc!$E$813))=0,"",INDEX('Our policies'!$Q$4:$Q$503,_calc!$E$813)),"Medium"))</f>
        <v/>
      </c>
      <c r="F811" s="46">
        <f>IF(_calc!$E$813="","",IF(_calc!$E$813&lt;=500,TRIM(IF(LEN(IF(LEN(INDEX('Our policies'!$B$4:$B$503,_calc!$E$813))=0,"",INDEX('Our policies'!$B$4:$B$503,_calc!$E$813)))=0,"","Cover: "&amp;IF(LEN(INDEX('Our policies'!$B$4:$B$503,_calc!$E$813))=0,"",INDEX('Our policies'!$B$4:$B$503,_calc!$E$813))&amp;". ")&amp;IF(LEN(IF(LEN(INDEX('Our policies'!$C$4:$C$503,_calc!$E$813))=0,"",INDEX('Our policies'!$C$4:$C$503,_calc!$E$813)))=0,"","Insurer: "&amp;IF(LEN(INDEX('Our policies'!$C$4:$C$503,_calc!$E$813))=0,"",INDEX('Our policies'!$C$4:$C$503,_calc!$E$813))&amp;". ")&amp;IF(LEN(IF(LEN(INDEX('Our policies'!$D$4:$D$503,_calc!$E$813))=0,"",INDEX('Our policies'!$D$4:$D$503,_calc!$E$813)))=0,"","Broker: "&amp;IF(LEN(INDEX('Our policies'!$D$4:$D$503,_calc!$E$813))=0,"",INDEX('Our policies'!$D$4:$D$503,_calc!$E$813))&amp;". ")&amp;IF(LEN(IF(LEN(INDEX('Our policies'!$E$4:$E$503,_calc!$E$813))=0,"",INDEX('Our policies'!$E$4:$E$503,_calc!$E$813)))=0,"","Policy no.: "&amp;IF(LEN(INDEX('Our policies'!$E$4:$E$503,_calc!$E$813))=0,"",INDEX('Our policies'!$E$4:$E$503,_calc!$E$813))&amp;". ")&amp;IF(LEN(IF(LEN(INDEX('Our policies'!$S$4:$S$503,_calc!$E$813))=0,"",INDEX('Our policies'!$S$4:$S$503,_calc!$E$813)))=0,"",IF(LEN(INDEX('Our policies'!$S$4:$S$503,_calc!$E$813))=0,"",INDEX('Our policies'!$S$4:$S$503,_calc!$E$813)))),TRIM(IF(LEN(IF(LEN(INDEX('Vendor COIs'!$C$4:$C$503,(_calc!$E$813-500)))=0,"",INDEX('Vendor COIs'!$C$4:$C$503,(_calc!$E$813-500))))=0,"","Insurer: "&amp;IF(LEN(INDEX('Vendor COIs'!$C$4:$C$503,(_calc!$E$813-500)))=0,"",INDEX('Vendor COIs'!$C$4:$C$503,(_calc!$E$813-500)))&amp;". ")&amp;IF(LEN(IF(LEN(INDEX('Vendor COIs'!$D$4:$D$503,(_calc!$E$813-500)))=0,"",INDEX('Vendor COIs'!$D$4:$D$503,(_calc!$E$813-500))))=0,"","Policy no.: "&amp;IF(LEN(INDEX('Vendor COIs'!$D$4:$D$503,(_calc!$E$813-500)))=0,"",INDEX('Vendor COIs'!$D$4:$D$503,(_calc!$E$813-500)))&amp;". ")&amp;IF(LEN(IF(LEN(INDEX('Vendor COIs'!$F$4:$F$503,(_calc!$E$813-500)))=0,"",INDEX('Vendor COIs'!$F$4:$F$503,(_calc!$E$813-500))))=0,"","Meets minimum: "&amp;IF(LEN(INDEX('Vendor COIs'!$F$4:$F$503,(_calc!$E$813-500)))=0,"",INDEX('Vendor COIs'!$F$4:$F$503,(_calc!$E$813-500)))&amp;". ")&amp;IF(LEN(IF(LEN(INDEX('Vendor COIs'!$G$4:$G$503,(_calc!$E$813-500)))=0,"",INDEX('Vendor COIs'!$G$4:$G$503,(_calc!$E$813-500))))=0,"","Additional insured: "&amp;IF(LEN(INDEX('Vendor COIs'!$G$4:$G$503,(_calc!$E$813-500)))=0,"",INDEX('Vendor COIs'!$G$4:$G$503,(_calc!$E$813-500)))&amp;". ")&amp;IF(LEN(IF(LEN(INDEX('Vendor COIs'!$M$4:$M$503,(_calc!$E$813-500)))=0,"",INDEX('Vendor COIs'!$M$4:$M$503,(_calc!$E$813-500))))=0,"","Vendor contact: "&amp;IF(LEN(INDEX('Vendor COIs'!$M$4:$M$503,(_calc!$E$813-500)))=0,"",INDEX('Vendor COIs'!$M$4:$M$503,(_calc!$E$813-500)))&amp;". ")&amp;IF(LEN(IF(LEN(INDEX('Vendor COIs'!$P$4:$P$503,(_calc!$E$813-500)))=0,"",INDEX('Vendor COIs'!$P$4:$P$503,(_calc!$E$813-500))))=0,"",IF(LEN(INDEX('Vendor COIs'!$P$4:$P$503,(_calc!$E$813-500)))=0,"",INDEX('Vendor COIs'!$P$4:$P$503,(_calc!$E$813-500)))))))</f>
        <v/>
      </c>
      <c r="G811" s="46">
        <f>IF(_calc!$E$813="","",IF(_calc!$E$813&lt;=500,IF(LEN(INDEX('Our policies'!$R$4:$R$503,_calc!$E$813))=0,"",INDEX('Our policies'!$R$4:$R$503,_calc!$E$813)),IF(LEN(INDEX('Vendor COIs'!$O$4:$O$503,(_calc!$E$813-500)))=0,"",INDEX('Vendor COIs'!$O$4:$O$503,(_calc!$E$813-500)))))</f>
        <v/>
      </c>
      <c r="H811" s="46">
        <f>IF(_calc!$E$813="","",IF(_calc!$E$813&lt;=500,IF(LEN(INDEX('Our policies'!$G$4:$G$503,_calc!$E$813))=0,"",INDEX('Our policies'!$G$4:$G$503,_calc!$E$813)),""))</f>
        <v/>
      </c>
      <c r="I811" s="46">
        <f>IF(_calc!$E$813="","",IF(_calc!$E$813&lt;=500,IF(LEN(INDEX('Our policies'!$H$4:$H$503,_calc!$E$813))=0,"",INDEX('Our policies'!$H$4:$H$503,_calc!$E$813)),""))</f>
        <v/>
      </c>
      <c r="K811" s="46">
        <f>IF(_calc!$E$813="","",IF(_calc!$E$813&lt;=500,IF(LEN(INDEX('Our policies'!$P$4:$P$503,_calc!$E$813))=0,"",INDEX('Our policies'!$P$4:$P$503,_calc!$E$813)),IF(LEN(INDEX('Vendor COIs'!$N$4:$N$503,(_calc!$E$813-500)))=0,"",INDEX('Vendor COIs'!$N$4:$N$503,(_calc!$E$813-500)))))</f>
        <v/>
      </c>
    </row>
    <row r="812">
      <c r="A812" s="46">
        <f>IF(_calc!$E$814="","",IF(_calc!$E$814&lt;=500,IF(LEN(INDEX('Our policies'!$A$4:$A$503,_calc!$E$814))=0,"",INDEX('Our policies'!$A$4:$A$503,_calc!$E$814)),"COI – "&amp;IF(LEN(INDEX('Vendor COIs'!$A$4:$A$503,(_calc!$E$814-500)))=0,"",INDEX('Vendor COIs'!$A$4:$A$503,(_calc!$E$814-500)))&amp;" – "&amp;IF(LEN(INDEX('Vendor COIs'!$B$4:$B$503,(_calc!$E$814-500)))=0,"",INDEX('Vendor COIs'!$B$4:$B$503,(_calc!$E$814-500)))))</f>
        <v/>
      </c>
      <c r="B812" s="46">
        <f>IF(_calc!$E$814="","",IF(_calc!$E$814&lt;=500,IF(ISNUMBER(INDEX('Our policies'!$J$4:$J$503,_calc!$E$814)),TEXT(INDEX('Our policies'!$J$4:$J$503,_calc!$E$814),"yyyy-mm-dd"),""),IF(ISNUMBER(INDEX('Vendor COIs'!$H$4:$H$503,(_calc!$E$814-500))),TEXT(INDEX('Vendor COIs'!$H$4:$H$503,(_calc!$E$814-500)),"yyyy-mm-dd"),"")))</f>
        <v/>
      </c>
      <c r="C812" s="46">
        <f>IF(_calc!$E$814="","",IF(_calc!$E$814&lt;=500,"Insurance","Certificate of insurance"))</f>
        <v/>
      </c>
      <c r="D812" s="46">
        <f>IF(_calc!$E$814="","",IF(_calc!$E$814&lt;=500,IF(ISNUMBER(INDEX('Our policies'!$I$4:$I$503,_calc!$E$814)),TEXT(INDEX('Our policies'!$I$4:$I$503,_calc!$E$814),"yyyy-mm-dd"),""),""))</f>
        <v/>
      </c>
      <c r="E812" s="46">
        <f>IF(_calc!$E$814="","",IF(_calc!$E$814&lt;=500,IF(LEN(INDEX('Our policies'!$Q$4:$Q$503,_calc!$E$814))=0,"",INDEX('Our policies'!$Q$4:$Q$503,_calc!$E$814)),"Medium"))</f>
        <v/>
      </c>
      <c r="F812" s="46">
        <f>IF(_calc!$E$814="","",IF(_calc!$E$814&lt;=500,TRIM(IF(LEN(IF(LEN(INDEX('Our policies'!$B$4:$B$503,_calc!$E$814))=0,"",INDEX('Our policies'!$B$4:$B$503,_calc!$E$814)))=0,"","Cover: "&amp;IF(LEN(INDEX('Our policies'!$B$4:$B$503,_calc!$E$814))=0,"",INDEX('Our policies'!$B$4:$B$503,_calc!$E$814))&amp;". ")&amp;IF(LEN(IF(LEN(INDEX('Our policies'!$C$4:$C$503,_calc!$E$814))=0,"",INDEX('Our policies'!$C$4:$C$503,_calc!$E$814)))=0,"","Insurer: "&amp;IF(LEN(INDEX('Our policies'!$C$4:$C$503,_calc!$E$814))=0,"",INDEX('Our policies'!$C$4:$C$503,_calc!$E$814))&amp;". ")&amp;IF(LEN(IF(LEN(INDEX('Our policies'!$D$4:$D$503,_calc!$E$814))=0,"",INDEX('Our policies'!$D$4:$D$503,_calc!$E$814)))=0,"","Broker: "&amp;IF(LEN(INDEX('Our policies'!$D$4:$D$503,_calc!$E$814))=0,"",INDEX('Our policies'!$D$4:$D$503,_calc!$E$814))&amp;". ")&amp;IF(LEN(IF(LEN(INDEX('Our policies'!$E$4:$E$503,_calc!$E$814))=0,"",INDEX('Our policies'!$E$4:$E$503,_calc!$E$814)))=0,"","Policy no.: "&amp;IF(LEN(INDEX('Our policies'!$E$4:$E$503,_calc!$E$814))=0,"",INDEX('Our policies'!$E$4:$E$503,_calc!$E$814))&amp;". ")&amp;IF(LEN(IF(LEN(INDEX('Our policies'!$S$4:$S$503,_calc!$E$814))=0,"",INDEX('Our policies'!$S$4:$S$503,_calc!$E$814)))=0,"",IF(LEN(INDEX('Our policies'!$S$4:$S$503,_calc!$E$814))=0,"",INDEX('Our policies'!$S$4:$S$503,_calc!$E$814)))),TRIM(IF(LEN(IF(LEN(INDEX('Vendor COIs'!$C$4:$C$503,(_calc!$E$814-500)))=0,"",INDEX('Vendor COIs'!$C$4:$C$503,(_calc!$E$814-500))))=0,"","Insurer: "&amp;IF(LEN(INDEX('Vendor COIs'!$C$4:$C$503,(_calc!$E$814-500)))=0,"",INDEX('Vendor COIs'!$C$4:$C$503,(_calc!$E$814-500)))&amp;". ")&amp;IF(LEN(IF(LEN(INDEX('Vendor COIs'!$D$4:$D$503,(_calc!$E$814-500)))=0,"",INDEX('Vendor COIs'!$D$4:$D$503,(_calc!$E$814-500))))=0,"","Policy no.: "&amp;IF(LEN(INDEX('Vendor COIs'!$D$4:$D$503,(_calc!$E$814-500)))=0,"",INDEX('Vendor COIs'!$D$4:$D$503,(_calc!$E$814-500)))&amp;". ")&amp;IF(LEN(IF(LEN(INDEX('Vendor COIs'!$F$4:$F$503,(_calc!$E$814-500)))=0,"",INDEX('Vendor COIs'!$F$4:$F$503,(_calc!$E$814-500))))=0,"","Meets minimum: "&amp;IF(LEN(INDEX('Vendor COIs'!$F$4:$F$503,(_calc!$E$814-500)))=0,"",INDEX('Vendor COIs'!$F$4:$F$503,(_calc!$E$814-500)))&amp;". ")&amp;IF(LEN(IF(LEN(INDEX('Vendor COIs'!$G$4:$G$503,(_calc!$E$814-500)))=0,"",INDEX('Vendor COIs'!$G$4:$G$503,(_calc!$E$814-500))))=0,"","Additional insured: "&amp;IF(LEN(INDEX('Vendor COIs'!$G$4:$G$503,(_calc!$E$814-500)))=0,"",INDEX('Vendor COIs'!$G$4:$G$503,(_calc!$E$814-500)))&amp;". ")&amp;IF(LEN(IF(LEN(INDEX('Vendor COIs'!$M$4:$M$503,(_calc!$E$814-500)))=0,"",INDEX('Vendor COIs'!$M$4:$M$503,(_calc!$E$814-500))))=0,"","Vendor contact: "&amp;IF(LEN(INDEX('Vendor COIs'!$M$4:$M$503,(_calc!$E$814-500)))=0,"",INDEX('Vendor COIs'!$M$4:$M$503,(_calc!$E$814-500)))&amp;". ")&amp;IF(LEN(IF(LEN(INDEX('Vendor COIs'!$P$4:$P$503,(_calc!$E$814-500)))=0,"",INDEX('Vendor COIs'!$P$4:$P$503,(_calc!$E$814-500))))=0,"",IF(LEN(INDEX('Vendor COIs'!$P$4:$P$503,(_calc!$E$814-500)))=0,"",INDEX('Vendor COIs'!$P$4:$P$503,(_calc!$E$814-500)))))))</f>
        <v/>
      </c>
      <c r="G812" s="46">
        <f>IF(_calc!$E$814="","",IF(_calc!$E$814&lt;=500,IF(LEN(INDEX('Our policies'!$R$4:$R$503,_calc!$E$814))=0,"",INDEX('Our policies'!$R$4:$R$503,_calc!$E$814)),IF(LEN(INDEX('Vendor COIs'!$O$4:$O$503,(_calc!$E$814-500)))=0,"",INDEX('Vendor COIs'!$O$4:$O$503,(_calc!$E$814-500)))))</f>
        <v/>
      </c>
      <c r="H812" s="46">
        <f>IF(_calc!$E$814="","",IF(_calc!$E$814&lt;=500,IF(LEN(INDEX('Our policies'!$G$4:$G$503,_calc!$E$814))=0,"",INDEX('Our policies'!$G$4:$G$503,_calc!$E$814)),""))</f>
        <v/>
      </c>
      <c r="I812" s="46">
        <f>IF(_calc!$E$814="","",IF(_calc!$E$814&lt;=500,IF(LEN(INDEX('Our policies'!$H$4:$H$503,_calc!$E$814))=0,"",INDEX('Our policies'!$H$4:$H$503,_calc!$E$814)),""))</f>
        <v/>
      </c>
      <c r="K812" s="46">
        <f>IF(_calc!$E$814="","",IF(_calc!$E$814&lt;=500,IF(LEN(INDEX('Our policies'!$P$4:$P$503,_calc!$E$814))=0,"",INDEX('Our policies'!$P$4:$P$503,_calc!$E$814)),IF(LEN(INDEX('Vendor COIs'!$N$4:$N$503,(_calc!$E$814-500)))=0,"",INDEX('Vendor COIs'!$N$4:$N$503,(_calc!$E$814-500)))))</f>
        <v/>
      </c>
    </row>
    <row r="813">
      <c r="A813" s="46">
        <f>IF(_calc!$E$815="","",IF(_calc!$E$815&lt;=500,IF(LEN(INDEX('Our policies'!$A$4:$A$503,_calc!$E$815))=0,"",INDEX('Our policies'!$A$4:$A$503,_calc!$E$815)),"COI – "&amp;IF(LEN(INDEX('Vendor COIs'!$A$4:$A$503,(_calc!$E$815-500)))=0,"",INDEX('Vendor COIs'!$A$4:$A$503,(_calc!$E$815-500)))&amp;" – "&amp;IF(LEN(INDEX('Vendor COIs'!$B$4:$B$503,(_calc!$E$815-500)))=0,"",INDEX('Vendor COIs'!$B$4:$B$503,(_calc!$E$815-500)))))</f>
        <v/>
      </c>
      <c r="B813" s="46">
        <f>IF(_calc!$E$815="","",IF(_calc!$E$815&lt;=500,IF(ISNUMBER(INDEX('Our policies'!$J$4:$J$503,_calc!$E$815)),TEXT(INDEX('Our policies'!$J$4:$J$503,_calc!$E$815),"yyyy-mm-dd"),""),IF(ISNUMBER(INDEX('Vendor COIs'!$H$4:$H$503,(_calc!$E$815-500))),TEXT(INDEX('Vendor COIs'!$H$4:$H$503,(_calc!$E$815-500)),"yyyy-mm-dd"),"")))</f>
        <v/>
      </c>
      <c r="C813" s="46">
        <f>IF(_calc!$E$815="","",IF(_calc!$E$815&lt;=500,"Insurance","Certificate of insurance"))</f>
        <v/>
      </c>
      <c r="D813" s="46">
        <f>IF(_calc!$E$815="","",IF(_calc!$E$815&lt;=500,IF(ISNUMBER(INDEX('Our policies'!$I$4:$I$503,_calc!$E$815)),TEXT(INDEX('Our policies'!$I$4:$I$503,_calc!$E$815),"yyyy-mm-dd"),""),""))</f>
        <v/>
      </c>
      <c r="E813" s="46">
        <f>IF(_calc!$E$815="","",IF(_calc!$E$815&lt;=500,IF(LEN(INDEX('Our policies'!$Q$4:$Q$503,_calc!$E$815))=0,"",INDEX('Our policies'!$Q$4:$Q$503,_calc!$E$815)),"Medium"))</f>
        <v/>
      </c>
      <c r="F813" s="46">
        <f>IF(_calc!$E$815="","",IF(_calc!$E$815&lt;=500,TRIM(IF(LEN(IF(LEN(INDEX('Our policies'!$B$4:$B$503,_calc!$E$815))=0,"",INDEX('Our policies'!$B$4:$B$503,_calc!$E$815)))=0,"","Cover: "&amp;IF(LEN(INDEX('Our policies'!$B$4:$B$503,_calc!$E$815))=0,"",INDEX('Our policies'!$B$4:$B$503,_calc!$E$815))&amp;". ")&amp;IF(LEN(IF(LEN(INDEX('Our policies'!$C$4:$C$503,_calc!$E$815))=0,"",INDEX('Our policies'!$C$4:$C$503,_calc!$E$815)))=0,"","Insurer: "&amp;IF(LEN(INDEX('Our policies'!$C$4:$C$503,_calc!$E$815))=0,"",INDEX('Our policies'!$C$4:$C$503,_calc!$E$815))&amp;". ")&amp;IF(LEN(IF(LEN(INDEX('Our policies'!$D$4:$D$503,_calc!$E$815))=0,"",INDEX('Our policies'!$D$4:$D$503,_calc!$E$815)))=0,"","Broker: "&amp;IF(LEN(INDEX('Our policies'!$D$4:$D$503,_calc!$E$815))=0,"",INDEX('Our policies'!$D$4:$D$503,_calc!$E$815))&amp;". ")&amp;IF(LEN(IF(LEN(INDEX('Our policies'!$E$4:$E$503,_calc!$E$815))=0,"",INDEX('Our policies'!$E$4:$E$503,_calc!$E$815)))=0,"","Policy no.: "&amp;IF(LEN(INDEX('Our policies'!$E$4:$E$503,_calc!$E$815))=0,"",INDEX('Our policies'!$E$4:$E$503,_calc!$E$815))&amp;". ")&amp;IF(LEN(IF(LEN(INDEX('Our policies'!$S$4:$S$503,_calc!$E$815))=0,"",INDEX('Our policies'!$S$4:$S$503,_calc!$E$815)))=0,"",IF(LEN(INDEX('Our policies'!$S$4:$S$503,_calc!$E$815))=0,"",INDEX('Our policies'!$S$4:$S$503,_calc!$E$815)))),TRIM(IF(LEN(IF(LEN(INDEX('Vendor COIs'!$C$4:$C$503,(_calc!$E$815-500)))=0,"",INDEX('Vendor COIs'!$C$4:$C$503,(_calc!$E$815-500))))=0,"","Insurer: "&amp;IF(LEN(INDEX('Vendor COIs'!$C$4:$C$503,(_calc!$E$815-500)))=0,"",INDEX('Vendor COIs'!$C$4:$C$503,(_calc!$E$815-500)))&amp;". ")&amp;IF(LEN(IF(LEN(INDEX('Vendor COIs'!$D$4:$D$503,(_calc!$E$815-500)))=0,"",INDEX('Vendor COIs'!$D$4:$D$503,(_calc!$E$815-500))))=0,"","Policy no.: "&amp;IF(LEN(INDEX('Vendor COIs'!$D$4:$D$503,(_calc!$E$815-500)))=0,"",INDEX('Vendor COIs'!$D$4:$D$503,(_calc!$E$815-500)))&amp;". ")&amp;IF(LEN(IF(LEN(INDEX('Vendor COIs'!$F$4:$F$503,(_calc!$E$815-500)))=0,"",INDEX('Vendor COIs'!$F$4:$F$503,(_calc!$E$815-500))))=0,"","Meets minimum: "&amp;IF(LEN(INDEX('Vendor COIs'!$F$4:$F$503,(_calc!$E$815-500)))=0,"",INDEX('Vendor COIs'!$F$4:$F$503,(_calc!$E$815-500)))&amp;". ")&amp;IF(LEN(IF(LEN(INDEX('Vendor COIs'!$G$4:$G$503,(_calc!$E$815-500)))=0,"",INDEX('Vendor COIs'!$G$4:$G$503,(_calc!$E$815-500))))=0,"","Additional insured: "&amp;IF(LEN(INDEX('Vendor COIs'!$G$4:$G$503,(_calc!$E$815-500)))=0,"",INDEX('Vendor COIs'!$G$4:$G$503,(_calc!$E$815-500)))&amp;". ")&amp;IF(LEN(IF(LEN(INDEX('Vendor COIs'!$M$4:$M$503,(_calc!$E$815-500)))=0,"",INDEX('Vendor COIs'!$M$4:$M$503,(_calc!$E$815-500))))=0,"","Vendor contact: "&amp;IF(LEN(INDEX('Vendor COIs'!$M$4:$M$503,(_calc!$E$815-500)))=0,"",INDEX('Vendor COIs'!$M$4:$M$503,(_calc!$E$815-500)))&amp;". ")&amp;IF(LEN(IF(LEN(INDEX('Vendor COIs'!$P$4:$P$503,(_calc!$E$815-500)))=0,"",INDEX('Vendor COIs'!$P$4:$P$503,(_calc!$E$815-500))))=0,"",IF(LEN(INDEX('Vendor COIs'!$P$4:$P$503,(_calc!$E$815-500)))=0,"",INDEX('Vendor COIs'!$P$4:$P$503,(_calc!$E$815-500)))))))</f>
        <v/>
      </c>
      <c r="G813" s="46">
        <f>IF(_calc!$E$815="","",IF(_calc!$E$815&lt;=500,IF(LEN(INDEX('Our policies'!$R$4:$R$503,_calc!$E$815))=0,"",INDEX('Our policies'!$R$4:$R$503,_calc!$E$815)),IF(LEN(INDEX('Vendor COIs'!$O$4:$O$503,(_calc!$E$815-500)))=0,"",INDEX('Vendor COIs'!$O$4:$O$503,(_calc!$E$815-500)))))</f>
        <v/>
      </c>
      <c r="H813" s="46">
        <f>IF(_calc!$E$815="","",IF(_calc!$E$815&lt;=500,IF(LEN(INDEX('Our policies'!$G$4:$G$503,_calc!$E$815))=0,"",INDEX('Our policies'!$G$4:$G$503,_calc!$E$815)),""))</f>
        <v/>
      </c>
      <c r="I813" s="46">
        <f>IF(_calc!$E$815="","",IF(_calc!$E$815&lt;=500,IF(LEN(INDEX('Our policies'!$H$4:$H$503,_calc!$E$815))=0,"",INDEX('Our policies'!$H$4:$H$503,_calc!$E$815)),""))</f>
        <v/>
      </c>
      <c r="K813" s="46">
        <f>IF(_calc!$E$815="","",IF(_calc!$E$815&lt;=500,IF(LEN(INDEX('Our policies'!$P$4:$P$503,_calc!$E$815))=0,"",INDEX('Our policies'!$P$4:$P$503,_calc!$E$815)),IF(LEN(INDEX('Vendor COIs'!$N$4:$N$503,(_calc!$E$815-500)))=0,"",INDEX('Vendor COIs'!$N$4:$N$503,(_calc!$E$815-500)))))</f>
        <v/>
      </c>
    </row>
    <row r="814">
      <c r="A814" s="46">
        <f>IF(_calc!$E$816="","",IF(_calc!$E$816&lt;=500,IF(LEN(INDEX('Our policies'!$A$4:$A$503,_calc!$E$816))=0,"",INDEX('Our policies'!$A$4:$A$503,_calc!$E$816)),"COI – "&amp;IF(LEN(INDEX('Vendor COIs'!$A$4:$A$503,(_calc!$E$816-500)))=0,"",INDEX('Vendor COIs'!$A$4:$A$503,(_calc!$E$816-500)))&amp;" – "&amp;IF(LEN(INDEX('Vendor COIs'!$B$4:$B$503,(_calc!$E$816-500)))=0,"",INDEX('Vendor COIs'!$B$4:$B$503,(_calc!$E$816-500)))))</f>
        <v/>
      </c>
      <c r="B814" s="46">
        <f>IF(_calc!$E$816="","",IF(_calc!$E$816&lt;=500,IF(ISNUMBER(INDEX('Our policies'!$J$4:$J$503,_calc!$E$816)),TEXT(INDEX('Our policies'!$J$4:$J$503,_calc!$E$816),"yyyy-mm-dd"),""),IF(ISNUMBER(INDEX('Vendor COIs'!$H$4:$H$503,(_calc!$E$816-500))),TEXT(INDEX('Vendor COIs'!$H$4:$H$503,(_calc!$E$816-500)),"yyyy-mm-dd"),"")))</f>
        <v/>
      </c>
      <c r="C814" s="46">
        <f>IF(_calc!$E$816="","",IF(_calc!$E$816&lt;=500,"Insurance","Certificate of insurance"))</f>
        <v/>
      </c>
      <c r="D814" s="46">
        <f>IF(_calc!$E$816="","",IF(_calc!$E$816&lt;=500,IF(ISNUMBER(INDEX('Our policies'!$I$4:$I$503,_calc!$E$816)),TEXT(INDEX('Our policies'!$I$4:$I$503,_calc!$E$816),"yyyy-mm-dd"),""),""))</f>
        <v/>
      </c>
      <c r="E814" s="46">
        <f>IF(_calc!$E$816="","",IF(_calc!$E$816&lt;=500,IF(LEN(INDEX('Our policies'!$Q$4:$Q$503,_calc!$E$816))=0,"",INDEX('Our policies'!$Q$4:$Q$503,_calc!$E$816)),"Medium"))</f>
        <v/>
      </c>
      <c r="F814" s="46">
        <f>IF(_calc!$E$816="","",IF(_calc!$E$816&lt;=500,TRIM(IF(LEN(IF(LEN(INDEX('Our policies'!$B$4:$B$503,_calc!$E$816))=0,"",INDEX('Our policies'!$B$4:$B$503,_calc!$E$816)))=0,"","Cover: "&amp;IF(LEN(INDEX('Our policies'!$B$4:$B$503,_calc!$E$816))=0,"",INDEX('Our policies'!$B$4:$B$503,_calc!$E$816))&amp;". ")&amp;IF(LEN(IF(LEN(INDEX('Our policies'!$C$4:$C$503,_calc!$E$816))=0,"",INDEX('Our policies'!$C$4:$C$503,_calc!$E$816)))=0,"","Insurer: "&amp;IF(LEN(INDEX('Our policies'!$C$4:$C$503,_calc!$E$816))=0,"",INDEX('Our policies'!$C$4:$C$503,_calc!$E$816))&amp;". ")&amp;IF(LEN(IF(LEN(INDEX('Our policies'!$D$4:$D$503,_calc!$E$816))=0,"",INDEX('Our policies'!$D$4:$D$503,_calc!$E$816)))=0,"","Broker: "&amp;IF(LEN(INDEX('Our policies'!$D$4:$D$503,_calc!$E$816))=0,"",INDEX('Our policies'!$D$4:$D$503,_calc!$E$816))&amp;". ")&amp;IF(LEN(IF(LEN(INDEX('Our policies'!$E$4:$E$503,_calc!$E$816))=0,"",INDEX('Our policies'!$E$4:$E$503,_calc!$E$816)))=0,"","Policy no.: "&amp;IF(LEN(INDEX('Our policies'!$E$4:$E$503,_calc!$E$816))=0,"",INDEX('Our policies'!$E$4:$E$503,_calc!$E$816))&amp;". ")&amp;IF(LEN(IF(LEN(INDEX('Our policies'!$S$4:$S$503,_calc!$E$816))=0,"",INDEX('Our policies'!$S$4:$S$503,_calc!$E$816)))=0,"",IF(LEN(INDEX('Our policies'!$S$4:$S$503,_calc!$E$816))=0,"",INDEX('Our policies'!$S$4:$S$503,_calc!$E$816)))),TRIM(IF(LEN(IF(LEN(INDEX('Vendor COIs'!$C$4:$C$503,(_calc!$E$816-500)))=0,"",INDEX('Vendor COIs'!$C$4:$C$503,(_calc!$E$816-500))))=0,"","Insurer: "&amp;IF(LEN(INDEX('Vendor COIs'!$C$4:$C$503,(_calc!$E$816-500)))=0,"",INDEX('Vendor COIs'!$C$4:$C$503,(_calc!$E$816-500)))&amp;". ")&amp;IF(LEN(IF(LEN(INDEX('Vendor COIs'!$D$4:$D$503,(_calc!$E$816-500)))=0,"",INDEX('Vendor COIs'!$D$4:$D$503,(_calc!$E$816-500))))=0,"","Policy no.: "&amp;IF(LEN(INDEX('Vendor COIs'!$D$4:$D$503,(_calc!$E$816-500)))=0,"",INDEX('Vendor COIs'!$D$4:$D$503,(_calc!$E$816-500)))&amp;". ")&amp;IF(LEN(IF(LEN(INDEX('Vendor COIs'!$F$4:$F$503,(_calc!$E$816-500)))=0,"",INDEX('Vendor COIs'!$F$4:$F$503,(_calc!$E$816-500))))=0,"","Meets minimum: "&amp;IF(LEN(INDEX('Vendor COIs'!$F$4:$F$503,(_calc!$E$816-500)))=0,"",INDEX('Vendor COIs'!$F$4:$F$503,(_calc!$E$816-500)))&amp;". ")&amp;IF(LEN(IF(LEN(INDEX('Vendor COIs'!$G$4:$G$503,(_calc!$E$816-500)))=0,"",INDEX('Vendor COIs'!$G$4:$G$503,(_calc!$E$816-500))))=0,"","Additional insured: "&amp;IF(LEN(INDEX('Vendor COIs'!$G$4:$G$503,(_calc!$E$816-500)))=0,"",INDEX('Vendor COIs'!$G$4:$G$503,(_calc!$E$816-500)))&amp;". ")&amp;IF(LEN(IF(LEN(INDEX('Vendor COIs'!$M$4:$M$503,(_calc!$E$816-500)))=0,"",INDEX('Vendor COIs'!$M$4:$M$503,(_calc!$E$816-500))))=0,"","Vendor contact: "&amp;IF(LEN(INDEX('Vendor COIs'!$M$4:$M$503,(_calc!$E$816-500)))=0,"",INDEX('Vendor COIs'!$M$4:$M$503,(_calc!$E$816-500)))&amp;". ")&amp;IF(LEN(IF(LEN(INDEX('Vendor COIs'!$P$4:$P$503,(_calc!$E$816-500)))=0,"",INDEX('Vendor COIs'!$P$4:$P$503,(_calc!$E$816-500))))=0,"",IF(LEN(INDEX('Vendor COIs'!$P$4:$P$503,(_calc!$E$816-500)))=0,"",INDEX('Vendor COIs'!$P$4:$P$503,(_calc!$E$816-500)))))))</f>
        <v/>
      </c>
      <c r="G814" s="46">
        <f>IF(_calc!$E$816="","",IF(_calc!$E$816&lt;=500,IF(LEN(INDEX('Our policies'!$R$4:$R$503,_calc!$E$816))=0,"",INDEX('Our policies'!$R$4:$R$503,_calc!$E$816)),IF(LEN(INDEX('Vendor COIs'!$O$4:$O$503,(_calc!$E$816-500)))=0,"",INDEX('Vendor COIs'!$O$4:$O$503,(_calc!$E$816-500)))))</f>
        <v/>
      </c>
      <c r="H814" s="46">
        <f>IF(_calc!$E$816="","",IF(_calc!$E$816&lt;=500,IF(LEN(INDEX('Our policies'!$G$4:$G$503,_calc!$E$816))=0,"",INDEX('Our policies'!$G$4:$G$503,_calc!$E$816)),""))</f>
        <v/>
      </c>
      <c r="I814" s="46">
        <f>IF(_calc!$E$816="","",IF(_calc!$E$816&lt;=500,IF(LEN(INDEX('Our policies'!$H$4:$H$503,_calc!$E$816))=0,"",INDEX('Our policies'!$H$4:$H$503,_calc!$E$816)),""))</f>
        <v/>
      </c>
      <c r="K814" s="46">
        <f>IF(_calc!$E$816="","",IF(_calc!$E$816&lt;=500,IF(LEN(INDEX('Our policies'!$P$4:$P$503,_calc!$E$816))=0,"",INDEX('Our policies'!$P$4:$P$503,_calc!$E$816)),IF(LEN(INDEX('Vendor COIs'!$N$4:$N$503,(_calc!$E$816-500)))=0,"",INDEX('Vendor COIs'!$N$4:$N$503,(_calc!$E$816-500)))))</f>
        <v/>
      </c>
    </row>
    <row r="815">
      <c r="A815" s="46">
        <f>IF(_calc!$E$817="","",IF(_calc!$E$817&lt;=500,IF(LEN(INDEX('Our policies'!$A$4:$A$503,_calc!$E$817))=0,"",INDEX('Our policies'!$A$4:$A$503,_calc!$E$817)),"COI – "&amp;IF(LEN(INDEX('Vendor COIs'!$A$4:$A$503,(_calc!$E$817-500)))=0,"",INDEX('Vendor COIs'!$A$4:$A$503,(_calc!$E$817-500)))&amp;" – "&amp;IF(LEN(INDEX('Vendor COIs'!$B$4:$B$503,(_calc!$E$817-500)))=0,"",INDEX('Vendor COIs'!$B$4:$B$503,(_calc!$E$817-500)))))</f>
        <v/>
      </c>
      <c r="B815" s="46">
        <f>IF(_calc!$E$817="","",IF(_calc!$E$817&lt;=500,IF(ISNUMBER(INDEX('Our policies'!$J$4:$J$503,_calc!$E$817)),TEXT(INDEX('Our policies'!$J$4:$J$503,_calc!$E$817),"yyyy-mm-dd"),""),IF(ISNUMBER(INDEX('Vendor COIs'!$H$4:$H$503,(_calc!$E$817-500))),TEXT(INDEX('Vendor COIs'!$H$4:$H$503,(_calc!$E$817-500)),"yyyy-mm-dd"),"")))</f>
        <v/>
      </c>
      <c r="C815" s="46">
        <f>IF(_calc!$E$817="","",IF(_calc!$E$817&lt;=500,"Insurance","Certificate of insurance"))</f>
        <v/>
      </c>
      <c r="D815" s="46">
        <f>IF(_calc!$E$817="","",IF(_calc!$E$817&lt;=500,IF(ISNUMBER(INDEX('Our policies'!$I$4:$I$503,_calc!$E$817)),TEXT(INDEX('Our policies'!$I$4:$I$503,_calc!$E$817),"yyyy-mm-dd"),""),""))</f>
        <v/>
      </c>
      <c r="E815" s="46">
        <f>IF(_calc!$E$817="","",IF(_calc!$E$817&lt;=500,IF(LEN(INDEX('Our policies'!$Q$4:$Q$503,_calc!$E$817))=0,"",INDEX('Our policies'!$Q$4:$Q$503,_calc!$E$817)),"Medium"))</f>
        <v/>
      </c>
      <c r="F815" s="46">
        <f>IF(_calc!$E$817="","",IF(_calc!$E$817&lt;=500,TRIM(IF(LEN(IF(LEN(INDEX('Our policies'!$B$4:$B$503,_calc!$E$817))=0,"",INDEX('Our policies'!$B$4:$B$503,_calc!$E$817)))=0,"","Cover: "&amp;IF(LEN(INDEX('Our policies'!$B$4:$B$503,_calc!$E$817))=0,"",INDEX('Our policies'!$B$4:$B$503,_calc!$E$817))&amp;". ")&amp;IF(LEN(IF(LEN(INDEX('Our policies'!$C$4:$C$503,_calc!$E$817))=0,"",INDEX('Our policies'!$C$4:$C$503,_calc!$E$817)))=0,"","Insurer: "&amp;IF(LEN(INDEX('Our policies'!$C$4:$C$503,_calc!$E$817))=0,"",INDEX('Our policies'!$C$4:$C$503,_calc!$E$817))&amp;". ")&amp;IF(LEN(IF(LEN(INDEX('Our policies'!$D$4:$D$503,_calc!$E$817))=0,"",INDEX('Our policies'!$D$4:$D$503,_calc!$E$817)))=0,"","Broker: "&amp;IF(LEN(INDEX('Our policies'!$D$4:$D$503,_calc!$E$817))=0,"",INDEX('Our policies'!$D$4:$D$503,_calc!$E$817))&amp;". ")&amp;IF(LEN(IF(LEN(INDEX('Our policies'!$E$4:$E$503,_calc!$E$817))=0,"",INDEX('Our policies'!$E$4:$E$503,_calc!$E$817)))=0,"","Policy no.: "&amp;IF(LEN(INDEX('Our policies'!$E$4:$E$503,_calc!$E$817))=0,"",INDEX('Our policies'!$E$4:$E$503,_calc!$E$817))&amp;". ")&amp;IF(LEN(IF(LEN(INDEX('Our policies'!$S$4:$S$503,_calc!$E$817))=0,"",INDEX('Our policies'!$S$4:$S$503,_calc!$E$817)))=0,"",IF(LEN(INDEX('Our policies'!$S$4:$S$503,_calc!$E$817))=0,"",INDEX('Our policies'!$S$4:$S$503,_calc!$E$817)))),TRIM(IF(LEN(IF(LEN(INDEX('Vendor COIs'!$C$4:$C$503,(_calc!$E$817-500)))=0,"",INDEX('Vendor COIs'!$C$4:$C$503,(_calc!$E$817-500))))=0,"","Insurer: "&amp;IF(LEN(INDEX('Vendor COIs'!$C$4:$C$503,(_calc!$E$817-500)))=0,"",INDEX('Vendor COIs'!$C$4:$C$503,(_calc!$E$817-500)))&amp;". ")&amp;IF(LEN(IF(LEN(INDEX('Vendor COIs'!$D$4:$D$503,(_calc!$E$817-500)))=0,"",INDEX('Vendor COIs'!$D$4:$D$503,(_calc!$E$817-500))))=0,"","Policy no.: "&amp;IF(LEN(INDEX('Vendor COIs'!$D$4:$D$503,(_calc!$E$817-500)))=0,"",INDEX('Vendor COIs'!$D$4:$D$503,(_calc!$E$817-500)))&amp;". ")&amp;IF(LEN(IF(LEN(INDEX('Vendor COIs'!$F$4:$F$503,(_calc!$E$817-500)))=0,"",INDEX('Vendor COIs'!$F$4:$F$503,(_calc!$E$817-500))))=0,"","Meets minimum: "&amp;IF(LEN(INDEX('Vendor COIs'!$F$4:$F$503,(_calc!$E$817-500)))=0,"",INDEX('Vendor COIs'!$F$4:$F$503,(_calc!$E$817-500)))&amp;". ")&amp;IF(LEN(IF(LEN(INDEX('Vendor COIs'!$G$4:$G$503,(_calc!$E$817-500)))=0,"",INDEX('Vendor COIs'!$G$4:$G$503,(_calc!$E$817-500))))=0,"","Additional insured: "&amp;IF(LEN(INDEX('Vendor COIs'!$G$4:$G$503,(_calc!$E$817-500)))=0,"",INDEX('Vendor COIs'!$G$4:$G$503,(_calc!$E$817-500)))&amp;". ")&amp;IF(LEN(IF(LEN(INDEX('Vendor COIs'!$M$4:$M$503,(_calc!$E$817-500)))=0,"",INDEX('Vendor COIs'!$M$4:$M$503,(_calc!$E$817-500))))=0,"","Vendor contact: "&amp;IF(LEN(INDEX('Vendor COIs'!$M$4:$M$503,(_calc!$E$817-500)))=0,"",INDEX('Vendor COIs'!$M$4:$M$503,(_calc!$E$817-500)))&amp;". ")&amp;IF(LEN(IF(LEN(INDEX('Vendor COIs'!$P$4:$P$503,(_calc!$E$817-500)))=0,"",INDEX('Vendor COIs'!$P$4:$P$503,(_calc!$E$817-500))))=0,"",IF(LEN(INDEX('Vendor COIs'!$P$4:$P$503,(_calc!$E$817-500)))=0,"",INDEX('Vendor COIs'!$P$4:$P$503,(_calc!$E$817-500)))))))</f>
        <v/>
      </c>
      <c r="G815" s="46">
        <f>IF(_calc!$E$817="","",IF(_calc!$E$817&lt;=500,IF(LEN(INDEX('Our policies'!$R$4:$R$503,_calc!$E$817))=0,"",INDEX('Our policies'!$R$4:$R$503,_calc!$E$817)),IF(LEN(INDEX('Vendor COIs'!$O$4:$O$503,(_calc!$E$817-500)))=0,"",INDEX('Vendor COIs'!$O$4:$O$503,(_calc!$E$817-500)))))</f>
        <v/>
      </c>
      <c r="H815" s="46">
        <f>IF(_calc!$E$817="","",IF(_calc!$E$817&lt;=500,IF(LEN(INDEX('Our policies'!$G$4:$G$503,_calc!$E$817))=0,"",INDEX('Our policies'!$G$4:$G$503,_calc!$E$817)),""))</f>
        <v/>
      </c>
      <c r="I815" s="46">
        <f>IF(_calc!$E$817="","",IF(_calc!$E$817&lt;=500,IF(LEN(INDEX('Our policies'!$H$4:$H$503,_calc!$E$817))=0,"",INDEX('Our policies'!$H$4:$H$503,_calc!$E$817)),""))</f>
        <v/>
      </c>
      <c r="K815" s="46">
        <f>IF(_calc!$E$817="","",IF(_calc!$E$817&lt;=500,IF(LEN(INDEX('Our policies'!$P$4:$P$503,_calc!$E$817))=0,"",INDEX('Our policies'!$P$4:$P$503,_calc!$E$817)),IF(LEN(INDEX('Vendor COIs'!$N$4:$N$503,(_calc!$E$817-500)))=0,"",INDEX('Vendor COIs'!$N$4:$N$503,(_calc!$E$817-500)))))</f>
        <v/>
      </c>
    </row>
    <row r="816">
      <c r="A816" s="46">
        <f>IF(_calc!$E$818="","",IF(_calc!$E$818&lt;=500,IF(LEN(INDEX('Our policies'!$A$4:$A$503,_calc!$E$818))=0,"",INDEX('Our policies'!$A$4:$A$503,_calc!$E$818)),"COI – "&amp;IF(LEN(INDEX('Vendor COIs'!$A$4:$A$503,(_calc!$E$818-500)))=0,"",INDEX('Vendor COIs'!$A$4:$A$503,(_calc!$E$818-500)))&amp;" – "&amp;IF(LEN(INDEX('Vendor COIs'!$B$4:$B$503,(_calc!$E$818-500)))=0,"",INDEX('Vendor COIs'!$B$4:$B$503,(_calc!$E$818-500)))))</f>
        <v/>
      </c>
      <c r="B816" s="46">
        <f>IF(_calc!$E$818="","",IF(_calc!$E$818&lt;=500,IF(ISNUMBER(INDEX('Our policies'!$J$4:$J$503,_calc!$E$818)),TEXT(INDEX('Our policies'!$J$4:$J$503,_calc!$E$818),"yyyy-mm-dd"),""),IF(ISNUMBER(INDEX('Vendor COIs'!$H$4:$H$503,(_calc!$E$818-500))),TEXT(INDEX('Vendor COIs'!$H$4:$H$503,(_calc!$E$818-500)),"yyyy-mm-dd"),"")))</f>
        <v/>
      </c>
      <c r="C816" s="46">
        <f>IF(_calc!$E$818="","",IF(_calc!$E$818&lt;=500,"Insurance","Certificate of insurance"))</f>
        <v/>
      </c>
      <c r="D816" s="46">
        <f>IF(_calc!$E$818="","",IF(_calc!$E$818&lt;=500,IF(ISNUMBER(INDEX('Our policies'!$I$4:$I$503,_calc!$E$818)),TEXT(INDEX('Our policies'!$I$4:$I$503,_calc!$E$818),"yyyy-mm-dd"),""),""))</f>
        <v/>
      </c>
      <c r="E816" s="46">
        <f>IF(_calc!$E$818="","",IF(_calc!$E$818&lt;=500,IF(LEN(INDEX('Our policies'!$Q$4:$Q$503,_calc!$E$818))=0,"",INDEX('Our policies'!$Q$4:$Q$503,_calc!$E$818)),"Medium"))</f>
        <v/>
      </c>
      <c r="F816" s="46">
        <f>IF(_calc!$E$818="","",IF(_calc!$E$818&lt;=500,TRIM(IF(LEN(IF(LEN(INDEX('Our policies'!$B$4:$B$503,_calc!$E$818))=0,"",INDEX('Our policies'!$B$4:$B$503,_calc!$E$818)))=0,"","Cover: "&amp;IF(LEN(INDEX('Our policies'!$B$4:$B$503,_calc!$E$818))=0,"",INDEX('Our policies'!$B$4:$B$503,_calc!$E$818))&amp;". ")&amp;IF(LEN(IF(LEN(INDEX('Our policies'!$C$4:$C$503,_calc!$E$818))=0,"",INDEX('Our policies'!$C$4:$C$503,_calc!$E$818)))=0,"","Insurer: "&amp;IF(LEN(INDEX('Our policies'!$C$4:$C$503,_calc!$E$818))=0,"",INDEX('Our policies'!$C$4:$C$503,_calc!$E$818))&amp;". ")&amp;IF(LEN(IF(LEN(INDEX('Our policies'!$D$4:$D$503,_calc!$E$818))=0,"",INDEX('Our policies'!$D$4:$D$503,_calc!$E$818)))=0,"","Broker: "&amp;IF(LEN(INDEX('Our policies'!$D$4:$D$503,_calc!$E$818))=0,"",INDEX('Our policies'!$D$4:$D$503,_calc!$E$818))&amp;". ")&amp;IF(LEN(IF(LEN(INDEX('Our policies'!$E$4:$E$503,_calc!$E$818))=0,"",INDEX('Our policies'!$E$4:$E$503,_calc!$E$818)))=0,"","Policy no.: "&amp;IF(LEN(INDEX('Our policies'!$E$4:$E$503,_calc!$E$818))=0,"",INDEX('Our policies'!$E$4:$E$503,_calc!$E$818))&amp;". ")&amp;IF(LEN(IF(LEN(INDEX('Our policies'!$S$4:$S$503,_calc!$E$818))=0,"",INDEX('Our policies'!$S$4:$S$503,_calc!$E$818)))=0,"",IF(LEN(INDEX('Our policies'!$S$4:$S$503,_calc!$E$818))=0,"",INDEX('Our policies'!$S$4:$S$503,_calc!$E$818)))),TRIM(IF(LEN(IF(LEN(INDEX('Vendor COIs'!$C$4:$C$503,(_calc!$E$818-500)))=0,"",INDEX('Vendor COIs'!$C$4:$C$503,(_calc!$E$818-500))))=0,"","Insurer: "&amp;IF(LEN(INDEX('Vendor COIs'!$C$4:$C$503,(_calc!$E$818-500)))=0,"",INDEX('Vendor COIs'!$C$4:$C$503,(_calc!$E$818-500)))&amp;". ")&amp;IF(LEN(IF(LEN(INDEX('Vendor COIs'!$D$4:$D$503,(_calc!$E$818-500)))=0,"",INDEX('Vendor COIs'!$D$4:$D$503,(_calc!$E$818-500))))=0,"","Policy no.: "&amp;IF(LEN(INDEX('Vendor COIs'!$D$4:$D$503,(_calc!$E$818-500)))=0,"",INDEX('Vendor COIs'!$D$4:$D$503,(_calc!$E$818-500)))&amp;". ")&amp;IF(LEN(IF(LEN(INDEX('Vendor COIs'!$F$4:$F$503,(_calc!$E$818-500)))=0,"",INDEX('Vendor COIs'!$F$4:$F$503,(_calc!$E$818-500))))=0,"","Meets minimum: "&amp;IF(LEN(INDEX('Vendor COIs'!$F$4:$F$503,(_calc!$E$818-500)))=0,"",INDEX('Vendor COIs'!$F$4:$F$503,(_calc!$E$818-500)))&amp;". ")&amp;IF(LEN(IF(LEN(INDEX('Vendor COIs'!$G$4:$G$503,(_calc!$E$818-500)))=0,"",INDEX('Vendor COIs'!$G$4:$G$503,(_calc!$E$818-500))))=0,"","Additional insured: "&amp;IF(LEN(INDEX('Vendor COIs'!$G$4:$G$503,(_calc!$E$818-500)))=0,"",INDEX('Vendor COIs'!$G$4:$G$503,(_calc!$E$818-500)))&amp;". ")&amp;IF(LEN(IF(LEN(INDEX('Vendor COIs'!$M$4:$M$503,(_calc!$E$818-500)))=0,"",INDEX('Vendor COIs'!$M$4:$M$503,(_calc!$E$818-500))))=0,"","Vendor contact: "&amp;IF(LEN(INDEX('Vendor COIs'!$M$4:$M$503,(_calc!$E$818-500)))=0,"",INDEX('Vendor COIs'!$M$4:$M$503,(_calc!$E$818-500)))&amp;". ")&amp;IF(LEN(IF(LEN(INDEX('Vendor COIs'!$P$4:$P$503,(_calc!$E$818-500)))=0,"",INDEX('Vendor COIs'!$P$4:$P$503,(_calc!$E$818-500))))=0,"",IF(LEN(INDEX('Vendor COIs'!$P$4:$P$503,(_calc!$E$818-500)))=0,"",INDEX('Vendor COIs'!$P$4:$P$503,(_calc!$E$818-500)))))))</f>
        <v/>
      </c>
      <c r="G816" s="46">
        <f>IF(_calc!$E$818="","",IF(_calc!$E$818&lt;=500,IF(LEN(INDEX('Our policies'!$R$4:$R$503,_calc!$E$818))=0,"",INDEX('Our policies'!$R$4:$R$503,_calc!$E$818)),IF(LEN(INDEX('Vendor COIs'!$O$4:$O$503,(_calc!$E$818-500)))=0,"",INDEX('Vendor COIs'!$O$4:$O$503,(_calc!$E$818-500)))))</f>
        <v/>
      </c>
      <c r="H816" s="46">
        <f>IF(_calc!$E$818="","",IF(_calc!$E$818&lt;=500,IF(LEN(INDEX('Our policies'!$G$4:$G$503,_calc!$E$818))=0,"",INDEX('Our policies'!$G$4:$G$503,_calc!$E$818)),""))</f>
        <v/>
      </c>
      <c r="I816" s="46">
        <f>IF(_calc!$E$818="","",IF(_calc!$E$818&lt;=500,IF(LEN(INDEX('Our policies'!$H$4:$H$503,_calc!$E$818))=0,"",INDEX('Our policies'!$H$4:$H$503,_calc!$E$818)),""))</f>
        <v/>
      </c>
      <c r="K816" s="46">
        <f>IF(_calc!$E$818="","",IF(_calc!$E$818&lt;=500,IF(LEN(INDEX('Our policies'!$P$4:$P$503,_calc!$E$818))=0,"",INDEX('Our policies'!$P$4:$P$503,_calc!$E$818)),IF(LEN(INDEX('Vendor COIs'!$N$4:$N$503,(_calc!$E$818-500)))=0,"",INDEX('Vendor COIs'!$N$4:$N$503,(_calc!$E$818-500)))))</f>
        <v/>
      </c>
    </row>
    <row r="817">
      <c r="A817" s="46">
        <f>IF(_calc!$E$819="","",IF(_calc!$E$819&lt;=500,IF(LEN(INDEX('Our policies'!$A$4:$A$503,_calc!$E$819))=0,"",INDEX('Our policies'!$A$4:$A$503,_calc!$E$819)),"COI – "&amp;IF(LEN(INDEX('Vendor COIs'!$A$4:$A$503,(_calc!$E$819-500)))=0,"",INDEX('Vendor COIs'!$A$4:$A$503,(_calc!$E$819-500)))&amp;" – "&amp;IF(LEN(INDEX('Vendor COIs'!$B$4:$B$503,(_calc!$E$819-500)))=0,"",INDEX('Vendor COIs'!$B$4:$B$503,(_calc!$E$819-500)))))</f>
        <v/>
      </c>
      <c r="B817" s="46">
        <f>IF(_calc!$E$819="","",IF(_calc!$E$819&lt;=500,IF(ISNUMBER(INDEX('Our policies'!$J$4:$J$503,_calc!$E$819)),TEXT(INDEX('Our policies'!$J$4:$J$503,_calc!$E$819),"yyyy-mm-dd"),""),IF(ISNUMBER(INDEX('Vendor COIs'!$H$4:$H$503,(_calc!$E$819-500))),TEXT(INDEX('Vendor COIs'!$H$4:$H$503,(_calc!$E$819-500)),"yyyy-mm-dd"),"")))</f>
        <v/>
      </c>
      <c r="C817" s="46">
        <f>IF(_calc!$E$819="","",IF(_calc!$E$819&lt;=500,"Insurance","Certificate of insurance"))</f>
        <v/>
      </c>
      <c r="D817" s="46">
        <f>IF(_calc!$E$819="","",IF(_calc!$E$819&lt;=500,IF(ISNUMBER(INDEX('Our policies'!$I$4:$I$503,_calc!$E$819)),TEXT(INDEX('Our policies'!$I$4:$I$503,_calc!$E$819),"yyyy-mm-dd"),""),""))</f>
        <v/>
      </c>
      <c r="E817" s="46">
        <f>IF(_calc!$E$819="","",IF(_calc!$E$819&lt;=500,IF(LEN(INDEX('Our policies'!$Q$4:$Q$503,_calc!$E$819))=0,"",INDEX('Our policies'!$Q$4:$Q$503,_calc!$E$819)),"Medium"))</f>
        <v/>
      </c>
      <c r="F817" s="46">
        <f>IF(_calc!$E$819="","",IF(_calc!$E$819&lt;=500,TRIM(IF(LEN(IF(LEN(INDEX('Our policies'!$B$4:$B$503,_calc!$E$819))=0,"",INDEX('Our policies'!$B$4:$B$503,_calc!$E$819)))=0,"","Cover: "&amp;IF(LEN(INDEX('Our policies'!$B$4:$B$503,_calc!$E$819))=0,"",INDEX('Our policies'!$B$4:$B$503,_calc!$E$819))&amp;". ")&amp;IF(LEN(IF(LEN(INDEX('Our policies'!$C$4:$C$503,_calc!$E$819))=0,"",INDEX('Our policies'!$C$4:$C$503,_calc!$E$819)))=0,"","Insurer: "&amp;IF(LEN(INDEX('Our policies'!$C$4:$C$503,_calc!$E$819))=0,"",INDEX('Our policies'!$C$4:$C$503,_calc!$E$819))&amp;". ")&amp;IF(LEN(IF(LEN(INDEX('Our policies'!$D$4:$D$503,_calc!$E$819))=0,"",INDEX('Our policies'!$D$4:$D$503,_calc!$E$819)))=0,"","Broker: "&amp;IF(LEN(INDEX('Our policies'!$D$4:$D$503,_calc!$E$819))=0,"",INDEX('Our policies'!$D$4:$D$503,_calc!$E$819))&amp;". ")&amp;IF(LEN(IF(LEN(INDEX('Our policies'!$E$4:$E$503,_calc!$E$819))=0,"",INDEX('Our policies'!$E$4:$E$503,_calc!$E$819)))=0,"","Policy no.: "&amp;IF(LEN(INDEX('Our policies'!$E$4:$E$503,_calc!$E$819))=0,"",INDEX('Our policies'!$E$4:$E$503,_calc!$E$819))&amp;". ")&amp;IF(LEN(IF(LEN(INDEX('Our policies'!$S$4:$S$503,_calc!$E$819))=0,"",INDEX('Our policies'!$S$4:$S$503,_calc!$E$819)))=0,"",IF(LEN(INDEX('Our policies'!$S$4:$S$503,_calc!$E$819))=0,"",INDEX('Our policies'!$S$4:$S$503,_calc!$E$819)))),TRIM(IF(LEN(IF(LEN(INDEX('Vendor COIs'!$C$4:$C$503,(_calc!$E$819-500)))=0,"",INDEX('Vendor COIs'!$C$4:$C$503,(_calc!$E$819-500))))=0,"","Insurer: "&amp;IF(LEN(INDEX('Vendor COIs'!$C$4:$C$503,(_calc!$E$819-500)))=0,"",INDEX('Vendor COIs'!$C$4:$C$503,(_calc!$E$819-500)))&amp;". ")&amp;IF(LEN(IF(LEN(INDEX('Vendor COIs'!$D$4:$D$503,(_calc!$E$819-500)))=0,"",INDEX('Vendor COIs'!$D$4:$D$503,(_calc!$E$819-500))))=0,"","Policy no.: "&amp;IF(LEN(INDEX('Vendor COIs'!$D$4:$D$503,(_calc!$E$819-500)))=0,"",INDEX('Vendor COIs'!$D$4:$D$503,(_calc!$E$819-500)))&amp;". ")&amp;IF(LEN(IF(LEN(INDEX('Vendor COIs'!$F$4:$F$503,(_calc!$E$819-500)))=0,"",INDEX('Vendor COIs'!$F$4:$F$503,(_calc!$E$819-500))))=0,"","Meets minimum: "&amp;IF(LEN(INDEX('Vendor COIs'!$F$4:$F$503,(_calc!$E$819-500)))=0,"",INDEX('Vendor COIs'!$F$4:$F$503,(_calc!$E$819-500)))&amp;". ")&amp;IF(LEN(IF(LEN(INDEX('Vendor COIs'!$G$4:$G$503,(_calc!$E$819-500)))=0,"",INDEX('Vendor COIs'!$G$4:$G$503,(_calc!$E$819-500))))=0,"","Additional insured: "&amp;IF(LEN(INDEX('Vendor COIs'!$G$4:$G$503,(_calc!$E$819-500)))=0,"",INDEX('Vendor COIs'!$G$4:$G$503,(_calc!$E$819-500)))&amp;". ")&amp;IF(LEN(IF(LEN(INDEX('Vendor COIs'!$M$4:$M$503,(_calc!$E$819-500)))=0,"",INDEX('Vendor COIs'!$M$4:$M$503,(_calc!$E$819-500))))=0,"","Vendor contact: "&amp;IF(LEN(INDEX('Vendor COIs'!$M$4:$M$503,(_calc!$E$819-500)))=0,"",INDEX('Vendor COIs'!$M$4:$M$503,(_calc!$E$819-500)))&amp;". ")&amp;IF(LEN(IF(LEN(INDEX('Vendor COIs'!$P$4:$P$503,(_calc!$E$819-500)))=0,"",INDEX('Vendor COIs'!$P$4:$P$503,(_calc!$E$819-500))))=0,"",IF(LEN(INDEX('Vendor COIs'!$P$4:$P$503,(_calc!$E$819-500)))=0,"",INDEX('Vendor COIs'!$P$4:$P$503,(_calc!$E$819-500)))))))</f>
        <v/>
      </c>
      <c r="G817" s="46">
        <f>IF(_calc!$E$819="","",IF(_calc!$E$819&lt;=500,IF(LEN(INDEX('Our policies'!$R$4:$R$503,_calc!$E$819))=0,"",INDEX('Our policies'!$R$4:$R$503,_calc!$E$819)),IF(LEN(INDEX('Vendor COIs'!$O$4:$O$503,(_calc!$E$819-500)))=0,"",INDEX('Vendor COIs'!$O$4:$O$503,(_calc!$E$819-500)))))</f>
        <v/>
      </c>
      <c r="H817" s="46">
        <f>IF(_calc!$E$819="","",IF(_calc!$E$819&lt;=500,IF(LEN(INDEX('Our policies'!$G$4:$G$503,_calc!$E$819))=0,"",INDEX('Our policies'!$G$4:$G$503,_calc!$E$819)),""))</f>
        <v/>
      </c>
      <c r="I817" s="46">
        <f>IF(_calc!$E$819="","",IF(_calc!$E$819&lt;=500,IF(LEN(INDEX('Our policies'!$H$4:$H$503,_calc!$E$819))=0,"",INDEX('Our policies'!$H$4:$H$503,_calc!$E$819)),""))</f>
        <v/>
      </c>
      <c r="K817" s="46">
        <f>IF(_calc!$E$819="","",IF(_calc!$E$819&lt;=500,IF(LEN(INDEX('Our policies'!$P$4:$P$503,_calc!$E$819))=0,"",INDEX('Our policies'!$P$4:$P$503,_calc!$E$819)),IF(LEN(INDEX('Vendor COIs'!$N$4:$N$503,(_calc!$E$819-500)))=0,"",INDEX('Vendor COIs'!$N$4:$N$503,(_calc!$E$819-500)))))</f>
        <v/>
      </c>
    </row>
    <row r="818">
      <c r="A818" s="46">
        <f>IF(_calc!$E$820="","",IF(_calc!$E$820&lt;=500,IF(LEN(INDEX('Our policies'!$A$4:$A$503,_calc!$E$820))=0,"",INDEX('Our policies'!$A$4:$A$503,_calc!$E$820)),"COI – "&amp;IF(LEN(INDEX('Vendor COIs'!$A$4:$A$503,(_calc!$E$820-500)))=0,"",INDEX('Vendor COIs'!$A$4:$A$503,(_calc!$E$820-500)))&amp;" – "&amp;IF(LEN(INDEX('Vendor COIs'!$B$4:$B$503,(_calc!$E$820-500)))=0,"",INDEX('Vendor COIs'!$B$4:$B$503,(_calc!$E$820-500)))))</f>
        <v/>
      </c>
      <c r="B818" s="46">
        <f>IF(_calc!$E$820="","",IF(_calc!$E$820&lt;=500,IF(ISNUMBER(INDEX('Our policies'!$J$4:$J$503,_calc!$E$820)),TEXT(INDEX('Our policies'!$J$4:$J$503,_calc!$E$820),"yyyy-mm-dd"),""),IF(ISNUMBER(INDEX('Vendor COIs'!$H$4:$H$503,(_calc!$E$820-500))),TEXT(INDEX('Vendor COIs'!$H$4:$H$503,(_calc!$E$820-500)),"yyyy-mm-dd"),"")))</f>
        <v/>
      </c>
      <c r="C818" s="46">
        <f>IF(_calc!$E$820="","",IF(_calc!$E$820&lt;=500,"Insurance","Certificate of insurance"))</f>
        <v/>
      </c>
      <c r="D818" s="46">
        <f>IF(_calc!$E$820="","",IF(_calc!$E$820&lt;=500,IF(ISNUMBER(INDEX('Our policies'!$I$4:$I$503,_calc!$E$820)),TEXT(INDEX('Our policies'!$I$4:$I$503,_calc!$E$820),"yyyy-mm-dd"),""),""))</f>
        <v/>
      </c>
      <c r="E818" s="46">
        <f>IF(_calc!$E$820="","",IF(_calc!$E$820&lt;=500,IF(LEN(INDEX('Our policies'!$Q$4:$Q$503,_calc!$E$820))=0,"",INDEX('Our policies'!$Q$4:$Q$503,_calc!$E$820)),"Medium"))</f>
        <v/>
      </c>
      <c r="F818" s="46">
        <f>IF(_calc!$E$820="","",IF(_calc!$E$820&lt;=500,TRIM(IF(LEN(IF(LEN(INDEX('Our policies'!$B$4:$B$503,_calc!$E$820))=0,"",INDEX('Our policies'!$B$4:$B$503,_calc!$E$820)))=0,"","Cover: "&amp;IF(LEN(INDEX('Our policies'!$B$4:$B$503,_calc!$E$820))=0,"",INDEX('Our policies'!$B$4:$B$503,_calc!$E$820))&amp;". ")&amp;IF(LEN(IF(LEN(INDEX('Our policies'!$C$4:$C$503,_calc!$E$820))=0,"",INDEX('Our policies'!$C$4:$C$503,_calc!$E$820)))=0,"","Insurer: "&amp;IF(LEN(INDEX('Our policies'!$C$4:$C$503,_calc!$E$820))=0,"",INDEX('Our policies'!$C$4:$C$503,_calc!$E$820))&amp;". ")&amp;IF(LEN(IF(LEN(INDEX('Our policies'!$D$4:$D$503,_calc!$E$820))=0,"",INDEX('Our policies'!$D$4:$D$503,_calc!$E$820)))=0,"","Broker: "&amp;IF(LEN(INDEX('Our policies'!$D$4:$D$503,_calc!$E$820))=0,"",INDEX('Our policies'!$D$4:$D$503,_calc!$E$820))&amp;". ")&amp;IF(LEN(IF(LEN(INDEX('Our policies'!$E$4:$E$503,_calc!$E$820))=0,"",INDEX('Our policies'!$E$4:$E$503,_calc!$E$820)))=0,"","Policy no.: "&amp;IF(LEN(INDEX('Our policies'!$E$4:$E$503,_calc!$E$820))=0,"",INDEX('Our policies'!$E$4:$E$503,_calc!$E$820))&amp;". ")&amp;IF(LEN(IF(LEN(INDEX('Our policies'!$S$4:$S$503,_calc!$E$820))=0,"",INDEX('Our policies'!$S$4:$S$503,_calc!$E$820)))=0,"",IF(LEN(INDEX('Our policies'!$S$4:$S$503,_calc!$E$820))=0,"",INDEX('Our policies'!$S$4:$S$503,_calc!$E$820)))),TRIM(IF(LEN(IF(LEN(INDEX('Vendor COIs'!$C$4:$C$503,(_calc!$E$820-500)))=0,"",INDEX('Vendor COIs'!$C$4:$C$503,(_calc!$E$820-500))))=0,"","Insurer: "&amp;IF(LEN(INDEX('Vendor COIs'!$C$4:$C$503,(_calc!$E$820-500)))=0,"",INDEX('Vendor COIs'!$C$4:$C$503,(_calc!$E$820-500)))&amp;". ")&amp;IF(LEN(IF(LEN(INDEX('Vendor COIs'!$D$4:$D$503,(_calc!$E$820-500)))=0,"",INDEX('Vendor COIs'!$D$4:$D$503,(_calc!$E$820-500))))=0,"","Policy no.: "&amp;IF(LEN(INDEX('Vendor COIs'!$D$4:$D$503,(_calc!$E$820-500)))=0,"",INDEX('Vendor COIs'!$D$4:$D$503,(_calc!$E$820-500)))&amp;". ")&amp;IF(LEN(IF(LEN(INDEX('Vendor COIs'!$F$4:$F$503,(_calc!$E$820-500)))=0,"",INDEX('Vendor COIs'!$F$4:$F$503,(_calc!$E$820-500))))=0,"","Meets minimum: "&amp;IF(LEN(INDEX('Vendor COIs'!$F$4:$F$503,(_calc!$E$820-500)))=0,"",INDEX('Vendor COIs'!$F$4:$F$503,(_calc!$E$820-500)))&amp;". ")&amp;IF(LEN(IF(LEN(INDEX('Vendor COIs'!$G$4:$G$503,(_calc!$E$820-500)))=0,"",INDEX('Vendor COIs'!$G$4:$G$503,(_calc!$E$820-500))))=0,"","Additional insured: "&amp;IF(LEN(INDEX('Vendor COIs'!$G$4:$G$503,(_calc!$E$820-500)))=0,"",INDEX('Vendor COIs'!$G$4:$G$503,(_calc!$E$820-500)))&amp;". ")&amp;IF(LEN(IF(LEN(INDEX('Vendor COIs'!$M$4:$M$503,(_calc!$E$820-500)))=0,"",INDEX('Vendor COIs'!$M$4:$M$503,(_calc!$E$820-500))))=0,"","Vendor contact: "&amp;IF(LEN(INDEX('Vendor COIs'!$M$4:$M$503,(_calc!$E$820-500)))=0,"",INDEX('Vendor COIs'!$M$4:$M$503,(_calc!$E$820-500)))&amp;". ")&amp;IF(LEN(IF(LEN(INDEX('Vendor COIs'!$P$4:$P$503,(_calc!$E$820-500)))=0,"",INDEX('Vendor COIs'!$P$4:$P$503,(_calc!$E$820-500))))=0,"",IF(LEN(INDEX('Vendor COIs'!$P$4:$P$503,(_calc!$E$820-500)))=0,"",INDEX('Vendor COIs'!$P$4:$P$503,(_calc!$E$820-500)))))))</f>
        <v/>
      </c>
      <c r="G818" s="46">
        <f>IF(_calc!$E$820="","",IF(_calc!$E$820&lt;=500,IF(LEN(INDEX('Our policies'!$R$4:$R$503,_calc!$E$820))=0,"",INDEX('Our policies'!$R$4:$R$503,_calc!$E$820)),IF(LEN(INDEX('Vendor COIs'!$O$4:$O$503,(_calc!$E$820-500)))=0,"",INDEX('Vendor COIs'!$O$4:$O$503,(_calc!$E$820-500)))))</f>
        <v/>
      </c>
      <c r="H818" s="46">
        <f>IF(_calc!$E$820="","",IF(_calc!$E$820&lt;=500,IF(LEN(INDEX('Our policies'!$G$4:$G$503,_calc!$E$820))=0,"",INDEX('Our policies'!$G$4:$G$503,_calc!$E$820)),""))</f>
        <v/>
      </c>
      <c r="I818" s="46">
        <f>IF(_calc!$E$820="","",IF(_calc!$E$820&lt;=500,IF(LEN(INDEX('Our policies'!$H$4:$H$503,_calc!$E$820))=0,"",INDEX('Our policies'!$H$4:$H$503,_calc!$E$820)),""))</f>
        <v/>
      </c>
      <c r="K818" s="46">
        <f>IF(_calc!$E$820="","",IF(_calc!$E$820&lt;=500,IF(LEN(INDEX('Our policies'!$P$4:$P$503,_calc!$E$820))=0,"",INDEX('Our policies'!$P$4:$P$503,_calc!$E$820)),IF(LEN(INDEX('Vendor COIs'!$N$4:$N$503,(_calc!$E$820-500)))=0,"",INDEX('Vendor COIs'!$N$4:$N$503,(_calc!$E$820-500)))))</f>
        <v/>
      </c>
    </row>
    <row r="819">
      <c r="A819" s="46">
        <f>IF(_calc!$E$821="","",IF(_calc!$E$821&lt;=500,IF(LEN(INDEX('Our policies'!$A$4:$A$503,_calc!$E$821))=0,"",INDEX('Our policies'!$A$4:$A$503,_calc!$E$821)),"COI – "&amp;IF(LEN(INDEX('Vendor COIs'!$A$4:$A$503,(_calc!$E$821-500)))=0,"",INDEX('Vendor COIs'!$A$4:$A$503,(_calc!$E$821-500)))&amp;" – "&amp;IF(LEN(INDEX('Vendor COIs'!$B$4:$B$503,(_calc!$E$821-500)))=0,"",INDEX('Vendor COIs'!$B$4:$B$503,(_calc!$E$821-500)))))</f>
        <v/>
      </c>
      <c r="B819" s="46">
        <f>IF(_calc!$E$821="","",IF(_calc!$E$821&lt;=500,IF(ISNUMBER(INDEX('Our policies'!$J$4:$J$503,_calc!$E$821)),TEXT(INDEX('Our policies'!$J$4:$J$503,_calc!$E$821),"yyyy-mm-dd"),""),IF(ISNUMBER(INDEX('Vendor COIs'!$H$4:$H$503,(_calc!$E$821-500))),TEXT(INDEX('Vendor COIs'!$H$4:$H$503,(_calc!$E$821-500)),"yyyy-mm-dd"),"")))</f>
        <v/>
      </c>
      <c r="C819" s="46">
        <f>IF(_calc!$E$821="","",IF(_calc!$E$821&lt;=500,"Insurance","Certificate of insurance"))</f>
        <v/>
      </c>
      <c r="D819" s="46">
        <f>IF(_calc!$E$821="","",IF(_calc!$E$821&lt;=500,IF(ISNUMBER(INDEX('Our policies'!$I$4:$I$503,_calc!$E$821)),TEXT(INDEX('Our policies'!$I$4:$I$503,_calc!$E$821),"yyyy-mm-dd"),""),""))</f>
        <v/>
      </c>
      <c r="E819" s="46">
        <f>IF(_calc!$E$821="","",IF(_calc!$E$821&lt;=500,IF(LEN(INDEX('Our policies'!$Q$4:$Q$503,_calc!$E$821))=0,"",INDEX('Our policies'!$Q$4:$Q$503,_calc!$E$821)),"Medium"))</f>
        <v/>
      </c>
      <c r="F819" s="46">
        <f>IF(_calc!$E$821="","",IF(_calc!$E$821&lt;=500,TRIM(IF(LEN(IF(LEN(INDEX('Our policies'!$B$4:$B$503,_calc!$E$821))=0,"",INDEX('Our policies'!$B$4:$B$503,_calc!$E$821)))=0,"","Cover: "&amp;IF(LEN(INDEX('Our policies'!$B$4:$B$503,_calc!$E$821))=0,"",INDEX('Our policies'!$B$4:$B$503,_calc!$E$821))&amp;". ")&amp;IF(LEN(IF(LEN(INDEX('Our policies'!$C$4:$C$503,_calc!$E$821))=0,"",INDEX('Our policies'!$C$4:$C$503,_calc!$E$821)))=0,"","Insurer: "&amp;IF(LEN(INDEX('Our policies'!$C$4:$C$503,_calc!$E$821))=0,"",INDEX('Our policies'!$C$4:$C$503,_calc!$E$821))&amp;". ")&amp;IF(LEN(IF(LEN(INDEX('Our policies'!$D$4:$D$503,_calc!$E$821))=0,"",INDEX('Our policies'!$D$4:$D$503,_calc!$E$821)))=0,"","Broker: "&amp;IF(LEN(INDEX('Our policies'!$D$4:$D$503,_calc!$E$821))=0,"",INDEX('Our policies'!$D$4:$D$503,_calc!$E$821))&amp;". ")&amp;IF(LEN(IF(LEN(INDEX('Our policies'!$E$4:$E$503,_calc!$E$821))=0,"",INDEX('Our policies'!$E$4:$E$503,_calc!$E$821)))=0,"","Policy no.: "&amp;IF(LEN(INDEX('Our policies'!$E$4:$E$503,_calc!$E$821))=0,"",INDEX('Our policies'!$E$4:$E$503,_calc!$E$821))&amp;". ")&amp;IF(LEN(IF(LEN(INDEX('Our policies'!$S$4:$S$503,_calc!$E$821))=0,"",INDEX('Our policies'!$S$4:$S$503,_calc!$E$821)))=0,"",IF(LEN(INDEX('Our policies'!$S$4:$S$503,_calc!$E$821))=0,"",INDEX('Our policies'!$S$4:$S$503,_calc!$E$821)))),TRIM(IF(LEN(IF(LEN(INDEX('Vendor COIs'!$C$4:$C$503,(_calc!$E$821-500)))=0,"",INDEX('Vendor COIs'!$C$4:$C$503,(_calc!$E$821-500))))=0,"","Insurer: "&amp;IF(LEN(INDEX('Vendor COIs'!$C$4:$C$503,(_calc!$E$821-500)))=0,"",INDEX('Vendor COIs'!$C$4:$C$503,(_calc!$E$821-500)))&amp;". ")&amp;IF(LEN(IF(LEN(INDEX('Vendor COIs'!$D$4:$D$503,(_calc!$E$821-500)))=0,"",INDEX('Vendor COIs'!$D$4:$D$503,(_calc!$E$821-500))))=0,"","Policy no.: "&amp;IF(LEN(INDEX('Vendor COIs'!$D$4:$D$503,(_calc!$E$821-500)))=0,"",INDEX('Vendor COIs'!$D$4:$D$503,(_calc!$E$821-500)))&amp;". ")&amp;IF(LEN(IF(LEN(INDEX('Vendor COIs'!$F$4:$F$503,(_calc!$E$821-500)))=0,"",INDEX('Vendor COIs'!$F$4:$F$503,(_calc!$E$821-500))))=0,"","Meets minimum: "&amp;IF(LEN(INDEX('Vendor COIs'!$F$4:$F$503,(_calc!$E$821-500)))=0,"",INDEX('Vendor COIs'!$F$4:$F$503,(_calc!$E$821-500)))&amp;". ")&amp;IF(LEN(IF(LEN(INDEX('Vendor COIs'!$G$4:$G$503,(_calc!$E$821-500)))=0,"",INDEX('Vendor COIs'!$G$4:$G$503,(_calc!$E$821-500))))=0,"","Additional insured: "&amp;IF(LEN(INDEX('Vendor COIs'!$G$4:$G$503,(_calc!$E$821-500)))=0,"",INDEX('Vendor COIs'!$G$4:$G$503,(_calc!$E$821-500)))&amp;". ")&amp;IF(LEN(IF(LEN(INDEX('Vendor COIs'!$M$4:$M$503,(_calc!$E$821-500)))=0,"",INDEX('Vendor COIs'!$M$4:$M$503,(_calc!$E$821-500))))=0,"","Vendor contact: "&amp;IF(LEN(INDEX('Vendor COIs'!$M$4:$M$503,(_calc!$E$821-500)))=0,"",INDEX('Vendor COIs'!$M$4:$M$503,(_calc!$E$821-500)))&amp;". ")&amp;IF(LEN(IF(LEN(INDEX('Vendor COIs'!$P$4:$P$503,(_calc!$E$821-500)))=0,"",INDEX('Vendor COIs'!$P$4:$P$503,(_calc!$E$821-500))))=0,"",IF(LEN(INDEX('Vendor COIs'!$P$4:$P$503,(_calc!$E$821-500)))=0,"",INDEX('Vendor COIs'!$P$4:$P$503,(_calc!$E$821-500)))))))</f>
        <v/>
      </c>
      <c r="G819" s="46">
        <f>IF(_calc!$E$821="","",IF(_calc!$E$821&lt;=500,IF(LEN(INDEX('Our policies'!$R$4:$R$503,_calc!$E$821))=0,"",INDEX('Our policies'!$R$4:$R$503,_calc!$E$821)),IF(LEN(INDEX('Vendor COIs'!$O$4:$O$503,(_calc!$E$821-500)))=0,"",INDEX('Vendor COIs'!$O$4:$O$503,(_calc!$E$821-500)))))</f>
        <v/>
      </c>
      <c r="H819" s="46">
        <f>IF(_calc!$E$821="","",IF(_calc!$E$821&lt;=500,IF(LEN(INDEX('Our policies'!$G$4:$G$503,_calc!$E$821))=0,"",INDEX('Our policies'!$G$4:$G$503,_calc!$E$821)),""))</f>
        <v/>
      </c>
      <c r="I819" s="46">
        <f>IF(_calc!$E$821="","",IF(_calc!$E$821&lt;=500,IF(LEN(INDEX('Our policies'!$H$4:$H$503,_calc!$E$821))=0,"",INDEX('Our policies'!$H$4:$H$503,_calc!$E$821)),""))</f>
        <v/>
      </c>
      <c r="K819" s="46">
        <f>IF(_calc!$E$821="","",IF(_calc!$E$821&lt;=500,IF(LEN(INDEX('Our policies'!$P$4:$P$503,_calc!$E$821))=0,"",INDEX('Our policies'!$P$4:$P$503,_calc!$E$821)),IF(LEN(INDEX('Vendor COIs'!$N$4:$N$503,(_calc!$E$821-500)))=0,"",INDEX('Vendor COIs'!$N$4:$N$503,(_calc!$E$821-500)))))</f>
        <v/>
      </c>
    </row>
    <row r="820">
      <c r="A820" s="46">
        <f>IF(_calc!$E$822="","",IF(_calc!$E$822&lt;=500,IF(LEN(INDEX('Our policies'!$A$4:$A$503,_calc!$E$822))=0,"",INDEX('Our policies'!$A$4:$A$503,_calc!$E$822)),"COI – "&amp;IF(LEN(INDEX('Vendor COIs'!$A$4:$A$503,(_calc!$E$822-500)))=0,"",INDEX('Vendor COIs'!$A$4:$A$503,(_calc!$E$822-500)))&amp;" – "&amp;IF(LEN(INDEX('Vendor COIs'!$B$4:$B$503,(_calc!$E$822-500)))=0,"",INDEX('Vendor COIs'!$B$4:$B$503,(_calc!$E$822-500)))))</f>
        <v/>
      </c>
      <c r="B820" s="46">
        <f>IF(_calc!$E$822="","",IF(_calc!$E$822&lt;=500,IF(ISNUMBER(INDEX('Our policies'!$J$4:$J$503,_calc!$E$822)),TEXT(INDEX('Our policies'!$J$4:$J$503,_calc!$E$822),"yyyy-mm-dd"),""),IF(ISNUMBER(INDEX('Vendor COIs'!$H$4:$H$503,(_calc!$E$822-500))),TEXT(INDEX('Vendor COIs'!$H$4:$H$503,(_calc!$E$822-500)),"yyyy-mm-dd"),"")))</f>
        <v/>
      </c>
      <c r="C820" s="46">
        <f>IF(_calc!$E$822="","",IF(_calc!$E$822&lt;=500,"Insurance","Certificate of insurance"))</f>
        <v/>
      </c>
      <c r="D820" s="46">
        <f>IF(_calc!$E$822="","",IF(_calc!$E$822&lt;=500,IF(ISNUMBER(INDEX('Our policies'!$I$4:$I$503,_calc!$E$822)),TEXT(INDEX('Our policies'!$I$4:$I$503,_calc!$E$822),"yyyy-mm-dd"),""),""))</f>
        <v/>
      </c>
      <c r="E820" s="46">
        <f>IF(_calc!$E$822="","",IF(_calc!$E$822&lt;=500,IF(LEN(INDEX('Our policies'!$Q$4:$Q$503,_calc!$E$822))=0,"",INDEX('Our policies'!$Q$4:$Q$503,_calc!$E$822)),"Medium"))</f>
        <v/>
      </c>
      <c r="F820" s="46">
        <f>IF(_calc!$E$822="","",IF(_calc!$E$822&lt;=500,TRIM(IF(LEN(IF(LEN(INDEX('Our policies'!$B$4:$B$503,_calc!$E$822))=0,"",INDEX('Our policies'!$B$4:$B$503,_calc!$E$822)))=0,"","Cover: "&amp;IF(LEN(INDEX('Our policies'!$B$4:$B$503,_calc!$E$822))=0,"",INDEX('Our policies'!$B$4:$B$503,_calc!$E$822))&amp;". ")&amp;IF(LEN(IF(LEN(INDEX('Our policies'!$C$4:$C$503,_calc!$E$822))=0,"",INDEX('Our policies'!$C$4:$C$503,_calc!$E$822)))=0,"","Insurer: "&amp;IF(LEN(INDEX('Our policies'!$C$4:$C$503,_calc!$E$822))=0,"",INDEX('Our policies'!$C$4:$C$503,_calc!$E$822))&amp;". ")&amp;IF(LEN(IF(LEN(INDEX('Our policies'!$D$4:$D$503,_calc!$E$822))=0,"",INDEX('Our policies'!$D$4:$D$503,_calc!$E$822)))=0,"","Broker: "&amp;IF(LEN(INDEX('Our policies'!$D$4:$D$503,_calc!$E$822))=0,"",INDEX('Our policies'!$D$4:$D$503,_calc!$E$822))&amp;". ")&amp;IF(LEN(IF(LEN(INDEX('Our policies'!$E$4:$E$503,_calc!$E$822))=0,"",INDEX('Our policies'!$E$4:$E$503,_calc!$E$822)))=0,"","Policy no.: "&amp;IF(LEN(INDEX('Our policies'!$E$4:$E$503,_calc!$E$822))=0,"",INDEX('Our policies'!$E$4:$E$503,_calc!$E$822))&amp;". ")&amp;IF(LEN(IF(LEN(INDEX('Our policies'!$S$4:$S$503,_calc!$E$822))=0,"",INDEX('Our policies'!$S$4:$S$503,_calc!$E$822)))=0,"",IF(LEN(INDEX('Our policies'!$S$4:$S$503,_calc!$E$822))=0,"",INDEX('Our policies'!$S$4:$S$503,_calc!$E$822)))),TRIM(IF(LEN(IF(LEN(INDEX('Vendor COIs'!$C$4:$C$503,(_calc!$E$822-500)))=0,"",INDEX('Vendor COIs'!$C$4:$C$503,(_calc!$E$822-500))))=0,"","Insurer: "&amp;IF(LEN(INDEX('Vendor COIs'!$C$4:$C$503,(_calc!$E$822-500)))=0,"",INDEX('Vendor COIs'!$C$4:$C$503,(_calc!$E$822-500)))&amp;". ")&amp;IF(LEN(IF(LEN(INDEX('Vendor COIs'!$D$4:$D$503,(_calc!$E$822-500)))=0,"",INDEX('Vendor COIs'!$D$4:$D$503,(_calc!$E$822-500))))=0,"","Policy no.: "&amp;IF(LEN(INDEX('Vendor COIs'!$D$4:$D$503,(_calc!$E$822-500)))=0,"",INDEX('Vendor COIs'!$D$4:$D$503,(_calc!$E$822-500)))&amp;". ")&amp;IF(LEN(IF(LEN(INDEX('Vendor COIs'!$F$4:$F$503,(_calc!$E$822-500)))=0,"",INDEX('Vendor COIs'!$F$4:$F$503,(_calc!$E$822-500))))=0,"","Meets minimum: "&amp;IF(LEN(INDEX('Vendor COIs'!$F$4:$F$503,(_calc!$E$822-500)))=0,"",INDEX('Vendor COIs'!$F$4:$F$503,(_calc!$E$822-500)))&amp;". ")&amp;IF(LEN(IF(LEN(INDEX('Vendor COIs'!$G$4:$G$503,(_calc!$E$822-500)))=0,"",INDEX('Vendor COIs'!$G$4:$G$503,(_calc!$E$822-500))))=0,"","Additional insured: "&amp;IF(LEN(INDEX('Vendor COIs'!$G$4:$G$503,(_calc!$E$822-500)))=0,"",INDEX('Vendor COIs'!$G$4:$G$503,(_calc!$E$822-500)))&amp;". ")&amp;IF(LEN(IF(LEN(INDEX('Vendor COIs'!$M$4:$M$503,(_calc!$E$822-500)))=0,"",INDEX('Vendor COIs'!$M$4:$M$503,(_calc!$E$822-500))))=0,"","Vendor contact: "&amp;IF(LEN(INDEX('Vendor COIs'!$M$4:$M$503,(_calc!$E$822-500)))=0,"",INDEX('Vendor COIs'!$M$4:$M$503,(_calc!$E$822-500)))&amp;". ")&amp;IF(LEN(IF(LEN(INDEX('Vendor COIs'!$P$4:$P$503,(_calc!$E$822-500)))=0,"",INDEX('Vendor COIs'!$P$4:$P$503,(_calc!$E$822-500))))=0,"",IF(LEN(INDEX('Vendor COIs'!$P$4:$P$503,(_calc!$E$822-500)))=0,"",INDEX('Vendor COIs'!$P$4:$P$503,(_calc!$E$822-500)))))))</f>
        <v/>
      </c>
      <c r="G820" s="46">
        <f>IF(_calc!$E$822="","",IF(_calc!$E$822&lt;=500,IF(LEN(INDEX('Our policies'!$R$4:$R$503,_calc!$E$822))=0,"",INDEX('Our policies'!$R$4:$R$503,_calc!$E$822)),IF(LEN(INDEX('Vendor COIs'!$O$4:$O$503,(_calc!$E$822-500)))=0,"",INDEX('Vendor COIs'!$O$4:$O$503,(_calc!$E$822-500)))))</f>
        <v/>
      </c>
      <c r="H820" s="46">
        <f>IF(_calc!$E$822="","",IF(_calc!$E$822&lt;=500,IF(LEN(INDEX('Our policies'!$G$4:$G$503,_calc!$E$822))=0,"",INDEX('Our policies'!$G$4:$G$503,_calc!$E$822)),""))</f>
        <v/>
      </c>
      <c r="I820" s="46">
        <f>IF(_calc!$E$822="","",IF(_calc!$E$822&lt;=500,IF(LEN(INDEX('Our policies'!$H$4:$H$503,_calc!$E$822))=0,"",INDEX('Our policies'!$H$4:$H$503,_calc!$E$822)),""))</f>
        <v/>
      </c>
      <c r="K820" s="46">
        <f>IF(_calc!$E$822="","",IF(_calc!$E$822&lt;=500,IF(LEN(INDEX('Our policies'!$P$4:$P$503,_calc!$E$822))=0,"",INDEX('Our policies'!$P$4:$P$503,_calc!$E$822)),IF(LEN(INDEX('Vendor COIs'!$N$4:$N$503,(_calc!$E$822-500)))=0,"",INDEX('Vendor COIs'!$N$4:$N$503,(_calc!$E$822-500)))))</f>
        <v/>
      </c>
    </row>
    <row r="821">
      <c r="A821" s="46">
        <f>IF(_calc!$E$823="","",IF(_calc!$E$823&lt;=500,IF(LEN(INDEX('Our policies'!$A$4:$A$503,_calc!$E$823))=0,"",INDEX('Our policies'!$A$4:$A$503,_calc!$E$823)),"COI – "&amp;IF(LEN(INDEX('Vendor COIs'!$A$4:$A$503,(_calc!$E$823-500)))=0,"",INDEX('Vendor COIs'!$A$4:$A$503,(_calc!$E$823-500)))&amp;" – "&amp;IF(LEN(INDEX('Vendor COIs'!$B$4:$B$503,(_calc!$E$823-500)))=0,"",INDEX('Vendor COIs'!$B$4:$B$503,(_calc!$E$823-500)))))</f>
        <v/>
      </c>
      <c r="B821" s="46">
        <f>IF(_calc!$E$823="","",IF(_calc!$E$823&lt;=500,IF(ISNUMBER(INDEX('Our policies'!$J$4:$J$503,_calc!$E$823)),TEXT(INDEX('Our policies'!$J$4:$J$503,_calc!$E$823),"yyyy-mm-dd"),""),IF(ISNUMBER(INDEX('Vendor COIs'!$H$4:$H$503,(_calc!$E$823-500))),TEXT(INDEX('Vendor COIs'!$H$4:$H$503,(_calc!$E$823-500)),"yyyy-mm-dd"),"")))</f>
        <v/>
      </c>
      <c r="C821" s="46">
        <f>IF(_calc!$E$823="","",IF(_calc!$E$823&lt;=500,"Insurance","Certificate of insurance"))</f>
        <v/>
      </c>
      <c r="D821" s="46">
        <f>IF(_calc!$E$823="","",IF(_calc!$E$823&lt;=500,IF(ISNUMBER(INDEX('Our policies'!$I$4:$I$503,_calc!$E$823)),TEXT(INDEX('Our policies'!$I$4:$I$503,_calc!$E$823),"yyyy-mm-dd"),""),""))</f>
        <v/>
      </c>
      <c r="E821" s="46">
        <f>IF(_calc!$E$823="","",IF(_calc!$E$823&lt;=500,IF(LEN(INDEX('Our policies'!$Q$4:$Q$503,_calc!$E$823))=0,"",INDEX('Our policies'!$Q$4:$Q$503,_calc!$E$823)),"Medium"))</f>
        <v/>
      </c>
      <c r="F821" s="46">
        <f>IF(_calc!$E$823="","",IF(_calc!$E$823&lt;=500,TRIM(IF(LEN(IF(LEN(INDEX('Our policies'!$B$4:$B$503,_calc!$E$823))=0,"",INDEX('Our policies'!$B$4:$B$503,_calc!$E$823)))=0,"","Cover: "&amp;IF(LEN(INDEX('Our policies'!$B$4:$B$503,_calc!$E$823))=0,"",INDEX('Our policies'!$B$4:$B$503,_calc!$E$823))&amp;". ")&amp;IF(LEN(IF(LEN(INDEX('Our policies'!$C$4:$C$503,_calc!$E$823))=0,"",INDEX('Our policies'!$C$4:$C$503,_calc!$E$823)))=0,"","Insurer: "&amp;IF(LEN(INDEX('Our policies'!$C$4:$C$503,_calc!$E$823))=0,"",INDEX('Our policies'!$C$4:$C$503,_calc!$E$823))&amp;". ")&amp;IF(LEN(IF(LEN(INDEX('Our policies'!$D$4:$D$503,_calc!$E$823))=0,"",INDEX('Our policies'!$D$4:$D$503,_calc!$E$823)))=0,"","Broker: "&amp;IF(LEN(INDEX('Our policies'!$D$4:$D$503,_calc!$E$823))=0,"",INDEX('Our policies'!$D$4:$D$503,_calc!$E$823))&amp;". ")&amp;IF(LEN(IF(LEN(INDEX('Our policies'!$E$4:$E$503,_calc!$E$823))=0,"",INDEX('Our policies'!$E$4:$E$503,_calc!$E$823)))=0,"","Policy no.: "&amp;IF(LEN(INDEX('Our policies'!$E$4:$E$503,_calc!$E$823))=0,"",INDEX('Our policies'!$E$4:$E$503,_calc!$E$823))&amp;". ")&amp;IF(LEN(IF(LEN(INDEX('Our policies'!$S$4:$S$503,_calc!$E$823))=0,"",INDEX('Our policies'!$S$4:$S$503,_calc!$E$823)))=0,"",IF(LEN(INDEX('Our policies'!$S$4:$S$503,_calc!$E$823))=0,"",INDEX('Our policies'!$S$4:$S$503,_calc!$E$823)))),TRIM(IF(LEN(IF(LEN(INDEX('Vendor COIs'!$C$4:$C$503,(_calc!$E$823-500)))=0,"",INDEX('Vendor COIs'!$C$4:$C$503,(_calc!$E$823-500))))=0,"","Insurer: "&amp;IF(LEN(INDEX('Vendor COIs'!$C$4:$C$503,(_calc!$E$823-500)))=0,"",INDEX('Vendor COIs'!$C$4:$C$503,(_calc!$E$823-500)))&amp;". ")&amp;IF(LEN(IF(LEN(INDEX('Vendor COIs'!$D$4:$D$503,(_calc!$E$823-500)))=0,"",INDEX('Vendor COIs'!$D$4:$D$503,(_calc!$E$823-500))))=0,"","Policy no.: "&amp;IF(LEN(INDEX('Vendor COIs'!$D$4:$D$503,(_calc!$E$823-500)))=0,"",INDEX('Vendor COIs'!$D$4:$D$503,(_calc!$E$823-500)))&amp;". ")&amp;IF(LEN(IF(LEN(INDEX('Vendor COIs'!$F$4:$F$503,(_calc!$E$823-500)))=0,"",INDEX('Vendor COIs'!$F$4:$F$503,(_calc!$E$823-500))))=0,"","Meets minimum: "&amp;IF(LEN(INDEX('Vendor COIs'!$F$4:$F$503,(_calc!$E$823-500)))=0,"",INDEX('Vendor COIs'!$F$4:$F$503,(_calc!$E$823-500)))&amp;". ")&amp;IF(LEN(IF(LEN(INDEX('Vendor COIs'!$G$4:$G$503,(_calc!$E$823-500)))=0,"",INDEX('Vendor COIs'!$G$4:$G$503,(_calc!$E$823-500))))=0,"","Additional insured: "&amp;IF(LEN(INDEX('Vendor COIs'!$G$4:$G$503,(_calc!$E$823-500)))=0,"",INDEX('Vendor COIs'!$G$4:$G$503,(_calc!$E$823-500)))&amp;". ")&amp;IF(LEN(IF(LEN(INDEX('Vendor COIs'!$M$4:$M$503,(_calc!$E$823-500)))=0,"",INDEX('Vendor COIs'!$M$4:$M$503,(_calc!$E$823-500))))=0,"","Vendor contact: "&amp;IF(LEN(INDEX('Vendor COIs'!$M$4:$M$503,(_calc!$E$823-500)))=0,"",INDEX('Vendor COIs'!$M$4:$M$503,(_calc!$E$823-500)))&amp;". ")&amp;IF(LEN(IF(LEN(INDEX('Vendor COIs'!$P$4:$P$503,(_calc!$E$823-500)))=0,"",INDEX('Vendor COIs'!$P$4:$P$503,(_calc!$E$823-500))))=0,"",IF(LEN(INDEX('Vendor COIs'!$P$4:$P$503,(_calc!$E$823-500)))=0,"",INDEX('Vendor COIs'!$P$4:$P$503,(_calc!$E$823-500)))))))</f>
        <v/>
      </c>
      <c r="G821" s="46">
        <f>IF(_calc!$E$823="","",IF(_calc!$E$823&lt;=500,IF(LEN(INDEX('Our policies'!$R$4:$R$503,_calc!$E$823))=0,"",INDEX('Our policies'!$R$4:$R$503,_calc!$E$823)),IF(LEN(INDEX('Vendor COIs'!$O$4:$O$503,(_calc!$E$823-500)))=0,"",INDEX('Vendor COIs'!$O$4:$O$503,(_calc!$E$823-500)))))</f>
        <v/>
      </c>
      <c r="H821" s="46">
        <f>IF(_calc!$E$823="","",IF(_calc!$E$823&lt;=500,IF(LEN(INDEX('Our policies'!$G$4:$G$503,_calc!$E$823))=0,"",INDEX('Our policies'!$G$4:$G$503,_calc!$E$823)),""))</f>
        <v/>
      </c>
      <c r="I821" s="46">
        <f>IF(_calc!$E$823="","",IF(_calc!$E$823&lt;=500,IF(LEN(INDEX('Our policies'!$H$4:$H$503,_calc!$E$823))=0,"",INDEX('Our policies'!$H$4:$H$503,_calc!$E$823)),""))</f>
        <v/>
      </c>
      <c r="K821" s="46">
        <f>IF(_calc!$E$823="","",IF(_calc!$E$823&lt;=500,IF(LEN(INDEX('Our policies'!$P$4:$P$503,_calc!$E$823))=0,"",INDEX('Our policies'!$P$4:$P$503,_calc!$E$823)),IF(LEN(INDEX('Vendor COIs'!$N$4:$N$503,(_calc!$E$823-500)))=0,"",INDEX('Vendor COIs'!$N$4:$N$503,(_calc!$E$823-500)))))</f>
        <v/>
      </c>
    </row>
    <row r="822">
      <c r="A822" s="46">
        <f>IF(_calc!$E$824="","",IF(_calc!$E$824&lt;=500,IF(LEN(INDEX('Our policies'!$A$4:$A$503,_calc!$E$824))=0,"",INDEX('Our policies'!$A$4:$A$503,_calc!$E$824)),"COI – "&amp;IF(LEN(INDEX('Vendor COIs'!$A$4:$A$503,(_calc!$E$824-500)))=0,"",INDEX('Vendor COIs'!$A$4:$A$503,(_calc!$E$824-500)))&amp;" – "&amp;IF(LEN(INDEX('Vendor COIs'!$B$4:$B$503,(_calc!$E$824-500)))=0,"",INDEX('Vendor COIs'!$B$4:$B$503,(_calc!$E$824-500)))))</f>
        <v/>
      </c>
      <c r="B822" s="46">
        <f>IF(_calc!$E$824="","",IF(_calc!$E$824&lt;=500,IF(ISNUMBER(INDEX('Our policies'!$J$4:$J$503,_calc!$E$824)),TEXT(INDEX('Our policies'!$J$4:$J$503,_calc!$E$824),"yyyy-mm-dd"),""),IF(ISNUMBER(INDEX('Vendor COIs'!$H$4:$H$503,(_calc!$E$824-500))),TEXT(INDEX('Vendor COIs'!$H$4:$H$503,(_calc!$E$824-500)),"yyyy-mm-dd"),"")))</f>
        <v/>
      </c>
      <c r="C822" s="46">
        <f>IF(_calc!$E$824="","",IF(_calc!$E$824&lt;=500,"Insurance","Certificate of insurance"))</f>
        <v/>
      </c>
      <c r="D822" s="46">
        <f>IF(_calc!$E$824="","",IF(_calc!$E$824&lt;=500,IF(ISNUMBER(INDEX('Our policies'!$I$4:$I$503,_calc!$E$824)),TEXT(INDEX('Our policies'!$I$4:$I$503,_calc!$E$824),"yyyy-mm-dd"),""),""))</f>
        <v/>
      </c>
      <c r="E822" s="46">
        <f>IF(_calc!$E$824="","",IF(_calc!$E$824&lt;=500,IF(LEN(INDEX('Our policies'!$Q$4:$Q$503,_calc!$E$824))=0,"",INDEX('Our policies'!$Q$4:$Q$503,_calc!$E$824)),"Medium"))</f>
        <v/>
      </c>
      <c r="F822" s="46">
        <f>IF(_calc!$E$824="","",IF(_calc!$E$824&lt;=500,TRIM(IF(LEN(IF(LEN(INDEX('Our policies'!$B$4:$B$503,_calc!$E$824))=0,"",INDEX('Our policies'!$B$4:$B$503,_calc!$E$824)))=0,"","Cover: "&amp;IF(LEN(INDEX('Our policies'!$B$4:$B$503,_calc!$E$824))=0,"",INDEX('Our policies'!$B$4:$B$503,_calc!$E$824))&amp;". ")&amp;IF(LEN(IF(LEN(INDEX('Our policies'!$C$4:$C$503,_calc!$E$824))=0,"",INDEX('Our policies'!$C$4:$C$503,_calc!$E$824)))=0,"","Insurer: "&amp;IF(LEN(INDEX('Our policies'!$C$4:$C$503,_calc!$E$824))=0,"",INDEX('Our policies'!$C$4:$C$503,_calc!$E$824))&amp;". ")&amp;IF(LEN(IF(LEN(INDEX('Our policies'!$D$4:$D$503,_calc!$E$824))=0,"",INDEX('Our policies'!$D$4:$D$503,_calc!$E$824)))=0,"","Broker: "&amp;IF(LEN(INDEX('Our policies'!$D$4:$D$503,_calc!$E$824))=0,"",INDEX('Our policies'!$D$4:$D$503,_calc!$E$824))&amp;". ")&amp;IF(LEN(IF(LEN(INDEX('Our policies'!$E$4:$E$503,_calc!$E$824))=0,"",INDEX('Our policies'!$E$4:$E$503,_calc!$E$824)))=0,"","Policy no.: "&amp;IF(LEN(INDEX('Our policies'!$E$4:$E$503,_calc!$E$824))=0,"",INDEX('Our policies'!$E$4:$E$503,_calc!$E$824))&amp;". ")&amp;IF(LEN(IF(LEN(INDEX('Our policies'!$S$4:$S$503,_calc!$E$824))=0,"",INDEX('Our policies'!$S$4:$S$503,_calc!$E$824)))=0,"",IF(LEN(INDEX('Our policies'!$S$4:$S$503,_calc!$E$824))=0,"",INDEX('Our policies'!$S$4:$S$503,_calc!$E$824)))),TRIM(IF(LEN(IF(LEN(INDEX('Vendor COIs'!$C$4:$C$503,(_calc!$E$824-500)))=0,"",INDEX('Vendor COIs'!$C$4:$C$503,(_calc!$E$824-500))))=0,"","Insurer: "&amp;IF(LEN(INDEX('Vendor COIs'!$C$4:$C$503,(_calc!$E$824-500)))=0,"",INDEX('Vendor COIs'!$C$4:$C$503,(_calc!$E$824-500)))&amp;". ")&amp;IF(LEN(IF(LEN(INDEX('Vendor COIs'!$D$4:$D$503,(_calc!$E$824-500)))=0,"",INDEX('Vendor COIs'!$D$4:$D$503,(_calc!$E$824-500))))=0,"","Policy no.: "&amp;IF(LEN(INDEX('Vendor COIs'!$D$4:$D$503,(_calc!$E$824-500)))=0,"",INDEX('Vendor COIs'!$D$4:$D$503,(_calc!$E$824-500)))&amp;". ")&amp;IF(LEN(IF(LEN(INDEX('Vendor COIs'!$F$4:$F$503,(_calc!$E$824-500)))=0,"",INDEX('Vendor COIs'!$F$4:$F$503,(_calc!$E$824-500))))=0,"","Meets minimum: "&amp;IF(LEN(INDEX('Vendor COIs'!$F$4:$F$503,(_calc!$E$824-500)))=0,"",INDEX('Vendor COIs'!$F$4:$F$503,(_calc!$E$824-500)))&amp;". ")&amp;IF(LEN(IF(LEN(INDEX('Vendor COIs'!$G$4:$G$503,(_calc!$E$824-500)))=0,"",INDEX('Vendor COIs'!$G$4:$G$503,(_calc!$E$824-500))))=0,"","Additional insured: "&amp;IF(LEN(INDEX('Vendor COIs'!$G$4:$G$503,(_calc!$E$824-500)))=0,"",INDEX('Vendor COIs'!$G$4:$G$503,(_calc!$E$824-500)))&amp;". ")&amp;IF(LEN(IF(LEN(INDEX('Vendor COIs'!$M$4:$M$503,(_calc!$E$824-500)))=0,"",INDEX('Vendor COIs'!$M$4:$M$503,(_calc!$E$824-500))))=0,"","Vendor contact: "&amp;IF(LEN(INDEX('Vendor COIs'!$M$4:$M$503,(_calc!$E$824-500)))=0,"",INDEX('Vendor COIs'!$M$4:$M$503,(_calc!$E$824-500)))&amp;". ")&amp;IF(LEN(IF(LEN(INDEX('Vendor COIs'!$P$4:$P$503,(_calc!$E$824-500)))=0,"",INDEX('Vendor COIs'!$P$4:$P$503,(_calc!$E$824-500))))=0,"",IF(LEN(INDEX('Vendor COIs'!$P$4:$P$503,(_calc!$E$824-500)))=0,"",INDEX('Vendor COIs'!$P$4:$P$503,(_calc!$E$824-500)))))))</f>
        <v/>
      </c>
      <c r="G822" s="46">
        <f>IF(_calc!$E$824="","",IF(_calc!$E$824&lt;=500,IF(LEN(INDEX('Our policies'!$R$4:$R$503,_calc!$E$824))=0,"",INDEX('Our policies'!$R$4:$R$503,_calc!$E$824)),IF(LEN(INDEX('Vendor COIs'!$O$4:$O$503,(_calc!$E$824-500)))=0,"",INDEX('Vendor COIs'!$O$4:$O$503,(_calc!$E$824-500)))))</f>
        <v/>
      </c>
      <c r="H822" s="46">
        <f>IF(_calc!$E$824="","",IF(_calc!$E$824&lt;=500,IF(LEN(INDEX('Our policies'!$G$4:$G$503,_calc!$E$824))=0,"",INDEX('Our policies'!$G$4:$G$503,_calc!$E$824)),""))</f>
        <v/>
      </c>
      <c r="I822" s="46">
        <f>IF(_calc!$E$824="","",IF(_calc!$E$824&lt;=500,IF(LEN(INDEX('Our policies'!$H$4:$H$503,_calc!$E$824))=0,"",INDEX('Our policies'!$H$4:$H$503,_calc!$E$824)),""))</f>
        <v/>
      </c>
      <c r="K822" s="46">
        <f>IF(_calc!$E$824="","",IF(_calc!$E$824&lt;=500,IF(LEN(INDEX('Our policies'!$P$4:$P$503,_calc!$E$824))=0,"",INDEX('Our policies'!$P$4:$P$503,_calc!$E$824)),IF(LEN(INDEX('Vendor COIs'!$N$4:$N$503,(_calc!$E$824-500)))=0,"",INDEX('Vendor COIs'!$N$4:$N$503,(_calc!$E$824-500)))))</f>
        <v/>
      </c>
    </row>
    <row r="823">
      <c r="A823" s="46">
        <f>IF(_calc!$E$825="","",IF(_calc!$E$825&lt;=500,IF(LEN(INDEX('Our policies'!$A$4:$A$503,_calc!$E$825))=0,"",INDEX('Our policies'!$A$4:$A$503,_calc!$E$825)),"COI – "&amp;IF(LEN(INDEX('Vendor COIs'!$A$4:$A$503,(_calc!$E$825-500)))=0,"",INDEX('Vendor COIs'!$A$4:$A$503,(_calc!$E$825-500)))&amp;" – "&amp;IF(LEN(INDEX('Vendor COIs'!$B$4:$B$503,(_calc!$E$825-500)))=0,"",INDEX('Vendor COIs'!$B$4:$B$503,(_calc!$E$825-500)))))</f>
        <v/>
      </c>
      <c r="B823" s="46">
        <f>IF(_calc!$E$825="","",IF(_calc!$E$825&lt;=500,IF(ISNUMBER(INDEX('Our policies'!$J$4:$J$503,_calc!$E$825)),TEXT(INDEX('Our policies'!$J$4:$J$503,_calc!$E$825),"yyyy-mm-dd"),""),IF(ISNUMBER(INDEX('Vendor COIs'!$H$4:$H$503,(_calc!$E$825-500))),TEXT(INDEX('Vendor COIs'!$H$4:$H$503,(_calc!$E$825-500)),"yyyy-mm-dd"),"")))</f>
        <v/>
      </c>
      <c r="C823" s="46">
        <f>IF(_calc!$E$825="","",IF(_calc!$E$825&lt;=500,"Insurance","Certificate of insurance"))</f>
        <v/>
      </c>
      <c r="D823" s="46">
        <f>IF(_calc!$E$825="","",IF(_calc!$E$825&lt;=500,IF(ISNUMBER(INDEX('Our policies'!$I$4:$I$503,_calc!$E$825)),TEXT(INDEX('Our policies'!$I$4:$I$503,_calc!$E$825),"yyyy-mm-dd"),""),""))</f>
        <v/>
      </c>
      <c r="E823" s="46">
        <f>IF(_calc!$E$825="","",IF(_calc!$E$825&lt;=500,IF(LEN(INDEX('Our policies'!$Q$4:$Q$503,_calc!$E$825))=0,"",INDEX('Our policies'!$Q$4:$Q$503,_calc!$E$825)),"Medium"))</f>
        <v/>
      </c>
      <c r="F823" s="46">
        <f>IF(_calc!$E$825="","",IF(_calc!$E$825&lt;=500,TRIM(IF(LEN(IF(LEN(INDEX('Our policies'!$B$4:$B$503,_calc!$E$825))=0,"",INDEX('Our policies'!$B$4:$B$503,_calc!$E$825)))=0,"","Cover: "&amp;IF(LEN(INDEX('Our policies'!$B$4:$B$503,_calc!$E$825))=0,"",INDEX('Our policies'!$B$4:$B$503,_calc!$E$825))&amp;". ")&amp;IF(LEN(IF(LEN(INDEX('Our policies'!$C$4:$C$503,_calc!$E$825))=0,"",INDEX('Our policies'!$C$4:$C$503,_calc!$E$825)))=0,"","Insurer: "&amp;IF(LEN(INDEX('Our policies'!$C$4:$C$503,_calc!$E$825))=0,"",INDEX('Our policies'!$C$4:$C$503,_calc!$E$825))&amp;". ")&amp;IF(LEN(IF(LEN(INDEX('Our policies'!$D$4:$D$503,_calc!$E$825))=0,"",INDEX('Our policies'!$D$4:$D$503,_calc!$E$825)))=0,"","Broker: "&amp;IF(LEN(INDEX('Our policies'!$D$4:$D$503,_calc!$E$825))=0,"",INDEX('Our policies'!$D$4:$D$503,_calc!$E$825))&amp;". ")&amp;IF(LEN(IF(LEN(INDEX('Our policies'!$E$4:$E$503,_calc!$E$825))=0,"",INDEX('Our policies'!$E$4:$E$503,_calc!$E$825)))=0,"","Policy no.: "&amp;IF(LEN(INDEX('Our policies'!$E$4:$E$503,_calc!$E$825))=0,"",INDEX('Our policies'!$E$4:$E$503,_calc!$E$825))&amp;". ")&amp;IF(LEN(IF(LEN(INDEX('Our policies'!$S$4:$S$503,_calc!$E$825))=0,"",INDEX('Our policies'!$S$4:$S$503,_calc!$E$825)))=0,"",IF(LEN(INDEX('Our policies'!$S$4:$S$503,_calc!$E$825))=0,"",INDEX('Our policies'!$S$4:$S$503,_calc!$E$825)))),TRIM(IF(LEN(IF(LEN(INDEX('Vendor COIs'!$C$4:$C$503,(_calc!$E$825-500)))=0,"",INDEX('Vendor COIs'!$C$4:$C$503,(_calc!$E$825-500))))=0,"","Insurer: "&amp;IF(LEN(INDEX('Vendor COIs'!$C$4:$C$503,(_calc!$E$825-500)))=0,"",INDEX('Vendor COIs'!$C$4:$C$503,(_calc!$E$825-500)))&amp;". ")&amp;IF(LEN(IF(LEN(INDEX('Vendor COIs'!$D$4:$D$503,(_calc!$E$825-500)))=0,"",INDEX('Vendor COIs'!$D$4:$D$503,(_calc!$E$825-500))))=0,"","Policy no.: "&amp;IF(LEN(INDEX('Vendor COIs'!$D$4:$D$503,(_calc!$E$825-500)))=0,"",INDEX('Vendor COIs'!$D$4:$D$503,(_calc!$E$825-500)))&amp;". ")&amp;IF(LEN(IF(LEN(INDEX('Vendor COIs'!$F$4:$F$503,(_calc!$E$825-500)))=0,"",INDEX('Vendor COIs'!$F$4:$F$503,(_calc!$E$825-500))))=0,"","Meets minimum: "&amp;IF(LEN(INDEX('Vendor COIs'!$F$4:$F$503,(_calc!$E$825-500)))=0,"",INDEX('Vendor COIs'!$F$4:$F$503,(_calc!$E$825-500)))&amp;". ")&amp;IF(LEN(IF(LEN(INDEX('Vendor COIs'!$G$4:$G$503,(_calc!$E$825-500)))=0,"",INDEX('Vendor COIs'!$G$4:$G$503,(_calc!$E$825-500))))=0,"","Additional insured: "&amp;IF(LEN(INDEX('Vendor COIs'!$G$4:$G$503,(_calc!$E$825-500)))=0,"",INDEX('Vendor COIs'!$G$4:$G$503,(_calc!$E$825-500)))&amp;". ")&amp;IF(LEN(IF(LEN(INDEX('Vendor COIs'!$M$4:$M$503,(_calc!$E$825-500)))=0,"",INDEX('Vendor COIs'!$M$4:$M$503,(_calc!$E$825-500))))=0,"","Vendor contact: "&amp;IF(LEN(INDEX('Vendor COIs'!$M$4:$M$503,(_calc!$E$825-500)))=0,"",INDEX('Vendor COIs'!$M$4:$M$503,(_calc!$E$825-500)))&amp;". ")&amp;IF(LEN(IF(LEN(INDEX('Vendor COIs'!$P$4:$P$503,(_calc!$E$825-500)))=0,"",INDEX('Vendor COIs'!$P$4:$P$503,(_calc!$E$825-500))))=0,"",IF(LEN(INDEX('Vendor COIs'!$P$4:$P$503,(_calc!$E$825-500)))=0,"",INDEX('Vendor COIs'!$P$4:$P$503,(_calc!$E$825-500)))))))</f>
        <v/>
      </c>
      <c r="G823" s="46">
        <f>IF(_calc!$E$825="","",IF(_calc!$E$825&lt;=500,IF(LEN(INDEX('Our policies'!$R$4:$R$503,_calc!$E$825))=0,"",INDEX('Our policies'!$R$4:$R$503,_calc!$E$825)),IF(LEN(INDEX('Vendor COIs'!$O$4:$O$503,(_calc!$E$825-500)))=0,"",INDEX('Vendor COIs'!$O$4:$O$503,(_calc!$E$825-500)))))</f>
        <v/>
      </c>
      <c r="H823" s="46">
        <f>IF(_calc!$E$825="","",IF(_calc!$E$825&lt;=500,IF(LEN(INDEX('Our policies'!$G$4:$G$503,_calc!$E$825))=0,"",INDEX('Our policies'!$G$4:$G$503,_calc!$E$825)),""))</f>
        <v/>
      </c>
      <c r="I823" s="46">
        <f>IF(_calc!$E$825="","",IF(_calc!$E$825&lt;=500,IF(LEN(INDEX('Our policies'!$H$4:$H$503,_calc!$E$825))=0,"",INDEX('Our policies'!$H$4:$H$503,_calc!$E$825)),""))</f>
        <v/>
      </c>
      <c r="K823" s="46">
        <f>IF(_calc!$E$825="","",IF(_calc!$E$825&lt;=500,IF(LEN(INDEX('Our policies'!$P$4:$P$503,_calc!$E$825))=0,"",INDEX('Our policies'!$P$4:$P$503,_calc!$E$825)),IF(LEN(INDEX('Vendor COIs'!$N$4:$N$503,(_calc!$E$825-500)))=0,"",INDEX('Vendor COIs'!$N$4:$N$503,(_calc!$E$825-500)))))</f>
        <v/>
      </c>
    </row>
    <row r="824">
      <c r="A824" s="46">
        <f>IF(_calc!$E$826="","",IF(_calc!$E$826&lt;=500,IF(LEN(INDEX('Our policies'!$A$4:$A$503,_calc!$E$826))=0,"",INDEX('Our policies'!$A$4:$A$503,_calc!$E$826)),"COI – "&amp;IF(LEN(INDEX('Vendor COIs'!$A$4:$A$503,(_calc!$E$826-500)))=0,"",INDEX('Vendor COIs'!$A$4:$A$503,(_calc!$E$826-500)))&amp;" – "&amp;IF(LEN(INDEX('Vendor COIs'!$B$4:$B$503,(_calc!$E$826-500)))=0,"",INDEX('Vendor COIs'!$B$4:$B$503,(_calc!$E$826-500)))))</f>
        <v/>
      </c>
      <c r="B824" s="46">
        <f>IF(_calc!$E$826="","",IF(_calc!$E$826&lt;=500,IF(ISNUMBER(INDEX('Our policies'!$J$4:$J$503,_calc!$E$826)),TEXT(INDEX('Our policies'!$J$4:$J$503,_calc!$E$826),"yyyy-mm-dd"),""),IF(ISNUMBER(INDEX('Vendor COIs'!$H$4:$H$503,(_calc!$E$826-500))),TEXT(INDEX('Vendor COIs'!$H$4:$H$503,(_calc!$E$826-500)),"yyyy-mm-dd"),"")))</f>
        <v/>
      </c>
      <c r="C824" s="46">
        <f>IF(_calc!$E$826="","",IF(_calc!$E$826&lt;=500,"Insurance","Certificate of insurance"))</f>
        <v/>
      </c>
      <c r="D824" s="46">
        <f>IF(_calc!$E$826="","",IF(_calc!$E$826&lt;=500,IF(ISNUMBER(INDEX('Our policies'!$I$4:$I$503,_calc!$E$826)),TEXT(INDEX('Our policies'!$I$4:$I$503,_calc!$E$826),"yyyy-mm-dd"),""),""))</f>
        <v/>
      </c>
      <c r="E824" s="46">
        <f>IF(_calc!$E$826="","",IF(_calc!$E$826&lt;=500,IF(LEN(INDEX('Our policies'!$Q$4:$Q$503,_calc!$E$826))=0,"",INDEX('Our policies'!$Q$4:$Q$503,_calc!$E$826)),"Medium"))</f>
        <v/>
      </c>
      <c r="F824" s="46">
        <f>IF(_calc!$E$826="","",IF(_calc!$E$826&lt;=500,TRIM(IF(LEN(IF(LEN(INDEX('Our policies'!$B$4:$B$503,_calc!$E$826))=0,"",INDEX('Our policies'!$B$4:$B$503,_calc!$E$826)))=0,"","Cover: "&amp;IF(LEN(INDEX('Our policies'!$B$4:$B$503,_calc!$E$826))=0,"",INDEX('Our policies'!$B$4:$B$503,_calc!$E$826))&amp;". ")&amp;IF(LEN(IF(LEN(INDEX('Our policies'!$C$4:$C$503,_calc!$E$826))=0,"",INDEX('Our policies'!$C$4:$C$503,_calc!$E$826)))=0,"","Insurer: "&amp;IF(LEN(INDEX('Our policies'!$C$4:$C$503,_calc!$E$826))=0,"",INDEX('Our policies'!$C$4:$C$503,_calc!$E$826))&amp;". ")&amp;IF(LEN(IF(LEN(INDEX('Our policies'!$D$4:$D$503,_calc!$E$826))=0,"",INDEX('Our policies'!$D$4:$D$503,_calc!$E$826)))=0,"","Broker: "&amp;IF(LEN(INDEX('Our policies'!$D$4:$D$503,_calc!$E$826))=0,"",INDEX('Our policies'!$D$4:$D$503,_calc!$E$826))&amp;". ")&amp;IF(LEN(IF(LEN(INDEX('Our policies'!$E$4:$E$503,_calc!$E$826))=0,"",INDEX('Our policies'!$E$4:$E$503,_calc!$E$826)))=0,"","Policy no.: "&amp;IF(LEN(INDEX('Our policies'!$E$4:$E$503,_calc!$E$826))=0,"",INDEX('Our policies'!$E$4:$E$503,_calc!$E$826))&amp;". ")&amp;IF(LEN(IF(LEN(INDEX('Our policies'!$S$4:$S$503,_calc!$E$826))=0,"",INDEX('Our policies'!$S$4:$S$503,_calc!$E$826)))=0,"",IF(LEN(INDEX('Our policies'!$S$4:$S$503,_calc!$E$826))=0,"",INDEX('Our policies'!$S$4:$S$503,_calc!$E$826)))),TRIM(IF(LEN(IF(LEN(INDEX('Vendor COIs'!$C$4:$C$503,(_calc!$E$826-500)))=0,"",INDEX('Vendor COIs'!$C$4:$C$503,(_calc!$E$826-500))))=0,"","Insurer: "&amp;IF(LEN(INDEX('Vendor COIs'!$C$4:$C$503,(_calc!$E$826-500)))=0,"",INDEX('Vendor COIs'!$C$4:$C$503,(_calc!$E$826-500)))&amp;". ")&amp;IF(LEN(IF(LEN(INDEX('Vendor COIs'!$D$4:$D$503,(_calc!$E$826-500)))=0,"",INDEX('Vendor COIs'!$D$4:$D$503,(_calc!$E$826-500))))=0,"","Policy no.: "&amp;IF(LEN(INDEX('Vendor COIs'!$D$4:$D$503,(_calc!$E$826-500)))=0,"",INDEX('Vendor COIs'!$D$4:$D$503,(_calc!$E$826-500)))&amp;". ")&amp;IF(LEN(IF(LEN(INDEX('Vendor COIs'!$F$4:$F$503,(_calc!$E$826-500)))=0,"",INDEX('Vendor COIs'!$F$4:$F$503,(_calc!$E$826-500))))=0,"","Meets minimum: "&amp;IF(LEN(INDEX('Vendor COIs'!$F$4:$F$503,(_calc!$E$826-500)))=0,"",INDEX('Vendor COIs'!$F$4:$F$503,(_calc!$E$826-500)))&amp;". ")&amp;IF(LEN(IF(LEN(INDEX('Vendor COIs'!$G$4:$G$503,(_calc!$E$826-500)))=0,"",INDEX('Vendor COIs'!$G$4:$G$503,(_calc!$E$826-500))))=0,"","Additional insured: "&amp;IF(LEN(INDEX('Vendor COIs'!$G$4:$G$503,(_calc!$E$826-500)))=0,"",INDEX('Vendor COIs'!$G$4:$G$503,(_calc!$E$826-500)))&amp;". ")&amp;IF(LEN(IF(LEN(INDEX('Vendor COIs'!$M$4:$M$503,(_calc!$E$826-500)))=0,"",INDEX('Vendor COIs'!$M$4:$M$503,(_calc!$E$826-500))))=0,"","Vendor contact: "&amp;IF(LEN(INDEX('Vendor COIs'!$M$4:$M$503,(_calc!$E$826-500)))=0,"",INDEX('Vendor COIs'!$M$4:$M$503,(_calc!$E$826-500)))&amp;". ")&amp;IF(LEN(IF(LEN(INDEX('Vendor COIs'!$P$4:$P$503,(_calc!$E$826-500)))=0,"",INDEX('Vendor COIs'!$P$4:$P$503,(_calc!$E$826-500))))=0,"",IF(LEN(INDEX('Vendor COIs'!$P$4:$P$503,(_calc!$E$826-500)))=0,"",INDEX('Vendor COIs'!$P$4:$P$503,(_calc!$E$826-500)))))))</f>
        <v/>
      </c>
      <c r="G824" s="46">
        <f>IF(_calc!$E$826="","",IF(_calc!$E$826&lt;=500,IF(LEN(INDEX('Our policies'!$R$4:$R$503,_calc!$E$826))=0,"",INDEX('Our policies'!$R$4:$R$503,_calc!$E$826)),IF(LEN(INDEX('Vendor COIs'!$O$4:$O$503,(_calc!$E$826-500)))=0,"",INDEX('Vendor COIs'!$O$4:$O$503,(_calc!$E$826-500)))))</f>
        <v/>
      </c>
      <c r="H824" s="46">
        <f>IF(_calc!$E$826="","",IF(_calc!$E$826&lt;=500,IF(LEN(INDEX('Our policies'!$G$4:$G$503,_calc!$E$826))=0,"",INDEX('Our policies'!$G$4:$G$503,_calc!$E$826)),""))</f>
        <v/>
      </c>
      <c r="I824" s="46">
        <f>IF(_calc!$E$826="","",IF(_calc!$E$826&lt;=500,IF(LEN(INDEX('Our policies'!$H$4:$H$503,_calc!$E$826))=0,"",INDEX('Our policies'!$H$4:$H$503,_calc!$E$826)),""))</f>
        <v/>
      </c>
      <c r="K824" s="46">
        <f>IF(_calc!$E$826="","",IF(_calc!$E$826&lt;=500,IF(LEN(INDEX('Our policies'!$P$4:$P$503,_calc!$E$826))=0,"",INDEX('Our policies'!$P$4:$P$503,_calc!$E$826)),IF(LEN(INDEX('Vendor COIs'!$N$4:$N$503,(_calc!$E$826-500)))=0,"",INDEX('Vendor COIs'!$N$4:$N$503,(_calc!$E$826-500)))))</f>
        <v/>
      </c>
    </row>
    <row r="825">
      <c r="A825" s="46">
        <f>IF(_calc!$E$827="","",IF(_calc!$E$827&lt;=500,IF(LEN(INDEX('Our policies'!$A$4:$A$503,_calc!$E$827))=0,"",INDEX('Our policies'!$A$4:$A$503,_calc!$E$827)),"COI – "&amp;IF(LEN(INDEX('Vendor COIs'!$A$4:$A$503,(_calc!$E$827-500)))=0,"",INDEX('Vendor COIs'!$A$4:$A$503,(_calc!$E$827-500)))&amp;" – "&amp;IF(LEN(INDEX('Vendor COIs'!$B$4:$B$503,(_calc!$E$827-500)))=0,"",INDEX('Vendor COIs'!$B$4:$B$503,(_calc!$E$827-500)))))</f>
        <v/>
      </c>
      <c r="B825" s="46">
        <f>IF(_calc!$E$827="","",IF(_calc!$E$827&lt;=500,IF(ISNUMBER(INDEX('Our policies'!$J$4:$J$503,_calc!$E$827)),TEXT(INDEX('Our policies'!$J$4:$J$503,_calc!$E$827),"yyyy-mm-dd"),""),IF(ISNUMBER(INDEX('Vendor COIs'!$H$4:$H$503,(_calc!$E$827-500))),TEXT(INDEX('Vendor COIs'!$H$4:$H$503,(_calc!$E$827-500)),"yyyy-mm-dd"),"")))</f>
        <v/>
      </c>
      <c r="C825" s="46">
        <f>IF(_calc!$E$827="","",IF(_calc!$E$827&lt;=500,"Insurance","Certificate of insurance"))</f>
        <v/>
      </c>
      <c r="D825" s="46">
        <f>IF(_calc!$E$827="","",IF(_calc!$E$827&lt;=500,IF(ISNUMBER(INDEX('Our policies'!$I$4:$I$503,_calc!$E$827)),TEXT(INDEX('Our policies'!$I$4:$I$503,_calc!$E$827),"yyyy-mm-dd"),""),""))</f>
        <v/>
      </c>
      <c r="E825" s="46">
        <f>IF(_calc!$E$827="","",IF(_calc!$E$827&lt;=500,IF(LEN(INDEX('Our policies'!$Q$4:$Q$503,_calc!$E$827))=0,"",INDEX('Our policies'!$Q$4:$Q$503,_calc!$E$827)),"Medium"))</f>
        <v/>
      </c>
      <c r="F825" s="46">
        <f>IF(_calc!$E$827="","",IF(_calc!$E$827&lt;=500,TRIM(IF(LEN(IF(LEN(INDEX('Our policies'!$B$4:$B$503,_calc!$E$827))=0,"",INDEX('Our policies'!$B$4:$B$503,_calc!$E$827)))=0,"","Cover: "&amp;IF(LEN(INDEX('Our policies'!$B$4:$B$503,_calc!$E$827))=0,"",INDEX('Our policies'!$B$4:$B$503,_calc!$E$827))&amp;". ")&amp;IF(LEN(IF(LEN(INDEX('Our policies'!$C$4:$C$503,_calc!$E$827))=0,"",INDEX('Our policies'!$C$4:$C$503,_calc!$E$827)))=0,"","Insurer: "&amp;IF(LEN(INDEX('Our policies'!$C$4:$C$503,_calc!$E$827))=0,"",INDEX('Our policies'!$C$4:$C$503,_calc!$E$827))&amp;". ")&amp;IF(LEN(IF(LEN(INDEX('Our policies'!$D$4:$D$503,_calc!$E$827))=0,"",INDEX('Our policies'!$D$4:$D$503,_calc!$E$827)))=0,"","Broker: "&amp;IF(LEN(INDEX('Our policies'!$D$4:$D$503,_calc!$E$827))=0,"",INDEX('Our policies'!$D$4:$D$503,_calc!$E$827))&amp;". ")&amp;IF(LEN(IF(LEN(INDEX('Our policies'!$E$4:$E$503,_calc!$E$827))=0,"",INDEX('Our policies'!$E$4:$E$503,_calc!$E$827)))=0,"","Policy no.: "&amp;IF(LEN(INDEX('Our policies'!$E$4:$E$503,_calc!$E$827))=0,"",INDEX('Our policies'!$E$4:$E$503,_calc!$E$827))&amp;". ")&amp;IF(LEN(IF(LEN(INDEX('Our policies'!$S$4:$S$503,_calc!$E$827))=0,"",INDEX('Our policies'!$S$4:$S$503,_calc!$E$827)))=0,"",IF(LEN(INDEX('Our policies'!$S$4:$S$503,_calc!$E$827))=0,"",INDEX('Our policies'!$S$4:$S$503,_calc!$E$827)))),TRIM(IF(LEN(IF(LEN(INDEX('Vendor COIs'!$C$4:$C$503,(_calc!$E$827-500)))=0,"",INDEX('Vendor COIs'!$C$4:$C$503,(_calc!$E$827-500))))=0,"","Insurer: "&amp;IF(LEN(INDEX('Vendor COIs'!$C$4:$C$503,(_calc!$E$827-500)))=0,"",INDEX('Vendor COIs'!$C$4:$C$503,(_calc!$E$827-500)))&amp;". ")&amp;IF(LEN(IF(LEN(INDEX('Vendor COIs'!$D$4:$D$503,(_calc!$E$827-500)))=0,"",INDEX('Vendor COIs'!$D$4:$D$503,(_calc!$E$827-500))))=0,"","Policy no.: "&amp;IF(LEN(INDEX('Vendor COIs'!$D$4:$D$503,(_calc!$E$827-500)))=0,"",INDEX('Vendor COIs'!$D$4:$D$503,(_calc!$E$827-500)))&amp;". ")&amp;IF(LEN(IF(LEN(INDEX('Vendor COIs'!$F$4:$F$503,(_calc!$E$827-500)))=0,"",INDEX('Vendor COIs'!$F$4:$F$503,(_calc!$E$827-500))))=0,"","Meets minimum: "&amp;IF(LEN(INDEX('Vendor COIs'!$F$4:$F$503,(_calc!$E$827-500)))=0,"",INDEX('Vendor COIs'!$F$4:$F$503,(_calc!$E$827-500)))&amp;". ")&amp;IF(LEN(IF(LEN(INDEX('Vendor COIs'!$G$4:$G$503,(_calc!$E$827-500)))=0,"",INDEX('Vendor COIs'!$G$4:$G$503,(_calc!$E$827-500))))=0,"","Additional insured: "&amp;IF(LEN(INDEX('Vendor COIs'!$G$4:$G$503,(_calc!$E$827-500)))=0,"",INDEX('Vendor COIs'!$G$4:$G$503,(_calc!$E$827-500)))&amp;". ")&amp;IF(LEN(IF(LEN(INDEX('Vendor COIs'!$M$4:$M$503,(_calc!$E$827-500)))=0,"",INDEX('Vendor COIs'!$M$4:$M$503,(_calc!$E$827-500))))=0,"","Vendor contact: "&amp;IF(LEN(INDEX('Vendor COIs'!$M$4:$M$503,(_calc!$E$827-500)))=0,"",INDEX('Vendor COIs'!$M$4:$M$503,(_calc!$E$827-500)))&amp;". ")&amp;IF(LEN(IF(LEN(INDEX('Vendor COIs'!$P$4:$P$503,(_calc!$E$827-500)))=0,"",INDEX('Vendor COIs'!$P$4:$P$503,(_calc!$E$827-500))))=0,"",IF(LEN(INDEX('Vendor COIs'!$P$4:$P$503,(_calc!$E$827-500)))=0,"",INDEX('Vendor COIs'!$P$4:$P$503,(_calc!$E$827-500)))))))</f>
        <v/>
      </c>
      <c r="G825" s="46">
        <f>IF(_calc!$E$827="","",IF(_calc!$E$827&lt;=500,IF(LEN(INDEX('Our policies'!$R$4:$R$503,_calc!$E$827))=0,"",INDEX('Our policies'!$R$4:$R$503,_calc!$E$827)),IF(LEN(INDEX('Vendor COIs'!$O$4:$O$503,(_calc!$E$827-500)))=0,"",INDEX('Vendor COIs'!$O$4:$O$503,(_calc!$E$827-500)))))</f>
        <v/>
      </c>
      <c r="H825" s="46">
        <f>IF(_calc!$E$827="","",IF(_calc!$E$827&lt;=500,IF(LEN(INDEX('Our policies'!$G$4:$G$503,_calc!$E$827))=0,"",INDEX('Our policies'!$G$4:$G$503,_calc!$E$827)),""))</f>
        <v/>
      </c>
      <c r="I825" s="46">
        <f>IF(_calc!$E$827="","",IF(_calc!$E$827&lt;=500,IF(LEN(INDEX('Our policies'!$H$4:$H$503,_calc!$E$827))=0,"",INDEX('Our policies'!$H$4:$H$503,_calc!$E$827)),""))</f>
        <v/>
      </c>
      <c r="K825" s="46">
        <f>IF(_calc!$E$827="","",IF(_calc!$E$827&lt;=500,IF(LEN(INDEX('Our policies'!$P$4:$P$503,_calc!$E$827))=0,"",INDEX('Our policies'!$P$4:$P$503,_calc!$E$827)),IF(LEN(INDEX('Vendor COIs'!$N$4:$N$503,(_calc!$E$827-500)))=0,"",INDEX('Vendor COIs'!$N$4:$N$503,(_calc!$E$827-500)))))</f>
        <v/>
      </c>
    </row>
    <row r="826">
      <c r="A826" s="46">
        <f>IF(_calc!$E$828="","",IF(_calc!$E$828&lt;=500,IF(LEN(INDEX('Our policies'!$A$4:$A$503,_calc!$E$828))=0,"",INDEX('Our policies'!$A$4:$A$503,_calc!$E$828)),"COI – "&amp;IF(LEN(INDEX('Vendor COIs'!$A$4:$A$503,(_calc!$E$828-500)))=0,"",INDEX('Vendor COIs'!$A$4:$A$503,(_calc!$E$828-500)))&amp;" – "&amp;IF(LEN(INDEX('Vendor COIs'!$B$4:$B$503,(_calc!$E$828-500)))=0,"",INDEX('Vendor COIs'!$B$4:$B$503,(_calc!$E$828-500)))))</f>
        <v/>
      </c>
      <c r="B826" s="46">
        <f>IF(_calc!$E$828="","",IF(_calc!$E$828&lt;=500,IF(ISNUMBER(INDEX('Our policies'!$J$4:$J$503,_calc!$E$828)),TEXT(INDEX('Our policies'!$J$4:$J$503,_calc!$E$828),"yyyy-mm-dd"),""),IF(ISNUMBER(INDEX('Vendor COIs'!$H$4:$H$503,(_calc!$E$828-500))),TEXT(INDEX('Vendor COIs'!$H$4:$H$503,(_calc!$E$828-500)),"yyyy-mm-dd"),"")))</f>
        <v/>
      </c>
      <c r="C826" s="46">
        <f>IF(_calc!$E$828="","",IF(_calc!$E$828&lt;=500,"Insurance","Certificate of insurance"))</f>
        <v/>
      </c>
      <c r="D826" s="46">
        <f>IF(_calc!$E$828="","",IF(_calc!$E$828&lt;=500,IF(ISNUMBER(INDEX('Our policies'!$I$4:$I$503,_calc!$E$828)),TEXT(INDEX('Our policies'!$I$4:$I$503,_calc!$E$828),"yyyy-mm-dd"),""),""))</f>
        <v/>
      </c>
      <c r="E826" s="46">
        <f>IF(_calc!$E$828="","",IF(_calc!$E$828&lt;=500,IF(LEN(INDEX('Our policies'!$Q$4:$Q$503,_calc!$E$828))=0,"",INDEX('Our policies'!$Q$4:$Q$503,_calc!$E$828)),"Medium"))</f>
        <v/>
      </c>
      <c r="F826" s="46">
        <f>IF(_calc!$E$828="","",IF(_calc!$E$828&lt;=500,TRIM(IF(LEN(IF(LEN(INDEX('Our policies'!$B$4:$B$503,_calc!$E$828))=0,"",INDEX('Our policies'!$B$4:$B$503,_calc!$E$828)))=0,"","Cover: "&amp;IF(LEN(INDEX('Our policies'!$B$4:$B$503,_calc!$E$828))=0,"",INDEX('Our policies'!$B$4:$B$503,_calc!$E$828))&amp;". ")&amp;IF(LEN(IF(LEN(INDEX('Our policies'!$C$4:$C$503,_calc!$E$828))=0,"",INDEX('Our policies'!$C$4:$C$503,_calc!$E$828)))=0,"","Insurer: "&amp;IF(LEN(INDEX('Our policies'!$C$4:$C$503,_calc!$E$828))=0,"",INDEX('Our policies'!$C$4:$C$503,_calc!$E$828))&amp;". ")&amp;IF(LEN(IF(LEN(INDEX('Our policies'!$D$4:$D$503,_calc!$E$828))=0,"",INDEX('Our policies'!$D$4:$D$503,_calc!$E$828)))=0,"","Broker: "&amp;IF(LEN(INDEX('Our policies'!$D$4:$D$503,_calc!$E$828))=0,"",INDEX('Our policies'!$D$4:$D$503,_calc!$E$828))&amp;". ")&amp;IF(LEN(IF(LEN(INDEX('Our policies'!$E$4:$E$503,_calc!$E$828))=0,"",INDEX('Our policies'!$E$4:$E$503,_calc!$E$828)))=0,"","Policy no.: "&amp;IF(LEN(INDEX('Our policies'!$E$4:$E$503,_calc!$E$828))=0,"",INDEX('Our policies'!$E$4:$E$503,_calc!$E$828))&amp;". ")&amp;IF(LEN(IF(LEN(INDEX('Our policies'!$S$4:$S$503,_calc!$E$828))=0,"",INDEX('Our policies'!$S$4:$S$503,_calc!$E$828)))=0,"",IF(LEN(INDEX('Our policies'!$S$4:$S$503,_calc!$E$828))=0,"",INDEX('Our policies'!$S$4:$S$503,_calc!$E$828)))),TRIM(IF(LEN(IF(LEN(INDEX('Vendor COIs'!$C$4:$C$503,(_calc!$E$828-500)))=0,"",INDEX('Vendor COIs'!$C$4:$C$503,(_calc!$E$828-500))))=0,"","Insurer: "&amp;IF(LEN(INDEX('Vendor COIs'!$C$4:$C$503,(_calc!$E$828-500)))=0,"",INDEX('Vendor COIs'!$C$4:$C$503,(_calc!$E$828-500)))&amp;". ")&amp;IF(LEN(IF(LEN(INDEX('Vendor COIs'!$D$4:$D$503,(_calc!$E$828-500)))=0,"",INDEX('Vendor COIs'!$D$4:$D$503,(_calc!$E$828-500))))=0,"","Policy no.: "&amp;IF(LEN(INDEX('Vendor COIs'!$D$4:$D$503,(_calc!$E$828-500)))=0,"",INDEX('Vendor COIs'!$D$4:$D$503,(_calc!$E$828-500)))&amp;". ")&amp;IF(LEN(IF(LEN(INDEX('Vendor COIs'!$F$4:$F$503,(_calc!$E$828-500)))=0,"",INDEX('Vendor COIs'!$F$4:$F$503,(_calc!$E$828-500))))=0,"","Meets minimum: "&amp;IF(LEN(INDEX('Vendor COIs'!$F$4:$F$503,(_calc!$E$828-500)))=0,"",INDEX('Vendor COIs'!$F$4:$F$503,(_calc!$E$828-500)))&amp;". ")&amp;IF(LEN(IF(LEN(INDEX('Vendor COIs'!$G$4:$G$503,(_calc!$E$828-500)))=0,"",INDEX('Vendor COIs'!$G$4:$G$503,(_calc!$E$828-500))))=0,"","Additional insured: "&amp;IF(LEN(INDEX('Vendor COIs'!$G$4:$G$503,(_calc!$E$828-500)))=0,"",INDEX('Vendor COIs'!$G$4:$G$503,(_calc!$E$828-500)))&amp;". ")&amp;IF(LEN(IF(LEN(INDEX('Vendor COIs'!$M$4:$M$503,(_calc!$E$828-500)))=0,"",INDEX('Vendor COIs'!$M$4:$M$503,(_calc!$E$828-500))))=0,"","Vendor contact: "&amp;IF(LEN(INDEX('Vendor COIs'!$M$4:$M$503,(_calc!$E$828-500)))=0,"",INDEX('Vendor COIs'!$M$4:$M$503,(_calc!$E$828-500)))&amp;". ")&amp;IF(LEN(IF(LEN(INDEX('Vendor COIs'!$P$4:$P$503,(_calc!$E$828-500)))=0,"",INDEX('Vendor COIs'!$P$4:$P$503,(_calc!$E$828-500))))=0,"",IF(LEN(INDEX('Vendor COIs'!$P$4:$P$503,(_calc!$E$828-500)))=0,"",INDEX('Vendor COIs'!$P$4:$P$503,(_calc!$E$828-500)))))))</f>
        <v/>
      </c>
      <c r="G826" s="46">
        <f>IF(_calc!$E$828="","",IF(_calc!$E$828&lt;=500,IF(LEN(INDEX('Our policies'!$R$4:$R$503,_calc!$E$828))=0,"",INDEX('Our policies'!$R$4:$R$503,_calc!$E$828)),IF(LEN(INDEX('Vendor COIs'!$O$4:$O$503,(_calc!$E$828-500)))=0,"",INDEX('Vendor COIs'!$O$4:$O$503,(_calc!$E$828-500)))))</f>
        <v/>
      </c>
      <c r="H826" s="46">
        <f>IF(_calc!$E$828="","",IF(_calc!$E$828&lt;=500,IF(LEN(INDEX('Our policies'!$G$4:$G$503,_calc!$E$828))=0,"",INDEX('Our policies'!$G$4:$G$503,_calc!$E$828)),""))</f>
        <v/>
      </c>
      <c r="I826" s="46">
        <f>IF(_calc!$E$828="","",IF(_calc!$E$828&lt;=500,IF(LEN(INDEX('Our policies'!$H$4:$H$503,_calc!$E$828))=0,"",INDEX('Our policies'!$H$4:$H$503,_calc!$E$828)),""))</f>
        <v/>
      </c>
      <c r="K826" s="46">
        <f>IF(_calc!$E$828="","",IF(_calc!$E$828&lt;=500,IF(LEN(INDEX('Our policies'!$P$4:$P$503,_calc!$E$828))=0,"",INDEX('Our policies'!$P$4:$P$503,_calc!$E$828)),IF(LEN(INDEX('Vendor COIs'!$N$4:$N$503,(_calc!$E$828-500)))=0,"",INDEX('Vendor COIs'!$N$4:$N$503,(_calc!$E$828-500)))))</f>
        <v/>
      </c>
    </row>
    <row r="827">
      <c r="A827" s="46">
        <f>IF(_calc!$E$829="","",IF(_calc!$E$829&lt;=500,IF(LEN(INDEX('Our policies'!$A$4:$A$503,_calc!$E$829))=0,"",INDEX('Our policies'!$A$4:$A$503,_calc!$E$829)),"COI – "&amp;IF(LEN(INDEX('Vendor COIs'!$A$4:$A$503,(_calc!$E$829-500)))=0,"",INDEX('Vendor COIs'!$A$4:$A$503,(_calc!$E$829-500)))&amp;" – "&amp;IF(LEN(INDEX('Vendor COIs'!$B$4:$B$503,(_calc!$E$829-500)))=0,"",INDEX('Vendor COIs'!$B$4:$B$503,(_calc!$E$829-500)))))</f>
        <v/>
      </c>
      <c r="B827" s="46">
        <f>IF(_calc!$E$829="","",IF(_calc!$E$829&lt;=500,IF(ISNUMBER(INDEX('Our policies'!$J$4:$J$503,_calc!$E$829)),TEXT(INDEX('Our policies'!$J$4:$J$503,_calc!$E$829),"yyyy-mm-dd"),""),IF(ISNUMBER(INDEX('Vendor COIs'!$H$4:$H$503,(_calc!$E$829-500))),TEXT(INDEX('Vendor COIs'!$H$4:$H$503,(_calc!$E$829-500)),"yyyy-mm-dd"),"")))</f>
        <v/>
      </c>
      <c r="C827" s="46">
        <f>IF(_calc!$E$829="","",IF(_calc!$E$829&lt;=500,"Insurance","Certificate of insurance"))</f>
        <v/>
      </c>
      <c r="D827" s="46">
        <f>IF(_calc!$E$829="","",IF(_calc!$E$829&lt;=500,IF(ISNUMBER(INDEX('Our policies'!$I$4:$I$503,_calc!$E$829)),TEXT(INDEX('Our policies'!$I$4:$I$503,_calc!$E$829),"yyyy-mm-dd"),""),""))</f>
        <v/>
      </c>
      <c r="E827" s="46">
        <f>IF(_calc!$E$829="","",IF(_calc!$E$829&lt;=500,IF(LEN(INDEX('Our policies'!$Q$4:$Q$503,_calc!$E$829))=0,"",INDEX('Our policies'!$Q$4:$Q$503,_calc!$E$829)),"Medium"))</f>
        <v/>
      </c>
      <c r="F827" s="46">
        <f>IF(_calc!$E$829="","",IF(_calc!$E$829&lt;=500,TRIM(IF(LEN(IF(LEN(INDEX('Our policies'!$B$4:$B$503,_calc!$E$829))=0,"",INDEX('Our policies'!$B$4:$B$503,_calc!$E$829)))=0,"","Cover: "&amp;IF(LEN(INDEX('Our policies'!$B$4:$B$503,_calc!$E$829))=0,"",INDEX('Our policies'!$B$4:$B$503,_calc!$E$829))&amp;". ")&amp;IF(LEN(IF(LEN(INDEX('Our policies'!$C$4:$C$503,_calc!$E$829))=0,"",INDEX('Our policies'!$C$4:$C$503,_calc!$E$829)))=0,"","Insurer: "&amp;IF(LEN(INDEX('Our policies'!$C$4:$C$503,_calc!$E$829))=0,"",INDEX('Our policies'!$C$4:$C$503,_calc!$E$829))&amp;". ")&amp;IF(LEN(IF(LEN(INDEX('Our policies'!$D$4:$D$503,_calc!$E$829))=0,"",INDEX('Our policies'!$D$4:$D$503,_calc!$E$829)))=0,"","Broker: "&amp;IF(LEN(INDEX('Our policies'!$D$4:$D$503,_calc!$E$829))=0,"",INDEX('Our policies'!$D$4:$D$503,_calc!$E$829))&amp;". ")&amp;IF(LEN(IF(LEN(INDEX('Our policies'!$E$4:$E$503,_calc!$E$829))=0,"",INDEX('Our policies'!$E$4:$E$503,_calc!$E$829)))=0,"","Policy no.: "&amp;IF(LEN(INDEX('Our policies'!$E$4:$E$503,_calc!$E$829))=0,"",INDEX('Our policies'!$E$4:$E$503,_calc!$E$829))&amp;". ")&amp;IF(LEN(IF(LEN(INDEX('Our policies'!$S$4:$S$503,_calc!$E$829))=0,"",INDEX('Our policies'!$S$4:$S$503,_calc!$E$829)))=0,"",IF(LEN(INDEX('Our policies'!$S$4:$S$503,_calc!$E$829))=0,"",INDEX('Our policies'!$S$4:$S$503,_calc!$E$829)))),TRIM(IF(LEN(IF(LEN(INDEX('Vendor COIs'!$C$4:$C$503,(_calc!$E$829-500)))=0,"",INDEX('Vendor COIs'!$C$4:$C$503,(_calc!$E$829-500))))=0,"","Insurer: "&amp;IF(LEN(INDEX('Vendor COIs'!$C$4:$C$503,(_calc!$E$829-500)))=0,"",INDEX('Vendor COIs'!$C$4:$C$503,(_calc!$E$829-500)))&amp;". ")&amp;IF(LEN(IF(LEN(INDEX('Vendor COIs'!$D$4:$D$503,(_calc!$E$829-500)))=0,"",INDEX('Vendor COIs'!$D$4:$D$503,(_calc!$E$829-500))))=0,"","Policy no.: "&amp;IF(LEN(INDEX('Vendor COIs'!$D$4:$D$503,(_calc!$E$829-500)))=0,"",INDEX('Vendor COIs'!$D$4:$D$503,(_calc!$E$829-500)))&amp;". ")&amp;IF(LEN(IF(LEN(INDEX('Vendor COIs'!$F$4:$F$503,(_calc!$E$829-500)))=0,"",INDEX('Vendor COIs'!$F$4:$F$503,(_calc!$E$829-500))))=0,"","Meets minimum: "&amp;IF(LEN(INDEX('Vendor COIs'!$F$4:$F$503,(_calc!$E$829-500)))=0,"",INDEX('Vendor COIs'!$F$4:$F$503,(_calc!$E$829-500)))&amp;". ")&amp;IF(LEN(IF(LEN(INDEX('Vendor COIs'!$G$4:$G$503,(_calc!$E$829-500)))=0,"",INDEX('Vendor COIs'!$G$4:$G$503,(_calc!$E$829-500))))=0,"","Additional insured: "&amp;IF(LEN(INDEX('Vendor COIs'!$G$4:$G$503,(_calc!$E$829-500)))=0,"",INDEX('Vendor COIs'!$G$4:$G$503,(_calc!$E$829-500)))&amp;". ")&amp;IF(LEN(IF(LEN(INDEX('Vendor COIs'!$M$4:$M$503,(_calc!$E$829-500)))=0,"",INDEX('Vendor COIs'!$M$4:$M$503,(_calc!$E$829-500))))=0,"","Vendor contact: "&amp;IF(LEN(INDEX('Vendor COIs'!$M$4:$M$503,(_calc!$E$829-500)))=0,"",INDEX('Vendor COIs'!$M$4:$M$503,(_calc!$E$829-500)))&amp;". ")&amp;IF(LEN(IF(LEN(INDEX('Vendor COIs'!$P$4:$P$503,(_calc!$E$829-500)))=0,"",INDEX('Vendor COIs'!$P$4:$P$503,(_calc!$E$829-500))))=0,"",IF(LEN(INDEX('Vendor COIs'!$P$4:$P$503,(_calc!$E$829-500)))=0,"",INDEX('Vendor COIs'!$P$4:$P$503,(_calc!$E$829-500)))))))</f>
        <v/>
      </c>
      <c r="G827" s="46">
        <f>IF(_calc!$E$829="","",IF(_calc!$E$829&lt;=500,IF(LEN(INDEX('Our policies'!$R$4:$R$503,_calc!$E$829))=0,"",INDEX('Our policies'!$R$4:$R$503,_calc!$E$829)),IF(LEN(INDEX('Vendor COIs'!$O$4:$O$503,(_calc!$E$829-500)))=0,"",INDEX('Vendor COIs'!$O$4:$O$503,(_calc!$E$829-500)))))</f>
        <v/>
      </c>
      <c r="H827" s="46">
        <f>IF(_calc!$E$829="","",IF(_calc!$E$829&lt;=500,IF(LEN(INDEX('Our policies'!$G$4:$G$503,_calc!$E$829))=0,"",INDEX('Our policies'!$G$4:$G$503,_calc!$E$829)),""))</f>
        <v/>
      </c>
      <c r="I827" s="46">
        <f>IF(_calc!$E$829="","",IF(_calc!$E$829&lt;=500,IF(LEN(INDEX('Our policies'!$H$4:$H$503,_calc!$E$829))=0,"",INDEX('Our policies'!$H$4:$H$503,_calc!$E$829)),""))</f>
        <v/>
      </c>
      <c r="K827" s="46">
        <f>IF(_calc!$E$829="","",IF(_calc!$E$829&lt;=500,IF(LEN(INDEX('Our policies'!$P$4:$P$503,_calc!$E$829))=0,"",INDEX('Our policies'!$P$4:$P$503,_calc!$E$829)),IF(LEN(INDEX('Vendor COIs'!$N$4:$N$503,(_calc!$E$829-500)))=0,"",INDEX('Vendor COIs'!$N$4:$N$503,(_calc!$E$829-500)))))</f>
        <v/>
      </c>
    </row>
    <row r="828">
      <c r="A828" s="46">
        <f>IF(_calc!$E$830="","",IF(_calc!$E$830&lt;=500,IF(LEN(INDEX('Our policies'!$A$4:$A$503,_calc!$E$830))=0,"",INDEX('Our policies'!$A$4:$A$503,_calc!$E$830)),"COI – "&amp;IF(LEN(INDEX('Vendor COIs'!$A$4:$A$503,(_calc!$E$830-500)))=0,"",INDEX('Vendor COIs'!$A$4:$A$503,(_calc!$E$830-500)))&amp;" – "&amp;IF(LEN(INDEX('Vendor COIs'!$B$4:$B$503,(_calc!$E$830-500)))=0,"",INDEX('Vendor COIs'!$B$4:$B$503,(_calc!$E$830-500)))))</f>
        <v/>
      </c>
      <c r="B828" s="46">
        <f>IF(_calc!$E$830="","",IF(_calc!$E$830&lt;=500,IF(ISNUMBER(INDEX('Our policies'!$J$4:$J$503,_calc!$E$830)),TEXT(INDEX('Our policies'!$J$4:$J$503,_calc!$E$830),"yyyy-mm-dd"),""),IF(ISNUMBER(INDEX('Vendor COIs'!$H$4:$H$503,(_calc!$E$830-500))),TEXT(INDEX('Vendor COIs'!$H$4:$H$503,(_calc!$E$830-500)),"yyyy-mm-dd"),"")))</f>
        <v/>
      </c>
      <c r="C828" s="46">
        <f>IF(_calc!$E$830="","",IF(_calc!$E$830&lt;=500,"Insurance","Certificate of insurance"))</f>
        <v/>
      </c>
      <c r="D828" s="46">
        <f>IF(_calc!$E$830="","",IF(_calc!$E$830&lt;=500,IF(ISNUMBER(INDEX('Our policies'!$I$4:$I$503,_calc!$E$830)),TEXT(INDEX('Our policies'!$I$4:$I$503,_calc!$E$830),"yyyy-mm-dd"),""),""))</f>
        <v/>
      </c>
      <c r="E828" s="46">
        <f>IF(_calc!$E$830="","",IF(_calc!$E$830&lt;=500,IF(LEN(INDEX('Our policies'!$Q$4:$Q$503,_calc!$E$830))=0,"",INDEX('Our policies'!$Q$4:$Q$503,_calc!$E$830)),"Medium"))</f>
        <v/>
      </c>
      <c r="F828" s="46">
        <f>IF(_calc!$E$830="","",IF(_calc!$E$830&lt;=500,TRIM(IF(LEN(IF(LEN(INDEX('Our policies'!$B$4:$B$503,_calc!$E$830))=0,"",INDEX('Our policies'!$B$4:$B$503,_calc!$E$830)))=0,"","Cover: "&amp;IF(LEN(INDEX('Our policies'!$B$4:$B$503,_calc!$E$830))=0,"",INDEX('Our policies'!$B$4:$B$503,_calc!$E$830))&amp;". ")&amp;IF(LEN(IF(LEN(INDEX('Our policies'!$C$4:$C$503,_calc!$E$830))=0,"",INDEX('Our policies'!$C$4:$C$503,_calc!$E$830)))=0,"","Insurer: "&amp;IF(LEN(INDEX('Our policies'!$C$4:$C$503,_calc!$E$830))=0,"",INDEX('Our policies'!$C$4:$C$503,_calc!$E$830))&amp;". ")&amp;IF(LEN(IF(LEN(INDEX('Our policies'!$D$4:$D$503,_calc!$E$830))=0,"",INDEX('Our policies'!$D$4:$D$503,_calc!$E$830)))=0,"","Broker: "&amp;IF(LEN(INDEX('Our policies'!$D$4:$D$503,_calc!$E$830))=0,"",INDEX('Our policies'!$D$4:$D$503,_calc!$E$830))&amp;". ")&amp;IF(LEN(IF(LEN(INDEX('Our policies'!$E$4:$E$503,_calc!$E$830))=0,"",INDEX('Our policies'!$E$4:$E$503,_calc!$E$830)))=0,"","Policy no.: "&amp;IF(LEN(INDEX('Our policies'!$E$4:$E$503,_calc!$E$830))=0,"",INDEX('Our policies'!$E$4:$E$503,_calc!$E$830))&amp;". ")&amp;IF(LEN(IF(LEN(INDEX('Our policies'!$S$4:$S$503,_calc!$E$830))=0,"",INDEX('Our policies'!$S$4:$S$503,_calc!$E$830)))=0,"",IF(LEN(INDEX('Our policies'!$S$4:$S$503,_calc!$E$830))=0,"",INDEX('Our policies'!$S$4:$S$503,_calc!$E$830)))),TRIM(IF(LEN(IF(LEN(INDEX('Vendor COIs'!$C$4:$C$503,(_calc!$E$830-500)))=0,"",INDEX('Vendor COIs'!$C$4:$C$503,(_calc!$E$830-500))))=0,"","Insurer: "&amp;IF(LEN(INDEX('Vendor COIs'!$C$4:$C$503,(_calc!$E$830-500)))=0,"",INDEX('Vendor COIs'!$C$4:$C$503,(_calc!$E$830-500)))&amp;". ")&amp;IF(LEN(IF(LEN(INDEX('Vendor COIs'!$D$4:$D$503,(_calc!$E$830-500)))=0,"",INDEX('Vendor COIs'!$D$4:$D$503,(_calc!$E$830-500))))=0,"","Policy no.: "&amp;IF(LEN(INDEX('Vendor COIs'!$D$4:$D$503,(_calc!$E$830-500)))=0,"",INDEX('Vendor COIs'!$D$4:$D$503,(_calc!$E$830-500)))&amp;". ")&amp;IF(LEN(IF(LEN(INDEX('Vendor COIs'!$F$4:$F$503,(_calc!$E$830-500)))=0,"",INDEX('Vendor COIs'!$F$4:$F$503,(_calc!$E$830-500))))=0,"","Meets minimum: "&amp;IF(LEN(INDEX('Vendor COIs'!$F$4:$F$503,(_calc!$E$830-500)))=0,"",INDEX('Vendor COIs'!$F$4:$F$503,(_calc!$E$830-500)))&amp;". ")&amp;IF(LEN(IF(LEN(INDEX('Vendor COIs'!$G$4:$G$503,(_calc!$E$830-500)))=0,"",INDEX('Vendor COIs'!$G$4:$G$503,(_calc!$E$830-500))))=0,"","Additional insured: "&amp;IF(LEN(INDEX('Vendor COIs'!$G$4:$G$503,(_calc!$E$830-500)))=0,"",INDEX('Vendor COIs'!$G$4:$G$503,(_calc!$E$830-500)))&amp;". ")&amp;IF(LEN(IF(LEN(INDEX('Vendor COIs'!$M$4:$M$503,(_calc!$E$830-500)))=0,"",INDEX('Vendor COIs'!$M$4:$M$503,(_calc!$E$830-500))))=0,"","Vendor contact: "&amp;IF(LEN(INDEX('Vendor COIs'!$M$4:$M$503,(_calc!$E$830-500)))=0,"",INDEX('Vendor COIs'!$M$4:$M$503,(_calc!$E$830-500)))&amp;". ")&amp;IF(LEN(IF(LEN(INDEX('Vendor COIs'!$P$4:$P$503,(_calc!$E$830-500)))=0,"",INDEX('Vendor COIs'!$P$4:$P$503,(_calc!$E$830-500))))=0,"",IF(LEN(INDEX('Vendor COIs'!$P$4:$P$503,(_calc!$E$830-500)))=0,"",INDEX('Vendor COIs'!$P$4:$P$503,(_calc!$E$830-500)))))))</f>
        <v/>
      </c>
      <c r="G828" s="46">
        <f>IF(_calc!$E$830="","",IF(_calc!$E$830&lt;=500,IF(LEN(INDEX('Our policies'!$R$4:$R$503,_calc!$E$830))=0,"",INDEX('Our policies'!$R$4:$R$503,_calc!$E$830)),IF(LEN(INDEX('Vendor COIs'!$O$4:$O$503,(_calc!$E$830-500)))=0,"",INDEX('Vendor COIs'!$O$4:$O$503,(_calc!$E$830-500)))))</f>
        <v/>
      </c>
      <c r="H828" s="46">
        <f>IF(_calc!$E$830="","",IF(_calc!$E$830&lt;=500,IF(LEN(INDEX('Our policies'!$G$4:$G$503,_calc!$E$830))=0,"",INDEX('Our policies'!$G$4:$G$503,_calc!$E$830)),""))</f>
        <v/>
      </c>
      <c r="I828" s="46">
        <f>IF(_calc!$E$830="","",IF(_calc!$E$830&lt;=500,IF(LEN(INDEX('Our policies'!$H$4:$H$503,_calc!$E$830))=0,"",INDEX('Our policies'!$H$4:$H$503,_calc!$E$830)),""))</f>
        <v/>
      </c>
      <c r="K828" s="46">
        <f>IF(_calc!$E$830="","",IF(_calc!$E$830&lt;=500,IF(LEN(INDEX('Our policies'!$P$4:$P$503,_calc!$E$830))=0,"",INDEX('Our policies'!$P$4:$P$503,_calc!$E$830)),IF(LEN(INDEX('Vendor COIs'!$N$4:$N$503,(_calc!$E$830-500)))=0,"",INDEX('Vendor COIs'!$N$4:$N$503,(_calc!$E$830-500)))))</f>
        <v/>
      </c>
    </row>
    <row r="829">
      <c r="A829" s="46">
        <f>IF(_calc!$E$831="","",IF(_calc!$E$831&lt;=500,IF(LEN(INDEX('Our policies'!$A$4:$A$503,_calc!$E$831))=0,"",INDEX('Our policies'!$A$4:$A$503,_calc!$E$831)),"COI – "&amp;IF(LEN(INDEX('Vendor COIs'!$A$4:$A$503,(_calc!$E$831-500)))=0,"",INDEX('Vendor COIs'!$A$4:$A$503,(_calc!$E$831-500)))&amp;" – "&amp;IF(LEN(INDEX('Vendor COIs'!$B$4:$B$503,(_calc!$E$831-500)))=0,"",INDEX('Vendor COIs'!$B$4:$B$503,(_calc!$E$831-500)))))</f>
        <v/>
      </c>
      <c r="B829" s="46">
        <f>IF(_calc!$E$831="","",IF(_calc!$E$831&lt;=500,IF(ISNUMBER(INDEX('Our policies'!$J$4:$J$503,_calc!$E$831)),TEXT(INDEX('Our policies'!$J$4:$J$503,_calc!$E$831),"yyyy-mm-dd"),""),IF(ISNUMBER(INDEX('Vendor COIs'!$H$4:$H$503,(_calc!$E$831-500))),TEXT(INDEX('Vendor COIs'!$H$4:$H$503,(_calc!$E$831-500)),"yyyy-mm-dd"),"")))</f>
        <v/>
      </c>
      <c r="C829" s="46">
        <f>IF(_calc!$E$831="","",IF(_calc!$E$831&lt;=500,"Insurance","Certificate of insurance"))</f>
        <v/>
      </c>
      <c r="D829" s="46">
        <f>IF(_calc!$E$831="","",IF(_calc!$E$831&lt;=500,IF(ISNUMBER(INDEX('Our policies'!$I$4:$I$503,_calc!$E$831)),TEXT(INDEX('Our policies'!$I$4:$I$503,_calc!$E$831),"yyyy-mm-dd"),""),""))</f>
        <v/>
      </c>
      <c r="E829" s="46">
        <f>IF(_calc!$E$831="","",IF(_calc!$E$831&lt;=500,IF(LEN(INDEX('Our policies'!$Q$4:$Q$503,_calc!$E$831))=0,"",INDEX('Our policies'!$Q$4:$Q$503,_calc!$E$831)),"Medium"))</f>
        <v/>
      </c>
      <c r="F829" s="46">
        <f>IF(_calc!$E$831="","",IF(_calc!$E$831&lt;=500,TRIM(IF(LEN(IF(LEN(INDEX('Our policies'!$B$4:$B$503,_calc!$E$831))=0,"",INDEX('Our policies'!$B$4:$B$503,_calc!$E$831)))=0,"","Cover: "&amp;IF(LEN(INDEX('Our policies'!$B$4:$B$503,_calc!$E$831))=0,"",INDEX('Our policies'!$B$4:$B$503,_calc!$E$831))&amp;". ")&amp;IF(LEN(IF(LEN(INDEX('Our policies'!$C$4:$C$503,_calc!$E$831))=0,"",INDEX('Our policies'!$C$4:$C$503,_calc!$E$831)))=0,"","Insurer: "&amp;IF(LEN(INDEX('Our policies'!$C$4:$C$503,_calc!$E$831))=0,"",INDEX('Our policies'!$C$4:$C$503,_calc!$E$831))&amp;". ")&amp;IF(LEN(IF(LEN(INDEX('Our policies'!$D$4:$D$503,_calc!$E$831))=0,"",INDEX('Our policies'!$D$4:$D$503,_calc!$E$831)))=0,"","Broker: "&amp;IF(LEN(INDEX('Our policies'!$D$4:$D$503,_calc!$E$831))=0,"",INDEX('Our policies'!$D$4:$D$503,_calc!$E$831))&amp;". ")&amp;IF(LEN(IF(LEN(INDEX('Our policies'!$E$4:$E$503,_calc!$E$831))=0,"",INDEX('Our policies'!$E$4:$E$503,_calc!$E$831)))=0,"","Policy no.: "&amp;IF(LEN(INDEX('Our policies'!$E$4:$E$503,_calc!$E$831))=0,"",INDEX('Our policies'!$E$4:$E$503,_calc!$E$831))&amp;". ")&amp;IF(LEN(IF(LEN(INDEX('Our policies'!$S$4:$S$503,_calc!$E$831))=0,"",INDEX('Our policies'!$S$4:$S$503,_calc!$E$831)))=0,"",IF(LEN(INDEX('Our policies'!$S$4:$S$503,_calc!$E$831))=0,"",INDEX('Our policies'!$S$4:$S$503,_calc!$E$831)))),TRIM(IF(LEN(IF(LEN(INDEX('Vendor COIs'!$C$4:$C$503,(_calc!$E$831-500)))=0,"",INDEX('Vendor COIs'!$C$4:$C$503,(_calc!$E$831-500))))=0,"","Insurer: "&amp;IF(LEN(INDEX('Vendor COIs'!$C$4:$C$503,(_calc!$E$831-500)))=0,"",INDEX('Vendor COIs'!$C$4:$C$503,(_calc!$E$831-500)))&amp;". ")&amp;IF(LEN(IF(LEN(INDEX('Vendor COIs'!$D$4:$D$503,(_calc!$E$831-500)))=0,"",INDEX('Vendor COIs'!$D$4:$D$503,(_calc!$E$831-500))))=0,"","Policy no.: "&amp;IF(LEN(INDEX('Vendor COIs'!$D$4:$D$503,(_calc!$E$831-500)))=0,"",INDEX('Vendor COIs'!$D$4:$D$503,(_calc!$E$831-500)))&amp;". ")&amp;IF(LEN(IF(LEN(INDEX('Vendor COIs'!$F$4:$F$503,(_calc!$E$831-500)))=0,"",INDEX('Vendor COIs'!$F$4:$F$503,(_calc!$E$831-500))))=0,"","Meets minimum: "&amp;IF(LEN(INDEX('Vendor COIs'!$F$4:$F$503,(_calc!$E$831-500)))=0,"",INDEX('Vendor COIs'!$F$4:$F$503,(_calc!$E$831-500)))&amp;". ")&amp;IF(LEN(IF(LEN(INDEX('Vendor COIs'!$G$4:$G$503,(_calc!$E$831-500)))=0,"",INDEX('Vendor COIs'!$G$4:$G$503,(_calc!$E$831-500))))=0,"","Additional insured: "&amp;IF(LEN(INDEX('Vendor COIs'!$G$4:$G$503,(_calc!$E$831-500)))=0,"",INDEX('Vendor COIs'!$G$4:$G$503,(_calc!$E$831-500)))&amp;". ")&amp;IF(LEN(IF(LEN(INDEX('Vendor COIs'!$M$4:$M$503,(_calc!$E$831-500)))=0,"",INDEX('Vendor COIs'!$M$4:$M$503,(_calc!$E$831-500))))=0,"","Vendor contact: "&amp;IF(LEN(INDEX('Vendor COIs'!$M$4:$M$503,(_calc!$E$831-500)))=0,"",INDEX('Vendor COIs'!$M$4:$M$503,(_calc!$E$831-500)))&amp;". ")&amp;IF(LEN(IF(LEN(INDEX('Vendor COIs'!$P$4:$P$503,(_calc!$E$831-500)))=0,"",INDEX('Vendor COIs'!$P$4:$P$503,(_calc!$E$831-500))))=0,"",IF(LEN(INDEX('Vendor COIs'!$P$4:$P$503,(_calc!$E$831-500)))=0,"",INDEX('Vendor COIs'!$P$4:$P$503,(_calc!$E$831-500)))))))</f>
        <v/>
      </c>
      <c r="G829" s="46">
        <f>IF(_calc!$E$831="","",IF(_calc!$E$831&lt;=500,IF(LEN(INDEX('Our policies'!$R$4:$R$503,_calc!$E$831))=0,"",INDEX('Our policies'!$R$4:$R$503,_calc!$E$831)),IF(LEN(INDEX('Vendor COIs'!$O$4:$O$503,(_calc!$E$831-500)))=0,"",INDEX('Vendor COIs'!$O$4:$O$503,(_calc!$E$831-500)))))</f>
        <v/>
      </c>
      <c r="H829" s="46">
        <f>IF(_calc!$E$831="","",IF(_calc!$E$831&lt;=500,IF(LEN(INDEX('Our policies'!$G$4:$G$503,_calc!$E$831))=0,"",INDEX('Our policies'!$G$4:$G$503,_calc!$E$831)),""))</f>
        <v/>
      </c>
      <c r="I829" s="46">
        <f>IF(_calc!$E$831="","",IF(_calc!$E$831&lt;=500,IF(LEN(INDEX('Our policies'!$H$4:$H$503,_calc!$E$831))=0,"",INDEX('Our policies'!$H$4:$H$503,_calc!$E$831)),""))</f>
        <v/>
      </c>
      <c r="K829" s="46">
        <f>IF(_calc!$E$831="","",IF(_calc!$E$831&lt;=500,IF(LEN(INDEX('Our policies'!$P$4:$P$503,_calc!$E$831))=0,"",INDEX('Our policies'!$P$4:$P$503,_calc!$E$831)),IF(LEN(INDEX('Vendor COIs'!$N$4:$N$503,(_calc!$E$831-500)))=0,"",INDEX('Vendor COIs'!$N$4:$N$503,(_calc!$E$831-500)))))</f>
        <v/>
      </c>
    </row>
    <row r="830">
      <c r="A830" s="46">
        <f>IF(_calc!$E$832="","",IF(_calc!$E$832&lt;=500,IF(LEN(INDEX('Our policies'!$A$4:$A$503,_calc!$E$832))=0,"",INDEX('Our policies'!$A$4:$A$503,_calc!$E$832)),"COI – "&amp;IF(LEN(INDEX('Vendor COIs'!$A$4:$A$503,(_calc!$E$832-500)))=0,"",INDEX('Vendor COIs'!$A$4:$A$503,(_calc!$E$832-500)))&amp;" – "&amp;IF(LEN(INDEX('Vendor COIs'!$B$4:$B$503,(_calc!$E$832-500)))=0,"",INDEX('Vendor COIs'!$B$4:$B$503,(_calc!$E$832-500)))))</f>
        <v/>
      </c>
      <c r="B830" s="46">
        <f>IF(_calc!$E$832="","",IF(_calc!$E$832&lt;=500,IF(ISNUMBER(INDEX('Our policies'!$J$4:$J$503,_calc!$E$832)),TEXT(INDEX('Our policies'!$J$4:$J$503,_calc!$E$832),"yyyy-mm-dd"),""),IF(ISNUMBER(INDEX('Vendor COIs'!$H$4:$H$503,(_calc!$E$832-500))),TEXT(INDEX('Vendor COIs'!$H$4:$H$503,(_calc!$E$832-500)),"yyyy-mm-dd"),"")))</f>
        <v/>
      </c>
      <c r="C830" s="46">
        <f>IF(_calc!$E$832="","",IF(_calc!$E$832&lt;=500,"Insurance","Certificate of insurance"))</f>
        <v/>
      </c>
      <c r="D830" s="46">
        <f>IF(_calc!$E$832="","",IF(_calc!$E$832&lt;=500,IF(ISNUMBER(INDEX('Our policies'!$I$4:$I$503,_calc!$E$832)),TEXT(INDEX('Our policies'!$I$4:$I$503,_calc!$E$832),"yyyy-mm-dd"),""),""))</f>
        <v/>
      </c>
      <c r="E830" s="46">
        <f>IF(_calc!$E$832="","",IF(_calc!$E$832&lt;=500,IF(LEN(INDEX('Our policies'!$Q$4:$Q$503,_calc!$E$832))=0,"",INDEX('Our policies'!$Q$4:$Q$503,_calc!$E$832)),"Medium"))</f>
        <v/>
      </c>
      <c r="F830" s="46">
        <f>IF(_calc!$E$832="","",IF(_calc!$E$832&lt;=500,TRIM(IF(LEN(IF(LEN(INDEX('Our policies'!$B$4:$B$503,_calc!$E$832))=0,"",INDEX('Our policies'!$B$4:$B$503,_calc!$E$832)))=0,"","Cover: "&amp;IF(LEN(INDEX('Our policies'!$B$4:$B$503,_calc!$E$832))=0,"",INDEX('Our policies'!$B$4:$B$503,_calc!$E$832))&amp;". ")&amp;IF(LEN(IF(LEN(INDEX('Our policies'!$C$4:$C$503,_calc!$E$832))=0,"",INDEX('Our policies'!$C$4:$C$503,_calc!$E$832)))=0,"","Insurer: "&amp;IF(LEN(INDEX('Our policies'!$C$4:$C$503,_calc!$E$832))=0,"",INDEX('Our policies'!$C$4:$C$503,_calc!$E$832))&amp;". ")&amp;IF(LEN(IF(LEN(INDEX('Our policies'!$D$4:$D$503,_calc!$E$832))=0,"",INDEX('Our policies'!$D$4:$D$503,_calc!$E$832)))=0,"","Broker: "&amp;IF(LEN(INDEX('Our policies'!$D$4:$D$503,_calc!$E$832))=0,"",INDEX('Our policies'!$D$4:$D$503,_calc!$E$832))&amp;". ")&amp;IF(LEN(IF(LEN(INDEX('Our policies'!$E$4:$E$503,_calc!$E$832))=0,"",INDEX('Our policies'!$E$4:$E$503,_calc!$E$832)))=0,"","Policy no.: "&amp;IF(LEN(INDEX('Our policies'!$E$4:$E$503,_calc!$E$832))=0,"",INDEX('Our policies'!$E$4:$E$503,_calc!$E$832))&amp;". ")&amp;IF(LEN(IF(LEN(INDEX('Our policies'!$S$4:$S$503,_calc!$E$832))=0,"",INDEX('Our policies'!$S$4:$S$503,_calc!$E$832)))=0,"",IF(LEN(INDEX('Our policies'!$S$4:$S$503,_calc!$E$832))=0,"",INDEX('Our policies'!$S$4:$S$503,_calc!$E$832)))),TRIM(IF(LEN(IF(LEN(INDEX('Vendor COIs'!$C$4:$C$503,(_calc!$E$832-500)))=0,"",INDEX('Vendor COIs'!$C$4:$C$503,(_calc!$E$832-500))))=0,"","Insurer: "&amp;IF(LEN(INDEX('Vendor COIs'!$C$4:$C$503,(_calc!$E$832-500)))=0,"",INDEX('Vendor COIs'!$C$4:$C$503,(_calc!$E$832-500)))&amp;". ")&amp;IF(LEN(IF(LEN(INDEX('Vendor COIs'!$D$4:$D$503,(_calc!$E$832-500)))=0,"",INDEX('Vendor COIs'!$D$4:$D$503,(_calc!$E$832-500))))=0,"","Policy no.: "&amp;IF(LEN(INDEX('Vendor COIs'!$D$4:$D$503,(_calc!$E$832-500)))=0,"",INDEX('Vendor COIs'!$D$4:$D$503,(_calc!$E$832-500)))&amp;". ")&amp;IF(LEN(IF(LEN(INDEX('Vendor COIs'!$F$4:$F$503,(_calc!$E$832-500)))=0,"",INDEX('Vendor COIs'!$F$4:$F$503,(_calc!$E$832-500))))=0,"","Meets minimum: "&amp;IF(LEN(INDEX('Vendor COIs'!$F$4:$F$503,(_calc!$E$832-500)))=0,"",INDEX('Vendor COIs'!$F$4:$F$503,(_calc!$E$832-500)))&amp;". ")&amp;IF(LEN(IF(LEN(INDEX('Vendor COIs'!$G$4:$G$503,(_calc!$E$832-500)))=0,"",INDEX('Vendor COIs'!$G$4:$G$503,(_calc!$E$832-500))))=0,"","Additional insured: "&amp;IF(LEN(INDEX('Vendor COIs'!$G$4:$G$503,(_calc!$E$832-500)))=0,"",INDEX('Vendor COIs'!$G$4:$G$503,(_calc!$E$832-500)))&amp;". ")&amp;IF(LEN(IF(LEN(INDEX('Vendor COIs'!$M$4:$M$503,(_calc!$E$832-500)))=0,"",INDEX('Vendor COIs'!$M$4:$M$503,(_calc!$E$832-500))))=0,"","Vendor contact: "&amp;IF(LEN(INDEX('Vendor COIs'!$M$4:$M$503,(_calc!$E$832-500)))=0,"",INDEX('Vendor COIs'!$M$4:$M$503,(_calc!$E$832-500)))&amp;". ")&amp;IF(LEN(IF(LEN(INDEX('Vendor COIs'!$P$4:$P$503,(_calc!$E$832-500)))=0,"",INDEX('Vendor COIs'!$P$4:$P$503,(_calc!$E$832-500))))=0,"",IF(LEN(INDEX('Vendor COIs'!$P$4:$P$503,(_calc!$E$832-500)))=0,"",INDEX('Vendor COIs'!$P$4:$P$503,(_calc!$E$832-500)))))))</f>
        <v/>
      </c>
      <c r="G830" s="46">
        <f>IF(_calc!$E$832="","",IF(_calc!$E$832&lt;=500,IF(LEN(INDEX('Our policies'!$R$4:$R$503,_calc!$E$832))=0,"",INDEX('Our policies'!$R$4:$R$503,_calc!$E$832)),IF(LEN(INDEX('Vendor COIs'!$O$4:$O$503,(_calc!$E$832-500)))=0,"",INDEX('Vendor COIs'!$O$4:$O$503,(_calc!$E$832-500)))))</f>
        <v/>
      </c>
      <c r="H830" s="46">
        <f>IF(_calc!$E$832="","",IF(_calc!$E$832&lt;=500,IF(LEN(INDEX('Our policies'!$G$4:$G$503,_calc!$E$832))=0,"",INDEX('Our policies'!$G$4:$G$503,_calc!$E$832)),""))</f>
        <v/>
      </c>
      <c r="I830" s="46">
        <f>IF(_calc!$E$832="","",IF(_calc!$E$832&lt;=500,IF(LEN(INDEX('Our policies'!$H$4:$H$503,_calc!$E$832))=0,"",INDEX('Our policies'!$H$4:$H$503,_calc!$E$832)),""))</f>
        <v/>
      </c>
      <c r="K830" s="46">
        <f>IF(_calc!$E$832="","",IF(_calc!$E$832&lt;=500,IF(LEN(INDEX('Our policies'!$P$4:$P$503,_calc!$E$832))=0,"",INDEX('Our policies'!$P$4:$P$503,_calc!$E$832)),IF(LEN(INDEX('Vendor COIs'!$N$4:$N$503,(_calc!$E$832-500)))=0,"",INDEX('Vendor COIs'!$N$4:$N$503,(_calc!$E$832-500)))))</f>
        <v/>
      </c>
    </row>
    <row r="831">
      <c r="A831" s="46">
        <f>IF(_calc!$E$833="","",IF(_calc!$E$833&lt;=500,IF(LEN(INDEX('Our policies'!$A$4:$A$503,_calc!$E$833))=0,"",INDEX('Our policies'!$A$4:$A$503,_calc!$E$833)),"COI – "&amp;IF(LEN(INDEX('Vendor COIs'!$A$4:$A$503,(_calc!$E$833-500)))=0,"",INDEX('Vendor COIs'!$A$4:$A$503,(_calc!$E$833-500)))&amp;" – "&amp;IF(LEN(INDEX('Vendor COIs'!$B$4:$B$503,(_calc!$E$833-500)))=0,"",INDEX('Vendor COIs'!$B$4:$B$503,(_calc!$E$833-500)))))</f>
        <v/>
      </c>
      <c r="B831" s="46">
        <f>IF(_calc!$E$833="","",IF(_calc!$E$833&lt;=500,IF(ISNUMBER(INDEX('Our policies'!$J$4:$J$503,_calc!$E$833)),TEXT(INDEX('Our policies'!$J$4:$J$503,_calc!$E$833),"yyyy-mm-dd"),""),IF(ISNUMBER(INDEX('Vendor COIs'!$H$4:$H$503,(_calc!$E$833-500))),TEXT(INDEX('Vendor COIs'!$H$4:$H$503,(_calc!$E$833-500)),"yyyy-mm-dd"),"")))</f>
        <v/>
      </c>
      <c r="C831" s="46">
        <f>IF(_calc!$E$833="","",IF(_calc!$E$833&lt;=500,"Insurance","Certificate of insurance"))</f>
        <v/>
      </c>
      <c r="D831" s="46">
        <f>IF(_calc!$E$833="","",IF(_calc!$E$833&lt;=500,IF(ISNUMBER(INDEX('Our policies'!$I$4:$I$503,_calc!$E$833)),TEXT(INDEX('Our policies'!$I$4:$I$503,_calc!$E$833),"yyyy-mm-dd"),""),""))</f>
        <v/>
      </c>
      <c r="E831" s="46">
        <f>IF(_calc!$E$833="","",IF(_calc!$E$833&lt;=500,IF(LEN(INDEX('Our policies'!$Q$4:$Q$503,_calc!$E$833))=0,"",INDEX('Our policies'!$Q$4:$Q$503,_calc!$E$833)),"Medium"))</f>
        <v/>
      </c>
      <c r="F831" s="46">
        <f>IF(_calc!$E$833="","",IF(_calc!$E$833&lt;=500,TRIM(IF(LEN(IF(LEN(INDEX('Our policies'!$B$4:$B$503,_calc!$E$833))=0,"",INDEX('Our policies'!$B$4:$B$503,_calc!$E$833)))=0,"","Cover: "&amp;IF(LEN(INDEX('Our policies'!$B$4:$B$503,_calc!$E$833))=0,"",INDEX('Our policies'!$B$4:$B$503,_calc!$E$833))&amp;". ")&amp;IF(LEN(IF(LEN(INDEX('Our policies'!$C$4:$C$503,_calc!$E$833))=0,"",INDEX('Our policies'!$C$4:$C$503,_calc!$E$833)))=0,"","Insurer: "&amp;IF(LEN(INDEX('Our policies'!$C$4:$C$503,_calc!$E$833))=0,"",INDEX('Our policies'!$C$4:$C$503,_calc!$E$833))&amp;". ")&amp;IF(LEN(IF(LEN(INDEX('Our policies'!$D$4:$D$503,_calc!$E$833))=0,"",INDEX('Our policies'!$D$4:$D$503,_calc!$E$833)))=0,"","Broker: "&amp;IF(LEN(INDEX('Our policies'!$D$4:$D$503,_calc!$E$833))=0,"",INDEX('Our policies'!$D$4:$D$503,_calc!$E$833))&amp;". ")&amp;IF(LEN(IF(LEN(INDEX('Our policies'!$E$4:$E$503,_calc!$E$833))=0,"",INDEX('Our policies'!$E$4:$E$503,_calc!$E$833)))=0,"","Policy no.: "&amp;IF(LEN(INDEX('Our policies'!$E$4:$E$503,_calc!$E$833))=0,"",INDEX('Our policies'!$E$4:$E$503,_calc!$E$833))&amp;". ")&amp;IF(LEN(IF(LEN(INDEX('Our policies'!$S$4:$S$503,_calc!$E$833))=0,"",INDEX('Our policies'!$S$4:$S$503,_calc!$E$833)))=0,"",IF(LEN(INDEX('Our policies'!$S$4:$S$503,_calc!$E$833))=0,"",INDEX('Our policies'!$S$4:$S$503,_calc!$E$833)))),TRIM(IF(LEN(IF(LEN(INDEX('Vendor COIs'!$C$4:$C$503,(_calc!$E$833-500)))=0,"",INDEX('Vendor COIs'!$C$4:$C$503,(_calc!$E$833-500))))=0,"","Insurer: "&amp;IF(LEN(INDEX('Vendor COIs'!$C$4:$C$503,(_calc!$E$833-500)))=0,"",INDEX('Vendor COIs'!$C$4:$C$503,(_calc!$E$833-500)))&amp;". ")&amp;IF(LEN(IF(LEN(INDEX('Vendor COIs'!$D$4:$D$503,(_calc!$E$833-500)))=0,"",INDEX('Vendor COIs'!$D$4:$D$503,(_calc!$E$833-500))))=0,"","Policy no.: "&amp;IF(LEN(INDEX('Vendor COIs'!$D$4:$D$503,(_calc!$E$833-500)))=0,"",INDEX('Vendor COIs'!$D$4:$D$503,(_calc!$E$833-500)))&amp;". ")&amp;IF(LEN(IF(LEN(INDEX('Vendor COIs'!$F$4:$F$503,(_calc!$E$833-500)))=0,"",INDEX('Vendor COIs'!$F$4:$F$503,(_calc!$E$833-500))))=0,"","Meets minimum: "&amp;IF(LEN(INDEX('Vendor COIs'!$F$4:$F$503,(_calc!$E$833-500)))=0,"",INDEX('Vendor COIs'!$F$4:$F$503,(_calc!$E$833-500)))&amp;". ")&amp;IF(LEN(IF(LEN(INDEX('Vendor COIs'!$G$4:$G$503,(_calc!$E$833-500)))=0,"",INDEX('Vendor COIs'!$G$4:$G$503,(_calc!$E$833-500))))=0,"","Additional insured: "&amp;IF(LEN(INDEX('Vendor COIs'!$G$4:$G$503,(_calc!$E$833-500)))=0,"",INDEX('Vendor COIs'!$G$4:$G$503,(_calc!$E$833-500)))&amp;". ")&amp;IF(LEN(IF(LEN(INDEX('Vendor COIs'!$M$4:$M$503,(_calc!$E$833-500)))=0,"",INDEX('Vendor COIs'!$M$4:$M$503,(_calc!$E$833-500))))=0,"","Vendor contact: "&amp;IF(LEN(INDEX('Vendor COIs'!$M$4:$M$503,(_calc!$E$833-500)))=0,"",INDEX('Vendor COIs'!$M$4:$M$503,(_calc!$E$833-500)))&amp;". ")&amp;IF(LEN(IF(LEN(INDEX('Vendor COIs'!$P$4:$P$503,(_calc!$E$833-500)))=0,"",INDEX('Vendor COIs'!$P$4:$P$503,(_calc!$E$833-500))))=0,"",IF(LEN(INDEX('Vendor COIs'!$P$4:$P$503,(_calc!$E$833-500)))=0,"",INDEX('Vendor COIs'!$P$4:$P$503,(_calc!$E$833-500)))))))</f>
        <v/>
      </c>
      <c r="G831" s="46">
        <f>IF(_calc!$E$833="","",IF(_calc!$E$833&lt;=500,IF(LEN(INDEX('Our policies'!$R$4:$R$503,_calc!$E$833))=0,"",INDEX('Our policies'!$R$4:$R$503,_calc!$E$833)),IF(LEN(INDEX('Vendor COIs'!$O$4:$O$503,(_calc!$E$833-500)))=0,"",INDEX('Vendor COIs'!$O$4:$O$503,(_calc!$E$833-500)))))</f>
        <v/>
      </c>
      <c r="H831" s="46">
        <f>IF(_calc!$E$833="","",IF(_calc!$E$833&lt;=500,IF(LEN(INDEX('Our policies'!$G$4:$G$503,_calc!$E$833))=0,"",INDEX('Our policies'!$G$4:$G$503,_calc!$E$833)),""))</f>
        <v/>
      </c>
      <c r="I831" s="46">
        <f>IF(_calc!$E$833="","",IF(_calc!$E$833&lt;=500,IF(LEN(INDEX('Our policies'!$H$4:$H$503,_calc!$E$833))=0,"",INDEX('Our policies'!$H$4:$H$503,_calc!$E$833)),""))</f>
        <v/>
      </c>
      <c r="K831" s="46">
        <f>IF(_calc!$E$833="","",IF(_calc!$E$833&lt;=500,IF(LEN(INDEX('Our policies'!$P$4:$P$503,_calc!$E$833))=0,"",INDEX('Our policies'!$P$4:$P$503,_calc!$E$833)),IF(LEN(INDEX('Vendor COIs'!$N$4:$N$503,(_calc!$E$833-500)))=0,"",INDEX('Vendor COIs'!$N$4:$N$503,(_calc!$E$833-500)))))</f>
        <v/>
      </c>
    </row>
    <row r="832">
      <c r="A832" s="46">
        <f>IF(_calc!$E$834="","",IF(_calc!$E$834&lt;=500,IF(LEN(INDEX('Our policies'!$A$4:$A$503,_calc!$E$834))=0,"",INDEX('Our policies'!$A$4:$A$503,_calc!$E$834)),"COI – "&amp;IF(LEN(INDEX('Vendor COIs'!$A$4:$A$503,(_calc!$E$834-500)))=0,"",INDEX('Vendor COIs'!$A$4:$A$503,(_calc!$E$834-500)))&amp;" – "&amp;IF(LEN(INDEX('Vendor COIs'!$B$4:$B$503,(_calc!$E$834-500)))=0,"",INDEX('Vendor COIs'!$B$4:$B$503,(_calc!$E$834-500)))))</f>
        <v/>
      </c>
      <c r="B832" s="46">
        <f>IF(_calc!$E$834="","",IF(_calc!$E$834&lt;=500,IF(ISNUMBER(INDEX('Our policies'!$J$4:$J$503,_calc!$E$834)),TEXT(INDEX('Our policies'!$J$4:$J$503,_calc!$E$834),"yyyy-mm-dd"),""),IF(ISNUMBER(INDEX('Vendor COIs'!$H$4:$H$503,(_calc!$E$834-500))),TEXT(INDEX('Vendor COIs'!$H$4:$H$503,(_calc!$E$834-500)),"yyyy-mm-dd"),"")))</f>
        <v/>
      </c>
      <c r="C832" s="46">
        <f>IF(_calc!$E$834="","",IF(_calc!$E$834&lt;=500,"Insurance","Certificate of insurance"))</f>
        <v/>
      </c>
      <c r="D832" s="46">
        <f>IF(_calc!$E$834="","",IF(_calc!$E$834&lt;=500,IF(ISNUMBER(INDEX('Our policies'!$I$4:$I$503,_calc!$E$834)),TEXT(INDEX('Our policies'!$I$4:$I$503,_calc!$E$834),"yyyy-mm-dd"),""),""))</f>
        <v/>
      </c>
      <c r="E832" s="46">
        <f>IF(_calc!$E$834="","",IF(_calc!$E$834&lt;=500,IF(LEN(INDEX('Our policies'!$Q$4:$Q$503,_calc!$E$834))=0,"",INDEX('Our policies'!$Q$4:$Q$503,_calc!$E$834)),"Medium"))</f>
        <v/>
      </c>
      <c r="F832" s="46">
        <f>IF(_calc!$E$834="","",IF(_calc!$E$834&lt;=500,TRIM(IF(LEN(IF(LEN(INDEX('Our policies'!$B$4:$B$503,_calc!$E$834))=0,"",INDEX('Our policies'!$B$4:$B$503,_calc!$E$834)))=0,"","Cover: "&amp;IF(LEN(INDEX('Our policies'!$B$4:$B$503,_calc!$E$834))=0,"",INDEX('Our policies'!$B$4:$B$503,_calc!$E$834))&amp;". ")&amp;IF(LEN(IF(LEN(INDEX('Our policies'!$C$4:$C$503,_calc!$E$834))=0,"",INDEX('Our policies'!$C$4:$C$503,_calc!$E$834)))=0,"","Insurer: "&amp;IF(LEN(INDEX('Our policies'!$C$4:$C$503,_calc!$E$834))=0,"",INDEX('Our policies'!$C$4:$C$503,_calc!$E$834))&amp;". ")&amp;IF(LEN(IF(LEN(INDEX('Our policies'!$D$4:$D$503,_calc!$E$834))=0,"",INDEX('Our policies'!$D$4:$D$503,_calc!$E$834)))=0,"","Broker: "&amp;IF(LEN(INDEX('Our policies'!$D$4:$D$503,_calc!$E$834))=0,"",INDEX('Our policies'!$D$4:$D$503,_calc!$E$834))&amp;". ")&amp;IF(LEN(IF(LEN(INDEX('Our policies'!$E$4:$E$503,_calc!$E$834))=0,"",INDEX('Our policies'!$E$4:$E$503,_calc!$E$834)))=0,"","Policy no.: "&amp;IF(LEN(INDEX('Our policies'!$E$4:$E$503,_calc!$E$834))=0,"",INDEX('Our policies'!$E$4:$E$503,_calc!$E$834))&amp;". ")&amp;IF(LEN(IF(LEN(INDEX('Our policies'!$S$4:$S$503,_calc!$E$834))=0,"",INDEX('Our policies'!$S$4:$S$503,_calc!$E$834)))=0,"",IF(LEN(INDEX('Our policies'!$S$4:$S$503,_calc!$E$834))=0,"",INDEX('Our policies'!$S$4:$S$503,_calc!$E$834)))),TRIM(IF(LEN(IF(LEN(INDEX('Vendor COIs'!$C$4:$C$503,(_calc!$E$834-500)))=0,"",INDEX('Vendor COIs'!$C$4:$C$503,(_calc!$E$834-500))))=0,"","Insurer: "&amp;IF(LEN(INDEX('Vendor COIs'!$C$4:$C$503,(_calc!$E$834-500)))=0,"",INDEX('Vendor COIs'!$C$4:$C$503,(_calc!$E$834-500)))&amp;". ")&amp;IF(LEN(IF(LEN(INDEX('Vendor COIs'!$D$4:$D$503,(_calc!$E$834-500)))=0,"",INDEX('Vendor COIs'!$D$4:$D$503,(_calc!$E$834-500))))=0,"","Policy no.: "&amp;IF(LEN(INDEX('Vendor COIs'!$D$4:$D$503,(_calc!$E$834-500)))=0,"",INDEX('Vendor COIs'!$D$4:$D$503,(_calc!$E$834-500)))&amp;". ")&amp;IF(LEN(IF(LEN(INDEX('Vendor COIs'!$F$4:$F$503,(_calc!$E$834-500)))=0,"",INDEX('Vendor COIs'!$F$4:$F$503,(_calc!$E$834-500))))=0,"","Meets minimum: "&amp;IF(LEN(INDEX('Vendor COIs'!$F$4:$F$503,(_calc!$E$834-500)))=0,"",INDEX('Vendor COIs'!$F$4:$F$503,(_calc!$E$834-500)))&amp;". ")&amp;IF(LEN(IF(LEN(INDEX('Vendor COIs'!$G$4:$G$503,(_calc!$E$834-500)))=0,"",INDEX('Vendor COIs'!$G$4:$G$503,(_calc!$E$834-500))))=0,"","Additional insured: "&amp;IF(LEN(INDEX('Vendor COIs'!$G$4:$G$503,(_calc!$E$834-500)))=0,"",INDEX('Vendor COIs'!$G$4:$G$503,(_calc!$E$834-500)))&amp;". ")&amp;IF(LEN(IF(LEN(INDEX('Vendor COIs'!$M$4:$M$503,(_calc!$E$834-500)))=0,"",INDEX('Vendor COIs'!$M$4:$M$503,(_calc!$E$834-500))))=0,"","Vendor contact: "&amp;IF(LEN(INDEX('Vendor COIs'!$M$4:$M$503,(_calc!$E$834-500)))=0,"",INDEX('Vendor COIs'!$M$4:$M$503,(_calc!$E$834-500)))&amp;". ")&amp;IF(LEN(IF(LEN(INDEX('Vendor COIs'!$P$4:$P$503,(_calc!$E$834-500)))=0,"",INDEX('Vendor COIs'!$P$4:$P$503,(_calc!$E$834-500))))=0,"",IF(LEN(INDEX('Vendor COIs'!$P$4:$P$503,(_calc!$E$834-500)))=0,"",INDEX('Vendor COIs'!$P$4:$P$503,(_calc!$E$834-500)))))))</f>
        <v/>
      </c>
      <c r="G832" s="46">
        <f>IF(_calc!$E$834="","",IF(_calc!$E$834&lt;=500,IF(LEN(INDEX('Our policies'!$R$4:$R$503,_calc!$E$834))=0,"",INDEX('Our policies'!$R$4:$R$503,_calc!$E$834)),IF(LEN(INDEX('Vendor COIs'!$O$4:$O$503,(_calc!$E$834-500)))=0,"",INDEX('Vendor COIs'!$O$4:$O$503,(_calc!$E$834-500)))))</f>
        <v/>
      </c>
      <c r="H832" s="46">
        <f>IF(_calc!$E$834="","",IF(_calc!$E$834&lt;=500,IF(LEN(INDEX('Our policies'!$G$4:$G$503,_calc!$E$834))=0,"",INDEX('Our policies'!$G$4:$G$503,_calc!$E$834)),""))</f>
        <v/>
      </c>
      <c r="I832" s="46">
        <f>IF(_calc!$E$834="","",IF(_calc!$E$834&lt;=500,IF(LEN(INDEX('Our policies'!$H$4:$H$503,_calc!$E$834))=0,"",INDEX('Our policies'!$H$4:$H$503,_calc!$E$834)),""))</f>
        <v/>
      </c>
      <c r="K832" s="46">
        <f>IF(_calc!$E$834="","",IF(_calc!$E$834&lt;=500,IF(LEN(INDEX('Our policies'!$P$4:$P$503,_calc!$E$834))=0,"",INDEX('Our policies'!$P$4:$P$503,_calc!$E$834)),IF(LEN(INDEX('Vendor COIs'!$N$4:$N$503,(_calc!$E$834-500)))=0,"",INDEX('Vendor COIs'!$N$4:$N$503,(_calc!$E$834-500)))))</f>
        <v/>
      </c>
    </row>
    <row r="833">
      <c r="A833" s="46">
        <f>IF(_calc!$E$835="","",IF(_calc!$E$835&lt;=500,IF(LEN(INDEX('Our policies'!$A$4:$A$503,_calc!$E$835))=0,"",INDEX('Our policies'!$A$4:$A$503,_calc!$E$835)),"COI – "&amp;IF(LEN(INDEX('Vendor COIs'!$A$4:$A$503,(_calc!$E$835-500)))=0,"",INDEX('Vendor COIs'!$A$4:$A$503,(_calc!$E$835-500)))&amp;" – "&amp;IF(LEN(INDEX('Vendor COIs'!$B$4:$B$503,(_calc!$E$835-500)))=0,"",INDEX('Vendor COIs'!$B$4:$B$503,(_calc!$E$835-500)))))</f>
        <v/>
      </c>
      <c r="B833" s="46">
        <f>IF(_calc!$E$835="","",IF(_calc!$E$835&lt;=500,IF(ISNUMBER(INDEX('Our policies'!$J$4:$J$503,_calc!$E$835)),TEXT(INDEX('Our policies'!$J$4:$J$503,_calc!$E$835),"yyyy-mm-dd"),""),IF(ISNUMBER(INDEX('Vendor COIs'!$H$4:$H$503,(_calc!$E$835-500))),TEXT(INDEX('Vendor COIs'!$H$4:$H$503,(_calc!$E$835-500)),"yyyy-mm-dd"),"")))</f>
        <v/>
      </c>
      <c r="C833" s="46">
        <f>IF(_calc!$E$835="","",IF(_calc!$E$835&lt;=500,"Insurance","Certificate of insurance"))</f>
        <v/>
      </c>
      <c r="D833" s="46">
        <f>IF(_calc!$E$835="","",IF(_calc!$E$835&lt;=500,IF(ISNUMBER(INDEX('Our policies'!$I$4:$I$503,_calc!$E$835)),TEXT(INDEX('Our policies'!$I$4:$I$503,_calc!$E$835),"yyyy-mm-dd"),""),""))</f>
        <v/>
      </c>
      <c r="E833" s="46">
        <f>IF(_calc!$E$835="","",IF(_calc!$E$835&lt;=500,IF(LEN(INDEX('Our policies'!$Q$4:$Q$503,_calc!$E$835))=0,"",INDEX('Our policies'!$Q$4:$Q$503,_calc!$E$835)),"Medium"))</f>
        <v/>
      </c>
      <c r="F833" s="46">
        <f>IF(_calc!$E$835="","",IF(_calc!$E$835&lt;=500,TRIM(IF(LEN(IF(LEN(INDEX('Our policies'!$B$4:$B$503,_calc!$E$835))=0,"",INDEX('Our policies'!$B$4:$B$503,_calc!$E$835)))=0,"","Cover: "&amp;IF(LEN(INDEX('Our policies'!$B$4:$B$503,_calc!$E$835))=0,"",INDEX('Our policies'!$B$4:$B$503,_calc!$E$835))&amp;". ")&amp;IF(LEN(IF(LEN(INDEX('Our policies'!$C$4:$C$503,_calc!$E$835))=0,"",INDEX('Our policies'!$C$4:$C$503,_calc!$E$835)))=0,"","Insurer: "&amp;IF(LEN(INDEX('Our policies'!$C$4:$C$503,_calc!$E$835))=0,"",INDEX('Our policies'!$C$4:$C$503,_calc!$E$835))&amp;". ")&amp;IF(LEN(IF(LEN(INDEX('Our policies'!$D$4:$D$503,_calc!$E$835))=0,"",INDEX('Our policies'!$D$4:$D$503,_calc!$E$835)))=0,"","Broker: "&amp;IF(LEN(INDEX('Our policies'!$D$4:$D$503,_calc!$E$835))=0,"",INDEX('Our policies'!$D$4:$D$503,_calc!$E$835))&amp;". ")&amp;IF(LEN(IF(LEN(INDEX('Our policies'!$E$4:$E$503,_calc!$E$835))=0,"",INDEX('Our policies'!$E$4:$E$503,_calc!$E$835)))=0,"","Policy no.: "&amp;IF(LEN(INDEX('Our policies'!$E$4:$E$503,_calc!$E$835))=0,"",INDEX('Our policies'!$E$4:$E$503,_calc!$E$835))&amp;". ")&amp;IF(LEN(IF(LEN(INDEX('Our policies'!$S$4:$S$503,_calc!$E$835))=0,"",INDEX('Our policies'!$S$4:$S$503,_calc!$E$835)))=0,"",IF(LEN(INDEX('Our policies'!$S$4:$S$503,_calc!$E$835))=0,"",INDEX('Our policies'!$S$4:$S$503,_calc!$E$835)))),TRIM(IF(LEN(IF(LEN(INDEX('Vendor COIs'!$C$4:$C$503,(_calc!$E$835-500)))=0,"",INDEX('Vendor COIs'!$C$4:$C$503,(_calc!$E$835-500))))=0,"","Insurer: "&amp;IF(LEN(INDEX('Vendor COIs'!$C$4:$C$503,(_calc!$E$835-500)))=0,"",INDEX('Vendor COIs'!$C$4:$C$503,(_calc!$E$835-500)))&amp;". ")&amp;IF(LEN(IF(LEN(INDEX('Vendor COIs'!$D$4:$D$503,(_calc!$E$835-500)))=0,"",INDEX('Vendor COIs'!$D$4:$D$503,(_calc!$E$835-500))))=0,"","Policy no.: "&amp;IF(LEN(INDEX('Vendor COIs'!$D$4:$D$503,(_calc!$E$835-500)))=0,"",INDEX('Vendor COIs'!$D$4:$D$503,(_calc!$E$835-500)))&amp;". ")&amp;IF(LEN(IF(LEN(INDEX('Vendor COIs'!$F$4:$F$503,(_calc!$E$835-500)))=0,"",INDEX('Vendor COIs'!$F$4:$F$503,(_calc!$E$835-500))))=0,"","Meets minimum: "&amp;IF(LEN(INDEX('Vendor COIs'!$F$4:$F$503,(_calc!$E$835-500)))=0,"",INDEX('Vendor COIs'!$F$4:$F$503,(_calc!$E$835-500)))&amp;". ")&amp;IF(LEN(IF(LEN(INDEX('Vendor COIs'!$G$4:$G$503,(_calc!$E$835-500)))=0,"",INDEX('Vendor COIs'!$G$4:$G$503,(_calc!$E$835-500))))=0,"","Additional insured: "&amp;IF(LEN(INDEX('Vendor COIs'!$G$4:$G$503,(_calc!$E$835-500)))=0,"",INDEX('Vendor COIs'!$G$4:$G$503,(_calc!$E$835-500)))&amp;". ")&amp;IF(LEN(IF(LEN(INDEX('Vendor COIs'!$M$4:$M$503,(_calc!$E$835-500)))=0,"",INDEX('Vendor COIs'!$M$4:$M$503,(_calc!$E$835-500))))=0,"","Vendor contact: "&amp;IF(LEN(INDEX('Vendor COIs'!$M$4:$M$503,(_calc!$E$835-500)))=0,"",INDEX('Vendor COIs'!$M$4:$M$503,(_calc!$E$835-500)))&amp;". ")&amp;IF(LEN(IF(LEN(INDEX('Vendor COIs'!$P$4:$P$503,(_calc!$E$835-500)))=0,"",INDEX('Vendor COIs'!$P$4:$P$503,(_calc!$E$835-500))))=0,"",IF(LEN(INDEX('Vendor COIs'!$P$4:$P$503,(_calc!$E$835-500)))=0,"",INDEX('Vendor COIs'!$P$4:$P$503,(_calc!$E$835-500)))))))</f>
        <v/>
      </c>
      <c r="G833" s="46">
        <f>IF(_calc!$E$835="","",IF(_calc!$E$835&lt;=500,IF(LEN(INDEX('Our policies'!$R$4:$R$503,_calc!$E$835))=0,"",INDEX('Our policies'!$R$4:$R$503,_calc!$E$835)),IF(LEN(INDEX('Vendor COIs'!$O$4:$O$503,(_calc!$E$835-500)))=0,"",INDEX('Vendor COIs'!$O$4:$O$503,(_calc!$E$835-500)))))</f>
        <v/>
      </c>
      <c r="H833" s="46">
        <f>IF(_calc!$E$835="","",IF(_calc!$E$835&lt;=500,IF(LEN(INDEX('Our policies'!$G$4:$G$503,_calc!$E$835))=0,"",INDEX('Our policies'!$G$4:$G$503,_calc!$E$835)),""))</f>
        <v/>
      </c>
      <c r="I833" s="46">
        <f>IF(_calc!$E$835="","",IF(_calc!$E$835&lt;=500,IF(LEN(INDEX('Our policies'!$H$4:$H$503,_calc!$E$835))=0,"",INDEX('Our policies'!$H$4:$H$503,_calc!$E$835)),""))</f>
        <v/>
      </c>
      <c r="K833" s="46">
        <f>IF(_calc!$E$835="","",IF(_calc!$E$835&lt;=500,IF(LEN(INDEX('Our policies'!$P$4:$P$503,_calc!$E$835))=0,"",INDEX('Our policies'!$P$4:$P$503,_calc!$E$835)),IF(LEN(INDEX('Vendor COIs'!$N$4:$N$503,(_calc!$E$835-500)))=0,"",INDEX('Vendor COIs'!$N$4:$N$503,(_calc!$E$835-500)))))</f>
        <v/>
      </c>
    </row>
    <row r="834">
      <c r="A834" s="46">
        <f>IF(_calc!$E$836="","",IF(_calc!$E$836&lt;=500,IF(LEN(INDEX('Our policies'!$A$4:$A$503,_calc!$E$836))=0,"",INDEX('Our policies'!$A$4:$A$503,_calc!$E$836)),"COI – "&amp;IF(LEN(INDEX('Vendor COIs'!$A$4:$A$503,(_calc!$E$836-500)))=0,"",INDEX('Vendor COIs'!$A$4:$A$503,(_calc!$E$836-500)))&amp;" – "&amp;IF(LEN(INDEX('Vendor COIs'!$B$4:$B$503,(_calc!$E$836-500)))=0,"",INDEX('Vendor COIs'!$B$4:$B$503,(_calc!$E$836-500)))))</f>
        <v/>
      </c>
      <c r="B834" s="46">
        <f>IF(_calc!$E$836="","",IF(_calc!$E$836&lt;=500,IF(ISNUMBER(INDEX('Our policies'!$J$4:$J$503,_calc!$E$836)),TEXT(INDEX('Our policies'!$J$4:$J$503,_calc!$E$836),"yyyy-mm-dd"),""),IF(ISNUMBER(INDEX('Vendor COIs'!$H$4:$H$503,(_calc!$E$836-500))),TEXT(INDEX('Vendor COIs'!$H$4:$H$503,(_calc!$E$836-500)),"yyyy-mm-dd"),"")))</f>
        <v/>
      </c>
      <c r="C834" s="46">
        <f>IF(_calc!$E$836="","",IF(_calc!$E$836&lt;=500,"Insurance","Certificate of insurance"))</f>
        <v/>
      </c>
      <c r="D834" s="46">
        <f>IF(_calc!$E$836="","",IF(_calc!$E$836&lt;=500,IF(ISNUMBER(INDEX('Our policies'!$I$4:$I$503,_calc!$E$836)),TEXT(INDEX('Our policies'!$I$4:$I$503,_calc!$E$836),"yyyy-mm-dd"),""),""))</f>
        <v/>
      </c>
      <c r="E834" s="46">
        <f>IF(_calc!$E$836="","",IF(_calc!$E$836&lt;=500,IF(LEN(INDEX('Our policies'!$Q$4:$Q$503,_calc!$E$836))=0,"",INDEX('Our policies'!$Q$4:$Q$503,_calc!$E$836)),"Medium"))</f>
        <v/>
      </c>
      <c r="F834" s="46">
        <f>IF(_calc!$E$836="","",IF(_calc!$E$836&lt;=500,TRIM(IF(LEN(IF(LEN(INDEX('Our policies'!$B$4:$B$503,_calc!$E$836))=0,"",INDEX('Our policies'!$B$4:$B$503,_calc!$E$836)))=0,"","Cover: "&amp;IF(LEN(INDEX('Our policies'!$B$4:$B$503,_calc!$E$836))=0,"",INDEX('Our policies'!$B$4:$B$503,_calc!$E$836))&amp;". ")&amp;IF(LEN(IF(LEN(INDEX('Our policies'!$C$4:$C$503,_calc!$E$836))=0,"",INDEX('Our policies'!$C$4:$C$503,_calc!$E$836)))=0,"","Insurer: "&amp;IF(LEN(INDEX('Our policies'!$C$4:$C$503,_calc!$E$836))=0,"",INDEX('Our policies'!$C$4:$C$503,_calc!$E$836))&amp;". ")&amp;IF(LEN(IF(LEN(INDEX('Our policies'!$D$4:$D$503,_calc!$E$836))=0,"",INDEX('Our policies'!$D$4:$D$503,_calc!$E$836)))=0,"","Broker: "&amp;IF(LEN(INDEX('Our policies'!$D$4:$D$503,_calc!$E$836))=0,"",INDEX('Our policies'!$D$4:$D$503,_calc!$E$836))&amp;". ")&amp;IF(LEN(IF(LEN(INDEX('Our policies'!$E$4:$E$503,_calc!$E$836))=0,"",INDEX('Our policies'!$E$4:$E$503,_calc!$E$836)))=0,"","Policy no.: "&amp;IF(LEN(INDEX('Our policies'!$E$4:$E$503,_calc!$E$836))=0,"",INDEX('Our policies'!$E$4:$E$503,_calc!$E$836))&amp;". ")&amp;IF(LEN(IF(LEN(INDEX('Our policies'!$S$4:$S$503,_calc!$E$836))=0,"",INDEX('Our policies'!$S$4:$S$503,_calc!$E$836)))=0,"",IF(LEN(INDEX('Our policies'!$S$4:$S$503,_calc!$E$836))=0,"",INDEX('Our policies'!$S$4:$S$503,_calc!$E$836)))),TRIM(IF(LEN(IF(LEN(INDEX('Vendor COIs'!$C$4:$C$503,(_calc!$E$836-500)))=0,"",INDEX('Vendor COIs'!$C$4:$C$503,(_calc!$E$836-500))))=0,"","Insurer: "&amp;IF(LEN(INDEX('Vendor COIs'!$C$4:$C$503,(_calc!$E$836-500)))=0,"",INDEX('Vendor COIs'!$C$4:$C$503,(_calc!$E$836-500)))&amp;". ")&amp;IF(LEN(IF(LEN(INDEX('Vendor COIs'!$D$4:$D$503,(_calc!$E$836-500)))=0,"",INDEX('Vendor COIs'!$D$4:$D$503,(_calc!$E$836-500))))=0,"","Policy no.: "&amp;IF(LEN(INDEX('Vendor COIs'!$D$4:$D$503,(_calc!$E$836-500)))=0,"",INDEX('Vendor COIs'!$D$4:$D$503,(_calc!$E$836-500)))&amp;". ")&amp;IF(LEN(IF(LEN(INDEX('Vendor COIs'!$F$4:$F$503,(_calc!$E$836-500)))=0,"",INDEX('Vendor COIs'!$F$4:$F$503,(_calc!$E$836-500))))=0,"","Meets minimum: "&amp;IF(LEN(INDEX('Vendor COIs'!$F$4:$F$503,(_calc!$E$836-500)))=0,"",INDEX('Vendor COIs'!$F$4:$F$503,(_calc!$E$836-500)))&amp;". ")&amp;IF(LEN(IF(LEN(INDEX('Vendor COIs'!$G$4:$G$503,(_calc!$E$836-500)))=0,"",INDEX('Vendor COIs'!$G$4:$G$503,(_calc!$E$836-500))))=0,"","Additional insured: "&amp;IF(LEN(INDEX('Vendor COIs'!$G$4:$G$503,(_calc!$E$836-500)))=0,"",INDEX('Vendor COIs'!$G$4:$G$503,(_calc!$E$836-500)))&amp;". ")&amp;IF(LEN(IF(LEN(INDEX('Vendor COIs'!$M$4:$M$503,(_calc!$E$836-500)))=0,"",INDEX('Vendor COIs'!$M$4:$M$503,(_calc!$E$836-500))))=0,"","Vendor contact: "&amp;IF(LEN(INDEX('Vendor COIs'!$M$4:$M$503,(_calc!$E$836-500)))=0,"",INDEX('Vendor COIs'!$M$4:$M$503,(_calc!$E$836-500)))&amp;". ")&amp;IF(LEN(IF(LEN(INDEX('Vendor COIs'!$P$4:$P$503,(_calc!$E$836-500)))=0,"",INDEX('Vendor COIs'!$P$4:$P$503,(_calc!$E$836-500))))=0,"",IF(LEN(INDEX('Vendor COIs'!$P$4:$P$503,(_calc!$E$836-500)))=0,"",INDEX('Vendor COIs'!$P$4:$P$503,(_calc!$E$836-500)))))))</f>
        <v/>
      </c>
      <c r="G834" s="46">
        <f>IF(_calc!$E$836="","",IF(_calc!$E$836&lt;=500,IF(LEN(INDEX('Our policies'!$R$4:$R$503,_calc!$E$836))=0,"",INDEX('Our policies'!$R$4:$R$503,_calc!$E$836)),IF(LEN(INDEX('Vendor COIs'!$O$4:$O$503,(_calc!$E$836-500)))=0,"",INDEX('Vendor COIs'!$O$4:$O$503,(_calc!$E$836-500)))))</f>
        <v/>
      </c>
      <c r="H834" s="46">
        <f>IF(_calc!$E$836="","",IF(_calc!$E$836&lt;=500,IF(LEN(INDEX('Our policies'!$G$4:$G$503,_calc!$E$836))=0,"",INDEX('Our policies'!$G$4:$G$503,_calc!$E$836)),""))</f>
        <v/>
      </c>
      <c r="I834" s="46">
        <f>IF(_calc!$E$836="","",IF(_calc!$E$836&lt;=500,IF(LEN(INDEX('Our policies'!$H$4:$H$503,_calc!$E$836))=0,"",INDEX('Our policies'!$H$4:$H$503,_calc!$E$836)),""))</f>
        <v/>
      </c>
      <c r="K834" s="46">
        <f>IF(_calc!$E$836="","",IF(_calc!$E$836&lt;=500,IF(LEN(INDEX('Our policies'!$P$4:$P$503,_calc!$E$836))=0,"",INDEX('Our policies'!$P$4:$P$503,_calc!$E$836)),IF(LEN(INDEX('Vendor COIs'!$N$4:$N$503,(_calc!$E$836-500)))=0,"",INDEX('Vendor COIs'!$N$4:$N$503,(_calc!$E$836-500)))))</f>
        <v/>
      </c>
    </row>
    <row r="835">
      <c r="A835" s="46">
        <f>IF(_calc!$E$837="","",IF(_calc!$E$837&lt;=500,IF(LEN(INDEX('Our policies'!$A$4:$A$503,_calc!$E$837))=0,"",INDEX('Our policies'!$A$4:$A$503,_calc!$E$837)),"COI – "&amp;IF(LEN(INDEX('Vendor COIs'!$A$4:$A$503,(_calc!$E$837-500)))=0,"",INDEX('Vendor COIs'!$A$4:$A$503,(_calc!$E$837-500)))&amp;" – "&amp;IF(LEN(INDEX('Vendor COIs'!$B$4:$B$503,(_calc!$E$837-500)))=0,"",INDEX('Vendor COIs'!$B$4:$B$503,(_calc!$E$837-500)))))</f>
        <v/>
      </c>
      <c r="B835" s="46">
        <f>IF(_calc!$E$837="","",IF(_calc!$E$837&lt;=500,IF(ISNUMBER(INDEX('Our policies'!$J$4:$J$503,_calc!$E$837)),TEXT(INDEX('Our policies'!$J$4:$J$503,_calc!$E$837),"yyyy-mm-dd"),""),IF(ISNUMBER(INDEX('Vendor COIs'!$H$4:$H$503,(_calc!$E$837-500))),TEXT(INDEX('Vendor COIs'!$H$4:$H$503,(_calc!$E$837-500)),"yyyy-mm-dd"),"")))</f>
        <v/>
      </c>
      <c r="C835" s="46">
        <f>IF(_calc!$E$837="","",IF(_calc!$E$837&lt;=500,"Insurance","Certificate of insurance"))</f>
        <v/>
      </c>
      <c r="D835" s="46">
        <f>IF(_calc!$E$837="","",IF(_calc!$E$837&lt;=500,IF(ISNUMBER(INDEX('Our policies'!$I$4:$I$503,_calc!$E$837)),TEXT(INDEX('Our policies'!$I$4:$I$503,_calc!$E$837),"yyyy-mm-dd"),""),""))</f>
        <v/>
      </c>
      <c r="E835" s="46">
        <f>IF(_calc!$E$837="","",IF(_calc!$E$837&lt;=500,IF(LEN(INDEX('Our policies'!$Q$4:$Q$503,_calc!$E$837))=0,"",INDEX('Our policies'!$Q$4:$Q$503,_calc!$E$837)),"Medium"))</f>
        <v/>
      </c>
      <c r="F835" s="46">
        <f>IF(_calc!$E$837="","",IF(_calc!$E$837&lt;=500,TRIM(IF(LEN(IF(LEN(INDEX('Our policies'!$B$4:$B$503,_calc!$E$837))=0,"",INDEX('Our policies'!$B$4:$B$503,_calc!$E$837)))=0,"","Cover: "&amp;IF(LEN(INDEX('Our policies'!$B$4:$B$503,_calc!$E$837))=0,"",INDEX('Our policies'!$B$4:$B$503,_calc!$E$837))&amp;". ")&amp;IF(LEN(IF(LEN(INDEX('Our policies'!$C$4:$C$503,_calc!$E$837))=0,"",INDEX('Our policies'!$C$4:$C$503,_calc!$E$837)))=0,"","Insurer: "&amp;IF(LEN(INDEX('Our policies'!$C$4:$C$503,_calc!$E$837))=0,"",INDEX('Our policies'!$C$4:$C$503,_calc!$E$837))&amp;". ")&amp;IF(LEN(IF(LEN(INDEX('Our policies'!$D$4:$D$503,_calc!$E$837))=0,"",INDEX('Our policies'!$D$4:$D$503,_calc!$E$837)))=0,"","Broker: "&amp;IF(LEN(INDEX('Our policies'!$D$4:$D$503,_calc!$E$837))=0,"",INDEX('Our policies'!$D$4:$D$503,_calc!$E$837))&amp;". ")&amp;IF(LEN(IF(LEN(INDEX('Our policies'!$E$4:$E$503,_calc!$E$837))=0,"",INDEX('Our policies'!$E$4:$E$503,_calc!$E$837)))=0,"","Policy no.: "&amp;IF(LEN(INDEX('Our policies'!$E$4:$E$503,_calc!$E$837))=0,"",INDEX('Our policies'!$E$4:$E$503,_calc!$E$837))&amp;". ")&amp;IF(LEN(IF(LEN(INDEX('Our policies'!$S$4:$S$503,_calc!$E$837))=0,"",INDEX('Our policies'!$S$4:$S$503,_calc!$E$837)))=0,"",IF(LEN(INDEX('Our policies'!$S$4:$S$503,_calc!$E$837))=0,"",INDEX('Our policies'!$S$4:$S$503,_calc!$E$837)))),TRIM(IF(LEN(IF(LEN(INDEX('Vendor COIs'!$C$4:$C$503,(_calc!$E$837-500)))=0,"",INDEX('Vendor COIs'!$C$4:$C$503,(_calc!$E$837-500))))=0,"","Insurer: "&amp;IF(LEN(INDEX('Vendor COIs'!$C$4:$C$503,(_calc!$E$837-500)))=0,"",INDEX('Vendor COIs'!$C$4:$C$503,(_calc!$E$837-500)))&amp;". ")&amp;IF(LEN(IF(LEN(INDEX('Vendor COIs'!$D$4:$D$503,(_calc!$E$837-500)))=0,"",INDEX('Vendor COIs'!$D$4:$D$503,(_calc!$E$837-500))))=0,"","Policy no.: "&amp;IF(LEN(INDEX('Vendor COIs'!$D$4:$D$503,(_calc!$E$837-500)))=0,"",INDEX('Vendor COIs'!$D$4:$D$503,(_calc!$E$837-500)))&amp;". ")&amp;IF(LEN(IF(LEN(INDEX('Vendor COIs'!$F$4:$F$503,(_calc!$E$837-500)))=0,"",INDEX('Vendor COIs'!$F$4:$F$503,(_calc!$E$837-500))))=0,"","Meets minimum: "&amp;IF(LEN(INDEX('Vendor COIs'!$F$4:$F$503,(_calc!$E$837-500)))=0,"",INDEX('Vendor COIs'!$F$4:$F$503,(_calc!$E$837-500)))&amp;". ")&amp;IF(LEN(IF(LEN(INDEX('Vendor COIs'!$G$4:$G$503,(_calc!$E$837-500)))=0,"",INDEX('Vendor COIs'!$G$4:$G$503,(_calc!$E$837-500))))=0,"","Additional insured: "&amp;IF(LEN(INDEX('Vendor COIs'!$G$4:$G$503,(_calc!$E$837-500)))=0,"",INDEX('Vendor COIs'!$G$4:$G$503,(_calc!$E$837-500)))&amp;". ")&amp;IF(LEN(IF(LEN(INDEX('Vendor COIs'!$M$4:$M$503,(_calc!$E$837-500)))=0,"",INDEX('Vendor COIs'!$M$4:$M$503,(_calc!$E$837-500))))=0,"","Vendor contact: "&amp;IF(LEN(INDEX('Vendor COIs'!$M$4:$M$503,(_calc!$E$837-500)))=0,"",INDEX('Vendor COIs'!$M$4:$M$503,(_calc!$E$837-500)))&amp;". ")&amp;IF(LEN(IF(LEN(INDEX('Vendor COIs'!$P$4:$P$503,(_calc!$E$837-500)))=0,"",INDEX('Vendor COIs'!$P$4:$P$503,(_calc!$E$837-500))))=0,"",IF(LEN(INDEX('Vendor COIs'!$P$4:$P$503,(_calc!$E$837-500)))=0,"",INDEX('Vendor COIs'!$P$4:$P$503,(_calc!$E$837-500)))))))</f>
        <v/>
      </c>
      <c r="G835" s="46">
        <f>IF(_calc!$E$837="","",IF(_calc!$E$837&lt;=500,IF(LEN(INDEX('Our policies'!$R$4:$R$503,_calc!$E$837))=0,"",INDEX('Our policies'!$R$4:$R$503,_calc!$E$837)),IF(LEN(INDEX('Vendor COIs'!$O$4:$O$503,(_calc!$E$837-500)))=0,"",INDEX('Vendor COIs'!$O$4:$O$503,(_calc!$E$837-500)))))</f>
        <v/>
      </c>
      <c r="H835" s="46">
        <f>IF(_calc!$E$837="","",IF(_calc!$E$837&lt;=500,IF(LEN(INDEX('Our policies'!$G$4:$G$503,_calc!$E$837))=0,"",INDEX('Our policies'!$G$4:$G$503,_calc!$E$837)),""))</f>
        <v/>
      </c>
      <c r="I835" s="46">
        <f>IF(_calc!$E$837="","",IF(_calc!$E$837&lt;=500,IF(LEN(INDEX('Our policies'!$H$4:$H$503,_calc!$E$837))=0,"",INDEX('Our policies'!$H$4:$H$503,_calc!$E$837)),""))</f>
        <v/>
      </c>
      <c r="K835" s="46">
        <f>IF(_calc!$E$837="","",IF(_calc!$E$837&lt;=500,IF(LEN(INDEX('Our policies'!$P$4:$P$503,_calc!$E$837))=0,"",INDEX('Our policies'!$P$4:$P$503,_calc!$E$837)),IF(LEN(INDEX('Vendor COIs'!$N$4:$N$503,(_calc!$E$837-500)))=0,"",INDEX('Vendor COIs'!$N$4:$N$503,(_calc!$E$837-500)))))</f>
        <v/>
      </c>
    </row>
    <row r="836">
      <c r="A836" s="46">
        <f>IF(_calc!$E$838="","",IF(_calc!$E$838&lt;=500,IF(LEN(INDEX('Our policies'!$A$4:$A$503,_calc!$E$838))=0,"",INDEX('Our policies'!$A$4:$A$503,_calc!$E$838)),"COI – "&amp;IF(LEN(INDEX('Vendor COIs'!$A$4:$A$503,(_calc!$E$838-500)))=0,"",INDEX('Vendor COIs'!$A$4:$A$503,(_calc!$E$838-500)))&amp;" – "&amp;IF(LEN(INDEX('Vendor COIs'!$B$4:$B$503,(_calc!$E$838-500)))=0,"",INDEX('Vendor COIs'!$B$4:$B$503,(_calc!$E$838-500)))))</f>
        <v/>
      </c>
      <c r="B836" s="46">
        <f>IF(_calc!$E$838="","",IF(_calc!$E$838&lt;=500,IF(ISNUMBER(INDEX('Our policies'!$J$4:$J$503,_calc!$E$838)),TEXT(INDEX('Our policies'!$J$4:$J$503,_calc!$E$838),"yyyy-mm-dd"),""),IF(ISNUMBER(INDEX('Vendor COIs'!$H$4:$H$503,(_calc!$E$838-500))),TEXT(INDEX('Vendor COIs'!$H$4:$H$503,(_calc!$E$838-500)),"yyyy-mm-dd"),"")))</f>
        <v/>
      </c>
      <c r="C836" s="46">
        <f>IF(_calc!$E$838="","",IF(_calc!$E$838&lt;=500,"Insurance","Certificate of insurance"))</f>
        <v/>
      </c>
      <c r="D836" s="46">
        <f>IF(_calc!$E$838="","",IF(_calc!$E$838&lt;=500,IF(ISNUMBER(INDEX('Our policies'!$I$4:$I$503,_calc!$E$838)),TEXT(INDEX('Our policies'!$I$4:$I$503,_calc!$E$838),"yyyy-mm-dd"),""),""))</f>
        <v/>
      </c>
      <c r="E836" s="46">
        <f>IF(_calc!$E$838="","",IF(_calc!$E$838&lt;=500,IF(LEN(INDEX('Our policies'!$Q$4:$Q$503,_calc!$E$838))=0,"",INDEX('Our policies'!$Q$4:$Q$503,_calc!$E$838)),"Medium"))</f>
        <v/>
      </c>
      <c r="F836" s="46">
        <f>IF(_calc!$E$838="","",IF(_calc!$E$838&lt;=500,TRIM(IF(LEN(IF(LEN(INDEX('Our policies'!$B$4:$B$503,_calc!$E$838))=0,"",INDEX('Our policies'!$B$4:$B$503,_calc!$E$838)))=0,"","Cover: "&amp;IF(LEN(INDEX('Our policies'!$B$4:$B$503,_calc!$E$838))=0,"",INDEX('Our policies'!$B$4:$B$503,_calc!$E$838))&amp;". ")&amp;IF(LEN(IF(LEN(INDEX('Our policies'!$C$4:$C$503,_calc!$E$838))=0,"",INDEX('Our policies'!$C$4:$C$503,_calc!$E$838)))=0,"","Insurer: "&amp;IF(LEN(INDEX('Our policies'!$C$4:$C$503,_calc!$E$838))=0,"",INDEX('Our policies'!$C$4:$C$503,_calc!$E$838))&amp;". ")&amp;IF(LEN(IF(LEN(INDEX('Our policies'!$D$4:$D$503,_calc!$E$838))=0,"",INDEX('Our policies'!$D$4:$D$503,_calc!$E$838)))=0,"","Broker: "&amp;IF(LEN(INDEX('Our policies'!$D$4:$D$503,_calc!$E$838))=0,"",INDEX('Our policies'!$D$4:$D$503,_calc!$E$838))&amp;". ")&amp;IF(LEN(IF(LEN(INDEX('Our policies'!$E$4:$E$503,_calc!$E$838))=0,"",INDEX('Our policies'!$E$4:$E$503,_calc!$E$838)))=0,"","Policy no.: "&amp;IF(LEN(INDEX('Our policies'!$E$4:$E$503,_calc!$E$838))=0,"",INDEX('Our policies'!$E$4:$E$503,_calc!$E$838))&amp;". ")&amp;IF(LEN(IF(LEN(INDEX('Our policies'!$S$4:$S$503,_calc!$E$838))=0,"",INDEX('Our policies'!$S$4:$S$503,_calc!$E$838)))=0,"",IF(LEN(INDEX('Our policies'!$S$4:$S$503,_calc!$E$838))=0,"",INDEX('Our policies'!$S$4:$S$503,_calc!$E$838)))),TRIM(IF(LEN(IF(LEN(INDEX('Vendor COIs'!$C$4:$C$503,(_calc!$E$838-500)))=0,"",INDEX('Vendor COIs'!$C$4:$C$503,(_calc!$E$838-500))))=0,"","Insurer: "&amp;IF(LEN(INDEX('Vendor COIs'!$C$4:$C$503,(_calc!$E$838-500)))=0,"",INDEX('Vendor COIs'!$C$4:$C$503,(_calc!$E$838-500)))&amp;". ")&amp;IF(LEN(IF(LEN(INDEX('Vendor COIs'!$D$4:$D$503,(_calc!$E$838-500)))=0,"",INDEX('Vendor COIs'!$D$4:$D$503,(_calc!$E$838-500))))=0,"","Policy no.: "&amp;IF(LEN(INDEX('Vendor COIs'!$D$4:$D$503,(_calc!$E$838-500)))=0,"",INDEX('Vendor COIs'!$D$4:$D$503,(_calc!$E$838-500)))&amp;". ")&amp;IF(LEN(IF(LEN(INDEX('Vendor COIs'!$F$4:$F$503,(_calc!$E$838-500)))=0,"",INDEX('Vendor COIs'!$F$4:$F$503,(_calc!$E$838-500))))=0,"","Meets minimum: "&amp;IF(LEN(INDEX('Vendor COIs'!$F$4:$F$503,(_calc!$E$838-500)))=0,"",INDEX('Vendor COIs'!$F$4:$F$503,(_calc!$E$838-500)))&amp;". ")&amp;IF(LEN(IF(LEN(INDEX('Vendor COIs'!$G$4:$G$503,(_calc!$E$838-500)))=0,"",INDEX('Vendor COIs'!$G$4:$G$503,(_calc!$E$838-500))))=0,"","Additional insured: "&amp;IF(LEN(INDEX('Vendor COIs'!$G$4:$G$503,(_calc!$E$838-500)))=0,"",INDEX('Vendor COIs'!$G$4:$G$503,(_calc!$E$838-500)))&amp;". ")&amp;IF(LEN(IF(LEN(INDEX('Vendor COIs'!$M$4:$M$503,(_calc!$E$838-500)))=0,"",INDEX('Vendor COIs'!$M$4:$M$503,(_calc!$E$838-500))))=0,"","Vendor contact: "&amp;IF(LEN(INDEX('Vendor COIs'!$M$4:$M$503,(_calc!$E$838-500)))=0,"",INDEX('Vendor COIs'!$M$4:$M$503,(_calc!$E$838-500)))&amp;". ")&amp;IF(LEN(IF(LEN(INDEX('Vendor COIs'!$P$4:$P$503,(_calc!$E$838-500)))=0,"",INDEX('Vendor COIs'!$P$4:$P$503,(_calc!$E$838-500))))=0,"",IF(LEN(INDEX('Vendor COIs'!$P$4:$P$503,(_calc!$E$838-500)))=0,"",INDEX('Vendor COIs'!$P$4:$P$503,(_calc!$E$838-500)))))))</f>
        <v/>
      </c>
      <c r="G836" s="46">
        <f>IF(_calc!$E$838="","",IF(_calc!$E$838&lt;=500,IF(LEN(INDEX('Our policies'!$R$4:$R$503,_calc!$E$838))=0,"",INDEX('Our policies'!$R$4:$R$503,_calc!$E$838)),IF(LEN(INDEX('Vendor COIs'!$O$4:$O$503,(_calc!$E$838-500)))=0,"",INDEX('Vendor COIs'!$O$4:$O$503,(_calc!$E$838-500)))))</f>
        <v/>
      </c>
      <c r="H836" s="46">
        <f>IF(_calc!$E$838="","",IF(_calc!$E$838&lt;=500,IF(LEN(INDEX('Our policies'!$G$4:$G$503,_calc!$E$838))=0,"",INDEX('Our policies'!$G$4:$G$503,_calc!$E$838)),""))</f>
        <v/>
      </c>
      <c r="I836" s="46">
        <f>IF(_calc!$E$838="","",IF(_calc!$E$838&lt;=500,IF(LEN(INDEX('Our policies'!$H$4:$H$503,_calc!$E$838))=0,"",INDEX('Our policies'!$H$4:$H$503,_calc!$E$838)),""))</f>
        <v/>
      </c>
      <c r="K836" s="46">
        <f>IF(_calc!$E$838="","",IF(_calc!$E$838&lt;=500,IF(LEN(INDEX('Our policies'!$P$4:$P$503,_calc!$E$838))=0,"",INDEX('Our policies'!$P$4:$P$503,_calc!$E$838)),IF(LEN(INDEX('Vendor COIs'!$N$4:$N$503,(_calc!$E$838-500)))=0,"",INDEX('Vendor COIs'!$N$4:$N$503,(_calc!$E$838-500)))))</f>
        <v/>
      </c>
    </row>
    <row r="837">
      <c r="A837" s="46">
        <f>IF(_calc!$E$839="","",IF(_calc!$E$839&lt;=500,IF(LEN(INDEX('Our policies'!$A$4:$A$503,_calc!$E$839))=0,"",INDEX('Our policies'!$A$4:$A$503,_calc!$E$839)),"COI – "&amp;IF(LEN(INDEX('Vendor COIs'!$A$4:$A$503,(_calc!$E$839-500)))=0,"",INDEX('Vendor COIs'!$A$4:$A$503,(_calc!$E$839-500)))&amp;" – "&amp;IF(LEN(INDEX('Vendor COIs'!$B$4:$B$503,(_calc!$E$839-500)))=0,"",INDEX('Vendor COIs'!$B$4:$B$503,(_calc!$E$839-500)))))</f>
        <v/>
      </c>
      <c r="B837" s="46">
        <f>IF(_calc!$E$839="","",IF(_calc!$E$839&lt;=500,IF(ISNUMBER(INDEX('Our policies'!$J$4:$J$503,_calc!$E$839)),TEXT(INDEX('Our policies'!$J$4:$J$503,_calc!$E$839),"yyyy-mm-dd"),""),IF(ISNUMBER(INDEX('Vendor COIs'!$H$4:$H$503,(_calc!$E$839-500))),TEXT(INDEX('Vendor COIs'!$H$4:$H$503,(_calc!$E$839-500)),"yyyy-mm-dd"),"")))</f>
        <v/>
      </c>
      <c r="C837" s="46">
        <f>IF(_calc!$E$839="","",IF(_calc!$E$839&lt;=500,"Insurance","Certificate of insurance"))</f>
        <v/>
      </c>
      <c r="D837" s="46">
        <f>IF(_calc!$E$839="","",IF(_calc!$E$839&lt;=500,IF(ISNUMBER(INDEX('Our policies'!$I$4:$I$503,_calc!$E$839)),TEXT(INDEX('Our policies'!$I$4:$I$503,_calc!$E$839),"yyyy-mm-dd"),""),""))</f>
        <v/>
      </c>
      <c r="E837" s="46">
        <f>IF(_calc!$E$839="","",IF(_calc!$E$839&lt;=500,IF(LEN(INDEX('Our policies'!$Q$4:$Q$503,_calc!$E$839))=0,"",INDEX('Our policies'!$Q$4:$Q$503,_calc!$E$839)),"Medium"))</f>
        <v/>
      </c>
      <c r="F837" s="46">
        <f>IF(_calc!$E$839="","",IF(_calc!$E$839&lt;=500,TRIM(IF(LEN(IF(LEN(INDEX('Our policies'!$B$4:$B$503,_calc!$E$839))=0,"",INDEX('Our policies'!$B$4:$B$503,_calc!$E$839)))=0,"","Cover: "&amp;IF(LEN(INDEX('Our policies'!$B$4:$B$503,_calc!$E$839))=0,"",INDEX('Our policies'!$B$4:$B$503,_calc!$E$839))&amp;". ")&amp;IF(LEN(IF(LEN(INDEX('Our policies'!$C$4:$C$503,_calc!$E$839))=0,"",INDEX('Our policies'!$C$4:$C$503,_calc!$E$839)))=0,"","Insurer: "&amp;IF(LEN(INDEX('Our policies'!$C$4:$C$503,_calc!$E$839))=0,"",INDEX('Our policies'!$C$4:$C$503,_calc!$E$839))&amp;". ")&amp;IF(LEN(IF(LEN(INDEX('Our policies'!$D$4:$D$503,_calc!$E$839))=0,"",INDEX('Our policies'!$D$4:$D$503,_calc!$E$839)))=0,"","Broker: "&amp;IF(LEN(INDEX('Our policies'!$D$4:$D$503,_calc!$E$839))=0,"",INDEX('Our policies'!$D$4:$D$503,_calc!$E$839))&amp;". ")&amp;IF(LEN(IF(LEN(INDEX('Our policies'!$E$4:$E$503,_calc!$E$839))=0,"",INDEX('Our policies'!$E$4:$E$503,_calc!$E$839)))=0,"","Policy no.: "&amp;IF(LEN(INDEX('Our policies'!$E$4:$E$503,_calc!$E$839))=0,"",INDEX('Our policies'!$E$4:$E$503,_calc!$E$839))&amp;". ")&amp;IF(LEN(IF(LEN(INDEX('Our policies'!$S$4:$S$503,_calc!$E$839))=0,"",INDEX('Our policies'!$S$4:$S$503,_calc!$E$839)))=0,"",IF(LEN(INDEX('Our policies'!$S$4:$S$503,_calc!$E$839))=0,"",INDEX('Our policies'!$S$4:$S$503,_calc!$E$839)))),TRIM(IF(LEN(IF(LEN(INDEX('Vendor COIs'!$C$4:$C$503,(_calc!$E$839-500)))=0,"",INDEX('Vendor COIs'!$C$4:$C$503,(_calc!$E$839-500))))=0,"","Insurer: "&amp;IF(LEN(INDEX('Vendor COIs'!$C$4:$C$503,(_calc!$E$839-500)))=0,"",INDEX('Vendor COIs'!$C$4:$C$503,(_calc!$E$839-500)))&amp;". ")&amp;IF(LEN(IF(LEN(INDEX('Vendor COIs'!$D$4:$D$503,(_calc!$E$839-500)))=0,"",INDEX('Vendor COIs'!$D$4:$D$503,(_calc!$E$839-500))))=0,"","Policy no.: "&amp;IF(LEN(INDEX('Vendor COIs'!$D$4:$D$503,(_calc!$E$839-500)))=0,"",INDEX('Vendor COIs'!$D$4:$D$503,(_calc!$E$839-500)))&amp;". ")&amp;IF(LEN(IF(LEN(INDEX('Vendor COIs'!$F$4:$F$503,(_calc!$E$839-500)))=0,"",INDEX('Vendor COIs'!$F$4:$F$503,(_calc!$E$839-500))))=0,"","Meets minimum: "&amp;IF(LEN(INDEX('Vendor COIs'!$F$4:$F$503,(_calc!$E$839-500)))=0,"",INDEX('Vendor COIs'!$F$4:$F$503,(_calc!$E$839-500)))&amp;". ")&amp;IF(LEN(IF(LEN(INDEX('Vendor COIs'!$G$4:$G$503,(_calc!$E$839-500)))=0,"",INDEX('Vendor COIs'!$G$4:$G$503,(_calc!$E$839-500))))=0,"","Additional insured: "&amp;IF(LEN(INDEX('Vendor COIs'!$G$4:$G$503,(_calc!$E$839-500)))=0,"",INDEX('Vendor COIs'!$G$4:$G$503,(_calc!$E$839-500)))&amp;". ")&amp;IF(LEN(IF(LEN(INDEX('Vendor COIs'!$M$4:$M$503,(_calc!$E$839-500)))=0,"",INDEX('Vendor COIs'!$M$4:$M$503,(_calc!$E$839-500))))=0,"","Vendor contact: "&amp;IF(LEN(INDEX('Vendor COIs'!$M$4:$M$503,(_calc!$E$839-500)))=0,"",INDEX('Vendor COIs'!$M$4:$M$503,(_calc!$E$839-500)))&amp;". ")&amp;IF(LEN(IF(LEN(INDEX('Vendor COIs'!$P$4:$P$503,(_calc!$E$839-500)))=0,"",INDEX('Vendor COIs'!$P$4:$P$503,(_calc!$E$839-500))))=0,"",IF(LEN(INDEX('Vendor COIs'!$P$4:$P$503,(_calc!$E$839-500)))=0,"",INDEX('Vendor COIs'!$P$4:$P$503,(_calc!$E$839-500)))))))</f>
        <v/>
      </c>
      <c r="G837" s="46">
        <f>IF(_calc!$E$839="","",IF(_calc!$E$839&lt;=500,IF(LEN(INDEX('Our policies'!$R$4:$R$503,_calc!$E$839))=0,"",INDEX('Our policies'!$R$4:$R$503,_calc!$E$839)),IF(LEN(INDEX('Vendor COIs'!$O$4:$O$503,(_calc!$E$839-500)))=0,"",INDEX('Vendor COIs'!$O$4:$O$503,(_calc!$E$839-500)))))</f>
        <v/>
      </c>
      <c r="H837" s="46">
        <f>IF(_calc!$E$839="","",IF(_calc!$E$839&lt;=500,IF(LEN(INDEX('Our policies'!$G$4:$G$503,_calc!$E$839))=0,"",INDEX('Our policies'!$G$4:$G$503,_calc!$E$839)),""))</f>
        <v/>
      </c>
      <c r="I837" s="46">
        <f>IF(_calc!$E$839="","",IF(_calc!$E$839&lt;=500,IF(LEN(INDEX('Our policies'!$H$4:$H$503,_calc!$E$839))=0,"",INDEX('Our policies'!$H$4:$H$503,_calc!$E$839)),""))</f>
        <v/>
      </c>
      <c r="K837" s="46">
        <f>IF(_calc!$E$839="","",IF(_calc!$E$839&lt;=500,IF(LEN(INDEX('Our policies'!$P$4:$P$503,_calc!$E$839))=0,"",INDEX('Our policies'!$P$4:$P$503,_calc!$E$839)),IF(LEN(INDEX('Vendor COIs'!$N$4:$N$503,(_calc!$E$839-500)))=0,"",INDEX('Vendor COIs'!$N$4:$N$503,(_calc!$E$839-500)))))</f>
        <v/>
      </c>
    </row>
    <row r="838">
      <c r="A838" s="46">
        <f>IF(_calc!$E$840="","",IF(_calc!$E$840&lt;=500,IF(LEN(INDEX('Our policies'!$A$4:$A$503,_calc!$E$840))=0,"",INDEX('Our policies'!$A$4:$A$503,_calc!$E$840)),"COI – "&amp;IF(LEN(INDEX('Vendor COIs'!$A$4:$A$503,(_calc!$E$840-500)))=0,"",INDEX('Vendor COIs'!$A$4:$A$503,(_calc!$E$840-500)))&amp;" – "&amp;IF(LEN(INDEX('Vendor COIs'!$B$4:$B$503,(_calc!$E$840-500)))=0,"",INDEX('Vendor COIs'!$B$4:$B$503,(_calc!$E$840-500)))))</f>
        <v/>
      </c>
      <c r="B838" s="46">
        <f>IF(_calc!$E$840="","",IF(_calc!$E$840&lt;=500,IF(ISNUMBER(INDEX('Our policies'!$J$4:$J$503,_calc!$E$840)),TEXT(INDEX('Our policies'!$J$4:$J$503,_calc!$E$840),"yyyy-mm-dd"),""),IF(ISNUMBER(INDEX('Vendor COIs'!$H$4:$H$503,(_calc!$E$840-500))),TEXT(INDEX('Vendor COIs'!$H$4:$H$503,(_calc!$E$840-500)),"yyyy-mm-dd"),"")))</f>
        <v/>
      </c>
      <c r="C838" s="46">
        <f>IF(_calc!$E$840="","",IF(_calc!$E$840&lt;=500,"Insurance","Certificate of insurance"))</f>
        <v/>
      </c>
      <c r="D838" s="46">
        <f>IF(_calc!$E$840="","",IF(_calc!$E$840&lt;=500,IF(ISNUMBER(INDEX('Our policies'!$I$4:$I$503,_calc!$E$840)),TEXT(INDEX('Our policies'!$I$4:$I$503,_calc!$E$840),"yyyy-mm-dd"),""),""))</f>
        <v/>
      </c>
      <c r="E838" s="46">
        <f>IF(_calc!$E$840="","",IF(_calc!$E$840&lt;=500,IF(LEN(INDEX('Our policies'!$Q$4:$Q$503,_calc!$E$840))=0,"",INDEX('Our policies'!$Q$4:$Q$503,_calc!$E$840)),"Medium"))</f>
        <v/>
      </c>
      <c r="F838" s="46">
        <f>IF(_calc!$E$840="","",IF(_calc!$E$840&lt;=500,TRIM(IF(LEN(IF(LEN(INDEX('Our policies'!$B$4:$B$503,_calc!$E$840))=0,"",INDEX('Our policies'!$B$4:$B$503,_calc!$E$840)))=0,"","Cover: "&amp;IF(LEN(INDEX('Our policies'!$B$4:$B$503,_calc!$E$840))=0,"",INDEX('Our policies'!$B$4:$B$503,_calc!$E$840))&amp;". ")&amp;IF(LEN(IF(LEN(INDEX('Our policies'!$C$4:$C$503,_calc!$E$840))=0,"",INDEX('Our policies'!$C$4:$C$503,_calc!$E$840)))=0,"","Insurer: "&amp;IF(LEN(INDEX('Our policies'!$C$4:$C$503,_calc!$E$840))=0,"",INDEX('Our policies'!$C$4:$C$503,_calc!$E$840))&amp;". ")&amp;IF(LEN(IF(LEN(INDEX('Our policies'!$D$4:$D$503,_calc!$E$840))=0,"",INDEX('Our policies'!$D$4:$D$503,_calc!$E$840)))=0,"","Broker: "&amp;IF(LEN(INDEX('Our policies'!$D$4:$D$503,_calc!$E$840))=0,"",INDEX('Our policies'!$D$4:$D$503,_calc!$E$840))&amp;". ")&amp;IF(LEN(IF(LEN(INDEX('Our policies'!$E$4:$E$503,_calc!$E$840))=0,"",INDEX('Our policies'!$E$4:$E$503,_calc!$E$840)))=0,"","Policy no.: "&amp;IF(LEN(INDEX('Our policies'!$E$4:$E$503,_calc!$E$840))=0,"",INDEX('Our policies'!$E$4:$E$503,_calc!$E$840))&amp;". ")&amp;IF(LEN(IF(LEN(INDEX('Our policies'!$S$4:$S$503,_calc!$E$840))=0,"",INDEX('Our policies'!$S$4:$S$503,_calc!$E$840)))=0,"",IF(LEN(INDEX('Our policies'!$S$4:$S$503,_calc!$E$840))=0,"",INDEX('Our policies'!$S$4:$S$503,_calc!$E$840)))),TRIM(IF(LEN(IF(LEN(INDEX('Vendor COIs'!$C$4:$C$503,(_calc!$E$840-500)))=0,"",INDEX('Vendor COIs'!$C$4:$C$503,(_calc!$E$840-500))))=0,"","Insurer: "&amp;IF(LEN(INDEX('Vendor COIs'!$C$4:$C$503,(_calc!$E$840-500)))=0,"",INDEX('Vendor COIs'!$C$4:$C$503,(_calc!$E$840-500)))&amp;". ")&amp;IF(LEN(IF(LEN(INDEX('Vendor COIs'!$D$4:$D$503,(_calc!$E$840-500)))=0,"",INDEX('Vendor COIs'!$D$4:$D$503,(_calc!$E$840-500))))=0,"","Policy no.: "&amp;IF(LEN(INDEX('Vendor COIs'!$D$4:$D$503,(_calc!$E$840-500)))=0,"",INDEX('Vendor COIs'!$D$4:$D$503,(_calc!$E$840-500)))&amp;". ")&amp;IF(LEN(IF(LEN(INDEX('Vendor COIs'!$F$4:$F$503,(_calc!$E$840-500)))=0,"",INDEX('Vendor COIs'!$F$4:$F$503,(_calc!$E$840-500))))=0,"","Meets minimum: "&amp;IF(LEN(INDEX('Vendor COIs'!$F$4:$F$503,(_calc!$E$840-500)))=0,"",INDEX('Vendor COIs'!$F$4:$F$503,(_calc!$E$840-500)))&amp;". ")&amp;IF(LEN(IF(LEN(INDEX('Vendor COIs'!$G$4:$G$503,(_calc!$E$840-500)))=0,"",INDEX('Vendor COIs'!$G$4:$G$503,(_calc!$E$840-500))))=0,"","Additional insured: "&amp;IF(LEN(INDEX('Vendor COIs'!$G$4:$G$503,(_calc!$E$840-500)))=0,"",INDEX('Vendor COIs'!$G$4:$G$503,(_calc!$E$840-500)))&amp;". ")&amp;IF(LEN(IF(LEN(INDEX('Vendor COIs'!$M$4:$M$503,(_calc!$E$840-500)))=0,"",INDEX('Vendor COIs'!$M$4:$M$503,(_calc!$E$840-500))))=0,"","Vendor contact: "&amp;IF(LEN(INDEX('Vendor COIs'!$M$4:$M$503,(_calc!$E$840-500)))=0,"",INDEX('Vendor COIs'!$M$4:$M$503,(_calc!$E$840-500)))&amp;". ")&amp;IF(LEN(IF(LEN(INDEX('Vendor COIs'!$P$4:$P$503,(_calc!$E$840-500)))=0,"",INDEX('Vendor COIs'!$P$4:$P$503,(_calc!$E$840-500))))=0,"",IF(LEN(INDEX('Vendor COIs'!$P$4:$P$503,(_calc!$E$840-500)))=0,"",INDEX('Vendor COIs'!$P$4:$P$503,(_calc!$E$840-500)))))))</f>
        <v/>
      </c>
      <c r="G838" s="46">
        <f>IF(_calc!$E$840="","",IF(_calc!$E$840&lt;=500,IF(LEN(INDEX('Our policies'!$R$4:$R$503,_calc!$E$840))=0,"",INDEX('Our policies'!$R$4:$R$503,_calc!$E$840)),IF(LEN(INDEX('Vendor COIs'!$O$4:$O$503,(_calc!$E$840-500)))=0,"",INDEX('Vendor COIs'!$O$4:$O$503,(_calc!$E$840-500)))))</f>
        <v/>
      </c>
      <c r="H838" s="46">
        <f>IF(_calc!$E$840="","",IF(_calc!$E$840&lt;=500,IF(LEN(INDEX('Our policies'!$G$4:$G$503,_calc!$E$840))=0,"",INDEX('Our policies'!$G$4:$G$503,_calc!$E$840)),""))</f>
        <v/>
      </c>
      <c r="I838" s="46">
        <f>IF(_calc!$E$840="","",IF(_calc!$E$840&lt;=500,IF(LEN(INDEX('Our policies'!$H$4:$H$503,_calc!$E$840))=0,"",INDEX('Our policies'!$H$4:$H$503,_calc!$E$840)),""))</f>
        <v/>
      </c>
      <c r="K838" s="46">
        <f>IF(_calc!$E$840="","",IF(_calc!$E$840&lt;=500,IF(LEN(INDEX('Our policies'!$P$4:$P$503,_calc!$E$840))=0,"",INDEX('Our policies'!$P$4:$P$503,_calc!$E$840)),IF(LEN(INDEX('Vendor COIs'!$N$4:$N$503,(_calc!$E$840-500)))=0,"",INDEX('Vendor COIs'!$N$4:$N$503,(_calc!$E$840-500)))))</f>
        <v/>
      </c>
    </row>
    <row r="839">
      <c r="A839" s="46">
        <f>IF(_calc!$E$841="","",IF(_calc!$E$841&lt;=500,IF(LEN(INDEX('Our policies'!$A$4:$A$503,_calc!$E$841))=0,"",INDEX('Our policies'!$A$4:$A$503,_calc!$E$841)),"COI – "&amp;IF(LEN(INDEX('Vendor COIs'!$A$4:$A$503,(_calc!$E$841-500)))=0,"",INDEX('Vendor COIs'!$A$4:$A$503,(_calc!$E$841-500)))&amp;" – "&amp;IF(LEN(INDEX('Vendor COIs'!$B$4:$B$503,(_calc!$E$841-500)))=0,"",INDEX('Vendor COIs'!$B$4:$B$503,(_calc!$E$841-500)))))</f>
        <v/>
      </c>
      <c r="B839" s="46">
        <f>IF(_calc!$E$841="","",IF(_calc!$E$841&lt;=500,IF(ISNUMBER(INDEX('Our policies'!$J$4:$J$503,_calc!$E$841)),TEXT(INDEX('Our policies'!$J$4:$J$503,_calc!$E$841),"yyyy-mm-dd"),""),IF(ISNUMBER(INDEX('Vendor COIs'!$H$4:$H$503,(_calc!$E$841-500))),TEXT(INDEX('Vendor COIs'!$H$4:$H$503,(_calc!$E$841-500)),"yyyy-mm-dd"),"")))</f>
        <v/>
      </c>
      <c r="C839" s="46">
        <f>IF(_calc!$E$841="","",IF(_calc!$E$841&lt;=500,"Insurance","Certificate of insurance"))</f>
        <v/>
      </c>
      <c r="D839" s="46">
        <f>IF(_calc!$E$841="","",IF(_calc!$E$841&lt;=500,IF(ISNUMBER(INDEX('Our policies'!$I$4:$I$503,_calc!$E$841)),TEXT(INDEX('Our policies'!$I$4:$I$503,_calc!$E$841),"yyyy-mm-dd"),""),""))</f>
        <v/>
      </c>
      <c r="E839" s="46">
        <f>IF(_calc!$E$841="","",IF(_calc!$E$841&lt;=500,IF(LEN(INDEX('Our policies'!$Q$4:$Q$503,_calc!$E$841))=0,"",INDEX('Our policies'!$Q$4:$Q$503,_calc!$E$841)),"Medium"))</f>
        <v/>
      </c>
      <c r="F839" s="46">
        <f>IF(_calc!$E$841="","",IF(_calc!$E$841&lt;=500,TRIM(IF(LEN(IF(LEN(INDEX('Our policies'!$B$4:$B$503,_calc!$E$841))=0,"",INDEX('Our policies'!$B$4:$B$503,_calc!$E$841)))=0,"","Cover: "&amp;IF(LEN(INDEX('Our policies'!$B$4:$B$503,_calc!$E$841))=0,"",INDEX('Our policies'!$B$4:$B$503,_calc!$E$841))&amp;". ")&amp;IF(LEN(IF(LEN(INDEX('Our policies'!$C$4:$C$503,_calc!$E$841))=0,"",INDEX('Our policies'!$C$4:$C$503,_calc!$E$841)))=0,"","Insurer: "&amp;IF(LEN(INDEX('Our policies'!$C$4:$C$503,_calc!$E$841))=0,"",INDEX('Our policies'!$C$4:$C$503,_calc!$E$841))&amp;". ")&amp;IF(LEN(IF(LEN(INDEX('Our policies'!$D$4:$D$503,_calc!$E$841))=0,"",INDEX('Our policies'!$D$4:$D$503,_calc!$E$841)))=0,"","Broker: "&amp;IF(LEN(INDEX('Our policies'!$D$4:$D$503,_calc!$E$841))=0,"",INDEX('Our policies'!$D$4:$D$503,_calc!$E$841))&amp;". ")&amp;IF(LEN(IF(LEN(INDEX('Our policies'!$E$4:$E$503,_calc!$E$841))=0,"",INDEX('Our policies'!$E$4:$E$503,_calc!$E$841)))=0,"","Policy no.: "&amp;IF(LEN(INDEX('Our policies'!$E$4:$E$503,_calc!$E$841))=0,"",INDEX('Our policies'!$E$4:$E$503,_calc!$E$841))&amp;". ")&amp;IF(LEN(IF(LEN(INDEX('Our policies'!$S$4:$S$503,_calc!$E$841))=0,"",INDEX('Our policies'!$S$4:$S$503,_calc!$E$841)))=0,"",IF(LEN(INDEX('Our policies'!$S$4:$S$503,_calc!$E$841))=0,"",INDEX('Our policies'!$S$4:$S$503,_calc!$E$841)))),TRIM(IF(LEN(IF(LEN(INDEX('Vendor COIs'!$C$4:$C$503,(_calc!$E$841-500)))=0,"",INDEX('Vendor COIs'!$C$4:$C$503,(_calc!$E$841-500))))=0,"","Insurer: "&amp;IF(LEN(INDEX('Vendor COIs'!$C$4:$C$503,(_calc!$E$841-500)))=0,"",INDEX('Vendor COIs'!$C$4:$C$503,(_calc!$E$841-500)))&amp;". ")&amp;IF(LEN(IF(LEN(INDEX('Vendor COIs'!$D$4:$D$503,(_calc!$E$841-500)))=0,"",INDEX('Vendor COIs'!$D$4:$D$503,(_calc!$E$841-500))))=0,"","Policy no.: "&amp;IF(LEN(INDEX('Vendor COIs'!$D$4:$D$503,(_calc!$E$841-500)))=0,"",INDEX('Vendor COIs'!$D$4:$D$503,(_calc!$E$841-500)))&amp;". ")&amp;IF(LEN(IF(LEN(INDEX('Vendor COIs'!$F$4:$F$503,(_calc!$E$841-500)))=0,"",INDEX('Vendor COIs'!$F$4:$F$503,(_calc!$E$841-500))))=0,"","Meets minimum: "&amp;IF(LEN(INDEX('Vendor COIs'!$F$4:$F$503,(_calc!$E$841-500)))=0,"",INDEX('Vendor COIs'!$F$4:$F$503,(_calc!$E$841-500)))&amp;". ")&amp;IF(LEN(IF(LEN(INDEX('Vendor COIs'!$G$4:$G$503,(_calc!$E$841-500)))=0,"",INDEX('Vendor COIs'!$G$4:$G$503,(_calc!$E$841-500))))=0,"","Additional insured: "&amp;IF(LEN(INDEX('Vendor COIs'!$G$4:$G$503,(_calc!$E$841-500)))=0,"",INDEX('Vendor COIs'!$G$4:$G$503,(_calc!$E$841-500)))&amp;". ")&amp;IF(LEN(IF(LEN(INDEX('Vendor COIs'!$M$4:$M$503,(_calc!$E$841-500)))=0,"",INDEX('Vendor COIs'!$M$4:$M$503,(_calc!$E$841-500))))=0,"","Vendor contact: "&amp;IF(LEN(INDEX('Vendor COIs'!$M$4:$M$503,(_calc!$E$841-500)))=0,"",INDEX('Vendor COIs'!$M$4:$M$503,(_calc!$E$841-500)))&amp;". ")&amp;IF(LEN(IF(LEN(INDEX('Vendor COIs'!$P$4:$P$503,(_calc!$E$841-500)))=0,"",INDEX('Vendor COIs'!$P$4:$P$503,(_calc!$E$841-500))))=0,"",IF(LEN(INDEX('Vendor COIs'!$P$4:$P$503,(_calc!$E$841-500)))=0,"",INDEX('Vendor COIs'!$P$4:$P$503,(_calc!$E$841-500)))))))</f>
        <v/>
      </c>
      <c r="G839" s="46">
        <f>IF(_calc!$E$841="","",IF(_calc!$E$841&lt;=500,IF(LEN(INDEX('Our policies'!$R$4:$R$503,_calc!$E$841))=0,"",INDEX('Our policies'!$R$4:$R$503,_calc!$E$841)),IF(LEN(INDEX('Vendor COIs'!$O$4:$O$503,(_calc!$E$841-500)))=0,"",INDEX('Vendor COIs'!$O$4:$O$503,(_calc!$E$841-500)))))</f>
        <v/>
      </c>
      <c r="H839" s="46">
        <f>IF(_calc!$E$841="","",IF(_calc!$E$841&lt;=500,IF(LEN(INDEX('Our policies'!$G$4:$G$503,_calc!$E$841))=0,"",INDEX('Our policies'!$G$4:$G$503,_calc!$E$841)),""))</f>
        <v/>
      </c>
      <c r="I839" s="46">
        <f>IF(_calc!$E$841="","",IF(_calc!$E$841&lt;=500,IF(LEN(INDEX('Our policies'!$H$4:$H$503,_calc!$E$841))=0,"",INDEX('Our policies'!$H$4:$H$503,_calc!$E$841)),""))</f>
        <v/>
      </c>
      <c r="K839" s="46">
        <f>IF(_calc!$E$841="","",IF(_calc!$E$841&lt;=500,IF(LEN(INDEX('Our policies'!$P$4:$P$503,_calc!$E$841))=0,"",INDEX('Our policies'!$P$4:$P$503,_calc!$E$841)),IF(LEN(INDEX('Vendor COIs'!$N$4:$N$503,(_calc!$E$841-500)))=0,"",INDEX('Vendor COIs'!$N$4:$N$503,(_calc!$E$841-500)))))</f>
        <v/>
      </c>
    </row>
    <row r="840">
      <c r="A840" s="46">
        <f>IF(_calc!$E$842="","",IF(_calc!$E$842&lt;=500,IF(LEN(INDEX('Our policies'!$A$4:$A$503,_calc!$E$842))=0,"",INDEX('Our policies'!$A$4:$A$503,_calc!$E$842)),"COI – "&amp;IF(LEN(INDEX('Vendor COIs'!$A$4:$A$503,(_calc!$E$842-500)))=0,"",INDEX('Vendor COIs'!$A$4:$A$503,(_calc!$E$842-500)))&amp;" – "&amp;IF(LEN(INDEX('Vendor COIs'!$B$4:$B$503,(_calc!$E$842-500)))=0,"",INDEX('Vendor COIs'!$B$4:$B$503,(_calc!$E$842-500)))))</f>
        <v/>
      </c>
      <c r="B840" s="46">
        <f>IF(_calc!$E$842="","",IF(_calc!$E$842&lt;=500,IF(ISNUMBER(INDEX('Our policies'!$J$4:$J$503,_calc!$E$842)),TEXT(INDEX('Our policies'!$J$4:$J$503,_calc!$E$842),"yyyy-mm-dd"),""),IF(ISNUMBER(INDEX('Vendor COIs'!$H$4:$H$503,(_calc!$E$842-500))),TEXT(INDEX('Vendor COIs'!$H$4:$H$503,(_calc!$E$842-500)),"yyyy-mm-dd"),"")))</f>
        <v/>
      </c>
      <c r="C840" s="46">
        <f>IF(_calc!$E$842="","",IF(_calc!$E$842&lt;=500,"Insurance","Certificate of insurance"))</f>
        <v/>
      </c>
      <c r="D840" s="46">
        <f>IF(_calc!$E$842="","",IF(_calc!$E$842&lt;=500,IF(ISNUMBER(INDEX('Our policies'!$I$4:$I$503,_calc!$E$842)),TEXT(INDEX('Our policies'!$I$4:$I$503,_calc!$E$842),"yyyy-mm-dd"),""),""))</f>
        <v/>
      </c>
      <c r="E840" s="46">
        <f>IF(_calc!$E$842="","",IF(_calc!$E$842&lt;=500,IF(LEN(INDEX('Our policies'!$Q$4:$Q$503,_calc!$E$842))=0,"",INDEX('Our policies'!$Q$4:$Q$503,_calc!$E$842)),"Medium"))</f>
        <v/>
      </c>
      <c r="F840" s="46">
        <f>IF(_calc!$E$842="","",IF(_calc!$E$842&lt;=500,TRIM(IF(LEN(IF(LEN(INDEX('Our policies'!$B$4:$B$503,_calc!$E$842))=0,"",INDEX('Our policies'!$B$4:$B$503,_calc!$E$842)))=0,"","Cover: "&amp;IF(LEN(INDEX('Our policies'!$B$4:$B$503,_calc!$E$842))=0,"",INDEX('Our policies'!$B$4:$B$503,_calc!$E$842))&amp;". ")&amp;IF(LEN(IF(LEN(INDEX('Our policies'!$C$4:$C$503,_calc!$E$842))=0,"",INDEX('Our policies'!$C$4:$C$503,_calc!$E$842)))=0,"","Insurer: "&amp;IF(LEN(INDEX('Our policies'!$C$4:$C$503,_calc!$E$842))=0,"",INDEX('Our policies'!$C$4:$C$503,_calc!$E$842))&amp;". ")&amp;IF(LEN(IF(LEN(INDEX('Our policies'!$D$4:$D$503,_calc!$E$842))=0,"",INDEX('Our policies'!$D$4:$D$503,_calc!$E$842)))=0,"","Broker: "&amp;IF(LEN(INDEX('Our policies'!$D$4:$D$503,_calc!$E$842))=0,"",INDEX('Our policies'!$D$4:$D$503,_calc!$E$842))&amp;". ")&amp;IF(LEN(IF(LEN(INDEX('Our policies'!$E$4:$E$503,_calc!$E$842))=0,"",INDEX('Our policies'!$E$4:$E$503,_calc!$E$842)))=0,"","Policy no.: "&amp;IF(LEN(INDEX('Our policies'!$E$4:$E$503,_calc!$E$842))=0,"",INDEX('Our policies'!$E$4:$E$503,_calc!$E$842))&amp;". ")&amp;IF(LEN(IF(LEN(INDEX('Our policies'!$S$4:$S$503,_calc!$E$842))=0,"",INDEX('Our policies'!$S$4:$S$503,_calc!$E$842)))=0,"",IF(LEN(INDEX('Our policies'!$S$4:$S$503,_calc!$E$842))=0,"",INDEX('Our policies'!$S$4:$S$503,_calc!$E$842)))),TRIM(IF(LEN(IF(LEN(INDEX('Vendor COIs'!$C$4:$C$503,(_calc!$E$842-500)))=0,"",INDEX('Vendor COIs'!$C$4:$C$503,(_calc!$E$842-500))))=0,"","Insurer: "&amp;IF(LEN(INDEX('Vendor COIs'!$C$4:$C$503,(_calc!$E$842-500)))=0,"",INDEX('Vendor COIs'!$C$4:$C$503,(_calc!$E$842-500)))&amp;". ")&amp;IF(LEN(IF(LEN(INDEX('Vendor COIs'!$D$4:$D$503,(_calc!$E$842-500)))=0,"",INDEX('Vendor COIs'!$D$4:$D$503,(_calc!$E$842-500))))=0,"","Policy no.: "&amp;IF(LEN(INDEX('Vendor COIs'!$D$4:$D$503,(_calc!$E$842-500)))=0,"",INDEX('Vendor COIs'!$D$4:$D$503,(_calc!$E$842-500)))&amp;". ")&amp;IF(LEN(IF(LEN(INDEX('Vendor COIs'!$F$4:$F$503,(_calc!$E$842-500)))=0,"",INDEX('Vendor COIs'!$F$4:$F$503,(_calc!$E$842-500))))=0,"","Meets minimum: "&amp;IF(LEN(INDEX('Vendor COIs'!$F$4:$F$503,(_calc!$E$842-500)))=0,"",INDEX('Vendor COIs'!$F$4:$F$503,(_calc!$E$842-500)))&amp;". ")&amp;IF(LEN(IF(LEN(INDEX('Vendor COIs'!$G$4:$G$503,(_calc!$E$842-500)))=0,"",INDEX('Vendor COIs'!$G$4:$G$503,(_calc!$E$842-500))))=0,"","Additional insured: "&amp;IF(LEN(INDEX('Vendor COIs'!$G$4:$G$503,(_calc!$E$842-500)))=0,"",INDEX('Vendor COIs'!$G$4:$G$503,(_calc!$E$842-500)))&amp;". ")&amp;IF(LEN(IF(LEN(INDEX('Vendor COIs'!$M$4:$M$503,(_calc!$E$842-500)))=0,"",INDEX('Vendor COIs'!$M$4:$M$503,(_calc!$E$842-500))))=0,"","Vendor contact: "&amp;IF(LEN(INDEX('Vendor COIs'!$M$4:$M$503,(_calc!$E$842-500)))=0,"",INDEX('Vendor COIs'!$M$4:$M$503,(_calc!$E$842-500)))&amp;". ")&amp;IF(LEN(IF(LEN(INDEX('Vendor COIs'!$P$4:$P$503,(_calc!$E$842-500)))=0,"",INDEX('Vendor COIs'!$P$4:$P$503,(_calc!$E$842-500))))=0,"",IF(LEN(INDEX('Vendor COIs'!$P$4:$P$503,(_calc!$E$842-500)))=0,"",INDEX('Vendor COIs'!$P$4:$P$503,(_calc!$E$842-500)))))))</f>
        <v/>
      </c>
      <c r="G840" s="46">
        <f>IF(_calc!$E$842="","",IF(_calc!$E$842&lt;=500,IF(LEN(INDEX('Our policies'!$R$4:$R$503,_calc!$E$842))=0,"",INDEX('Our policies'!$R$4:$R$503,_calc!$E$842)),IF(LEN(INDEX('Vendor COIs'!$O$4:$O$503,(_calc!$E$842-500)))=0,"",INDEX('Vendor COIs'!$O$4:$O$503,(_calc!$E$842-500)))))</f>
        <v/>
      </c>
      <c r="H840" s="46">
        <f>IF(_calc!$E$842="","",IF(_calc!$E$842&lt;=500,IF(LEN(INDEX('Our policies'!$G$4:$G$503,_calc!$E$842))=0,"",INDEX('Our policies'!$G$4:$G$503,_calc!$E$842)),""))</f>
        <v/>
      </c>
      <c r="I840" s="46">
        <f>IF(_calc!$E$842="","",IF(_calc!$E$842&lt;=500,IF(LEN(INDEX('Our policies'!$H$4:$H$503,_calc!$E$842))=0,"",INDEX('Our policies'!$H$4:$H$503,_calc!$E$842)),""))</f>
        <v/>
      </c>
      <c r="K840" s="46">
        <f>IF(_calc!$E$842="","",IF(_calc!$E$842&lt;=500,IF(LEN(INDEX('Our policies'!$P$4:$P$503,_calc!$E$842))=0,"",INDEX('Our policies'!$P$4:$P$503,_calc!$E$842)),IF(LEN(INDEX('Vendor COIs'!$N$4:$N$503,(_calc!$E$842-500)))=0,"",INDEX('Vendor COIs'!$N$4:$N$503,(_calc!$E$842-500)))))</f>
        <v/>
      </c>
    </row>
    <row r="841">
      <c r="A841" s="46">
        <f>IF(_calc!$E$843="","",IF(_calc!$E$843&lt;=500,IF(LEN(INDEX('Our policies'!$A$4:$A$503,_calc!$E$843))=0,"",INDEX('Our policies'!$A$4:$A$503,_calc!$E$843)),"COI – "&amp;IF(LEN(INDEX('Vendor COIs'!$A$4:$A$503,(_calc!$E$843-500)))=0,"",INDEX('Vendor COIs'!$A$4:$A$503,(_calc!$E$843-500)))&amp;" – "&amp;IF(LEN(INDEX('Vendor COIs'!$B$4:$B$503,(_calc!$E$843-500)))=0,"",INDEX('Vendor COIs'!$B$4:$B$503,(_calc!$E$843-500)))))</f>
        <v/>
      </c>
      <c r="B841" s="46">
        <f>IF(_calc!$E$843="","",IF(_calc!$E$843&lt;=500,IF(ISNUMBER(INDEX('Our policies'!$J$4:$J$503,_calc!$E$843)),TEXT(INDEX('Our policies'!$J$4:$J$503,_calc!$E$843),"yyyy-mm-dd"),""),IF(ISNUMBER(INDEX('Vendor COIs'!$H$4:$H$503,(_calc!$E$843-500))),TEXT(INDEX('Vendor COIs'!$H$4:$H$503,(_calc!$E$843-500)),"yyyy-mm-dd"),"")))</f>
        <v/>
      </c>
      <c r="C841" s="46">
        <f>IF(_calc!$E$843="","",IF(_calc!$E$843&lt;=500,"Insurance","Certificate of insurance"))</f>
        <v/>
      </c>
      <c r="D841" s="46">
        <f>IF(_calc!$E$843="","",IF(_calc!$E$843&lt;=500,IF(ISNUMBER(INDEX('Our policies'!$I$4:$I$503,_calc!$E$843)),TEXT(INDEX('Our policies'!$I$4:$I$503,_calc!$E$843),"yyyy-mm-dd"),""),""))</f>
        <v/>
      </c>
      <c r="E841" s="46">
        <f>IF(_calc!$E$843="","",IF(_calc!$E$843&lt;=500,IF(LEN(INDEX('Our policies'!$Q$4:$Q$503,_calc!$E$843))=0,"",INDEX('Our policies'!$Q$4:$Q$503,_calc!$E$843)),"Medium"))</f>
        <v/>
      </c>
      <c r="F841" s="46">
        <f>IF(_calc!$E$843="","",IF(_calc!$E$843&lt;=500,TRIM(IF(LEN(IF(LEN(INDEX('Our policies'!$B$4:$B$503,_calc!$E$843))=0,"",INDEX('Our policies'!$B$4:$B$503,_calc!$E$843)))=0,"","Cover: "&amp;IF(LEN(INDEX('Our policies'!$B$4:$B$503,_calc!$E$843))=0,"",INDEX('Our policies'!$B$4:$B$503,_calc!$E$843))&amp;". ")&amp;IF(LEN(IF(LEN(INDEX('Our policies'!$C$4:$C$503,_calc!$E$843))=0,"",INDEX('Our policies'!$C$4:$C$503,_calc!$E$843)))=0,"","Insurer: "&amp;IF(LEN(INDEX('Our policies'!$C$4:$C$503,_calc!$E$843))=0,"",INDEX('Our policies'!$C$4:$C$503,_calc!$E$843))&amp;". ")&amp;IF(LEN(IF(LEN(INDEX('Our policies'!$D$4:$D$503,_calc!$E$843))=0,"",INDEX('Our policies'!$D$4:$D$503,_calc!$E$843)))=0,"","Broker: "&amp;IF(LEN(INDEX('Our policies'!$D$4:$D$503,_calc!$E$843))=0,"",INDEX('Our policies'!$D$4:$D$503,_calc!$E$843))&amp;". ")&amp;IF(LEN(IF(LEN(INDEX('Our policies'!$E$4:$E$503,_calc!$E$843))=0,"",INDEX('Our policies'!$E$4:$E$503,_calc!$E$843)))=0,"","Policy no.: "&amp;IF(LEN(INDEX('Our policies'!$E$4:$E$503,_calc!$E$843))=0,"",INDEX('Our policies'!$E$4:$E$503,_calc!$E$843))&amp;". ")&amp;IF(LEN(IF(LEN(INDEX('Our policies'!$S$4:$S$503,_calc!$E$843))=0,"",INDEX('Our policies'!$S$4:$S$503,_calc!$E$843)))=0,"",IF(LEN(INDEX('Our policies'!$S$4:$S$503,_calc!$E$843))=0,"",INDEX('Our policies'!$S$4:$S$503,_calc!$E$843)))),TRIM(IF(LEN(IF(LEN(INDEX('Vendor COIs'!$C$4:$C$503,(_calc!$E$843-500)))=0,"",INDEX('Vendor COIs'!$C$4:$C$503,(_calc!$E$843-500))))=0,"","Insurer: "&amp;IF(LEN(INDEX('Vendor COIs'!$C$4:$C$503,(_calc!$E$843-500)))=0,"",INDEX('Vendor COIs'!$C$4:$C$503,(_calc!$E$843-500)))&amp;". ")&amp;IF(LEN(IF(LEN(INDEX('Vendor COIs'!$D$4:$D$503,(_calc!$E$843-500)))=0,"",INDEX('Vendor COIs'!$D$4:$D$503,(_calc!$E$843-500))))=0,"","Policy no.: "&amp;IF(LEN(INDEX('Vendor COIs'!$D$4:$D$503,(_calc!$E$843-500)))=0,"",INDEX('Vendor COIs'!$D$4:$D$503,(_calc!$E$843-500)))&amp;". ")&amp;IF(LEN(IF(LEN(INDEX('Vendor COIs'!$F$4:$F$503,(_calc!$E$843-500)))=0,"",INDEX('Vendor COIs'!$F$4:$F$503,(_calc!$E$843-500))))=0,"","Meets minimum: "&amp;IF(LEN(INDEX('Vendor COIs'!$F$4:$F$503,(_calc!$E$843-500)))=0,"",INDEX('Vendor COIs'!$F$4:$F$503,(_calc!$E$843-500)))&amp;". ")&amp;IF(LEN(IF(LEN(INDEX('Vendor COIs'!$G$4:$G$503,(_calc!$E$843-500)))=0,"",INDEX('Vendor COIs'!$G$4:$G$503,(_calc!$E$843-500))))=0,"","Additional insured: "&amp;IF(LEN(INDEX('Vendor COIs'!$G$4:$G$503,(_calc!$E$843-500)))=0,"",INDEX('Vendor COIs'!$G$4:$G$503,(_calc!$E$843-500)))&amp;". ")&amp;IF(LEN(IF(LEN(INDEX('Vendor COIs'!$M$4:$M$503,(_calc!$E$843-500)))=0,"",INDEX('Vendor COIs'!$M$4:$M$503,(_calc!$E$843-500))))=0,"","Vendor contact: "&amp;IF(LEN(INDEX('Vendor COIs'!$M$4:$M$503,(_calc!$E$843-500)))=0,"",INDEX('Vendor COIs'!$M$4:$M$503,(_calc!$E$843-500)))&amp;". ")&amp;IF(LEN(IF(LEN(INDEX('Vendor COIs'!$P$4:$P$503,(_calc!$E$843-500)))=0,"",INDEX('Vendor COIs'!$P$4:$P$503,(_calc!$E$843-500))))=0,"",IF(LEN(INDEX('Vendor COIs'!$P$4:$P$503,(_calc!$E$843-500)))=0,"",INDEX('Vendor COIs'!$P$4:$P$503,(_calc!$E$843-500)))))))</f>
        <v/>
      </c>
      <c r="G841" s="46">
        <f>IF(_calc!$E$843="","",IF(_calc!$E$843&lt;=500,IF(LEN(INDEX('Our policies'!$R$4:$R$503,_calc!$E$843))=0,"",INDEX('Our policies'!$R$4:$R$503,_calc!$E$843)),IF(LEN(INDEX('Vendor COIs'!$O$4:$O$503,(_calc!$E$843-500)))=0,"",INDEX('Vendor COIs'!$O$4:$O$503,(_calc!$E$843-500)))))</f>
        <v/>
      </c>
      <c r="H841" s="46">
        <f>IF(_calc!$E$843="","",IF(_calc!$E$843&lt;=500,IF(LEN(INDEX('Our policies'!$G$4:$G$503,_calc!$E$843))=0,"",INDEX('Our policies'!$G$4:$G$503,_calc!$E$843)),""))</f>
        <v/>
      </c>
      <c r="I841" s="46">
        <f>IF(_calc!$E$843="","",IF(_calc!$E$843&lt;=500,IF(LEN(INDEX('Our policies'!$H$4:$H$503,_calc!$E$843))=0,"",INDEX('Our policies'!$H$4:$H$503,_calc!$E$843)),""))</f>
        <v/>
      </c>
      <c r="K841" s="46">
        <f>IF(_calc!$E$843="","",IF(_calc!$E$843&lt;=500,IF(LEN(INDEX('Our policies'!$P$4:$P$503,_calc!$E$843))=0,"",INDEX('Our policies'!$P$4:$P$503,_calc!$E$843)),IF(LEN(INDEX('Vendor COIs'!$N$4:$N$503,(_calc!$E$843-500)))=0,"",INDEX('Vendor COIs'!$N$4:$N$503,(_calc!$E$843-500)))))</f>
        <v/>
      </c>
    </row>
    <row r="842">
      <c r="A842" s="46">
        <f>IF(_calc!$E$844="","",IF(_calc!$E$844&lt;=500,IF(LEN(INDEX('Our policies'!$A$4:$A$503,_calc!$E$844))=0,"",INDEX('Our policies'!$A$4:$A$503,_calc!$E$844)),"COI – "&amp;IF(LEN(INDEX('Vendor COIs'!$A$4:$A$503,(_calc!$E$844-500)))=0,"",INDEX('Vendor COIs'!$A$4:$A$503,(_calc!$E$844-500)))&amp;" – "&amp;IF(LEN(INDEX('Vendor COIs'!$B$4:$B$503,(_calc!$E$844-500)))=0,"",INDEX('Vendor COIs'!$B$4:$B$503,(_calc!$E$844-500)))))</f>
        <v/>
      </c>
      <c r="B842" s="46">
        <f>IF(_calc!$E$844="","",IF(_calc!$E$844&lt;=500,IF(ISNUMBER(INDEX('Our policies'!$J$4:$J$503,_calc!$E$844)),TEXT(INDEX('Our policies'!$J$4:$J$503,_calc!$E$844),"yyyy-mm-dd"),""),IF(ISNUMBER(INDEX('Vendor COIs'!$H$4:$H$503,(_calc!$E$844-500))),TEXT(INDEX('Vendor COIs'!$H$4:$H$503,(_calc!$E$844-500)),"yyyy-mm-dd"),"")))</f>
        <v/>
      </c>
      <c r="C842" s="46">
        <f>IF(_calc!$E$844="","",IF(_calc!$E$844&lt;=500,"Insurance","Certificate of insurance"))</f>
        <v/>
      </c>
      <c r="D842" s="46">
        <f>IF(_calc!$E$844="","",IF(_calc!$E$844&lt;=500,IF(ISNUMBER(INDEX('Our policies'!$I$4:$I$503,_calc!$E$844)),TEXT(INDEX('Our policies'!$I$4:$I$503,_calc!$E$844),"yyyy-mm-dd"),""),""))</f>
        <v/>
      </c>
      <c r="E842" s="46">
        <f>IF(_calc!$E$844="","",IF(_calc!$E$844&lt;=500,IF(LEN(INDEX('Our policies'!$Q$4:$Q$503,_calc!$E$844))=0,"",INDEX('Our policies'!$Q$4:$Q$503,_calc!$E$844)),"Medium"))</f>
        <v/>
      </c>
      <c r="F842" s="46">
        <f>IF(_calc!$E$844="","",IF(_calc!$E$844&lt;=500,TRIM(IF(LEN(IF(LEN(INDEX('Our policies'!$B$4:$B$503,_calc!$E$844))=0,"",INDEX('Our policies'!$B$4:$B$503,_calc!$E$844)))=0,"","Cover: "&amp;IF(LEN(INDEX('Our policies'!$B$4:$B$503,_calc!$E$844))=0,"",INDEX('Our policies'!$B$4:$B$503,_calc!$E$844))&amp;". ")&amp;IF(LEN(IF(LEN(INDEX('Our policies'!$C$4:$C$503,_calc!$E$844))=0,"",INDEX('Our policies'!$C$4:$C$503,_calc!$E$844)))=0,"","Insurer: "&amp;IF(LEN(INDEX('Our policies'!$C$4:$C$503,_calc!$E$844))=0,"",INDEX('Our policies'!$C$4:$C$503,_calc!$E$844))&amp;". ")&amp;IF(LEN(IF(LEN(INDEX('Our policies'!$D$4:$D$503,_calc!$E$844))=0,"",INDEX('Our policies'!$D$4:$D$503,_calc!$E$844)))=0,"","Broker: "&amp;IF(LEN(INDEX('Our policies'!$D$4:$D$503,_calc!$E$844))=0,"",INDEX('Our policies'!$D$4:$D$503,_calc!$E$844))&amp;". ")&amp;IF(LEN(IF(LEN(INDEX('Our policies'!$E$4:$E$503,_calc!$E$844))=0,"",INDEX('Our policies'!$E$4:$E$503,_calc!$E$844)))=0,"","Policy no.: "&amp;IF(LEN(INDEX('Our policies'!$E$4:$E$503,_calc!$E$844))=0,"",INDEX('Our policies'!$E$4:$E$503,_calc!$E$844))&amp;". ")&amp;IF(LEN(IF(LEN(INDEX('Our policies'!$S$4:$S$503,_calc!$E$844))=0,"",INDEX('Our policies'!$S$4:$S$503,_calc!$E$844)))=0,"",IF(LEN(INDEX('Our policies'!$S$4:$S$503,_calc!$E$844))=0,"",INDEX('Our policies'!$S$4:$S$503,_calc!$E$844)))),TRIM(IF(LEN(IF(LEN(INDEX('Vendor COIs'!$C$4:$C$503,(_calc!$E$844-500)))=0,"",INDEX('Vendor COIs'!$C$4:$C$503,(_calc!$E$844-500))))=0,"","Insurer: "&amp;IF(LEN(INDEX('Vendor COIs'!$C$4:$C$503,(_calc!$E$844-500)))=0,"",INDEX('Vendor COIs'!$C$4:$C$503,(_calc!$E$844-500)))&amp;". ")&amp;IF(LEN(IF(LEN(INDEX('Vendor COIs'!$D$4:$D$503,(_calc!$E$844-500)))=0,"",INDEX('Vendor COIs'!$D$4:$D$503,(_calc!$E$844-500))))=0,"","Policy no.: "&amp;IF(LEN(INDEX('Vendor COIs'!$D$4:$D$503,(_calc!$E$844-500)))=0,"",INDEX('Vendor COIs'!$D$4:$D$503,(_calc!$E$844-500)))&amp;". ")&amp;IF(LEN(IF(LEN(INDEX('Vendor COIs'!$F$4:$F$503,(_calc!$E$844-500)))=0,"",INDEX('Vendor COIs'!$F$4:$F$503,(_calc!$E$844-500))))=0,"","Meets minimum: "&amp;IF(LEN(INDEX('Vendor COIs'!$F$4:$F$503,(_calc!$E$844-500)))=0,"",INDEX('Vendor COIs'!$F$4:$F$503,(_calc!$E$844-500)))&amp;". ")&amp;IF(LEN(IF(LEN(INDEX('Vendor COIs'!$G$4:$G$503,(_calc!$E$844-500)))=0,"",INDEX('Vendor COIs'!$G$4:$G$503,(_calc!$E$844-500))))=0,"","Additional insured: "&amp;IF(LEN(INDEX('Vendor COIs'!$G$4:$G$503,(_calc!$E$844-500)))=0,"",INDEX('Vendor COIs'!$G$4:$G$503,(_calc!$E$844-500)))&amp;". ")&amp;IF(LEN(IF(LEN(INDEX('Vendor COIs'!$M$4:$M$503,(_calc!$E$844-500)))=0,"",INDEX('Vendor COIs'!$M$4:$M$503,(_calc!$E$844-500))))=0,"","Vendor contact: "&amp;IF(LEN(INDEX('Vendor COIs'!$M$4:$M$503,(_calc!$E$844-500)))=0,"",INDEX('Vendor COIs'!$M$4:$M$503,(_calc!$E$844-500)))&amp;". ")&amp;IF(LEN(IF(LEN(INDEX('Vendor COIs'!$P$4:$P$503,(_calc!$E$844-500)))=0,"",INDEX('Vendor COIs'!$P$4:$P$503,(_calc!$E$844-500))))=0,"",IF(LEN(INDEX('Vendor COIs'!$P$4:$P$503,(_calc!$E$844-500)))=0,"",INDEX('Vendor COIs'!$P$4:$P$503,(_calc!$E$844-500)))))))</f>
        <v/>
      </c>
      <c r="G842" s="46">
        <f>IF(_calc!$E$844="","",IF(_calc!$E$844&lt;=500,IF(LEN(INDEX('Our policies'!$R$4:$R$503,_calc!$E$844))=0,"",INDEX('Our policies'!$R$4:$R$503,_calc!$E$844)),IF(LEN(INDEX('Vendor COIs'!$O$4:$O$503,(_calc!$E$844-500)))=0,"",INDEX('Vendor COIs'!$O$4:$O$503,(_calc!$E$844-500)))))</f>
        <v/>
      </c>
      <c r="H842" s="46">
        <f>IF(_calc!$E$844="","",IF(_calc!$E$844&lt;=500,IF(LEN(INDEX('Our policies'!$G$4:$G$503,_calc!$E$844))=0,"",INDEX('Our policies'!$G$4:$G$503,_calc!$E$844)),""))</f>
        <v/>
      </c>
      <c r="I842" s="46">
        <f>IF(_calc!$E$844="","",IF(_calc!$E$844&lt;=500,IF(LEN(INDEX('Our policies'!$H$4:$H$503,_calc!$E$844))=0,"",INDEX('Our policies'!$H$4:$H$503,_calc!$E$844)),""))</f>
        <v/>
      </c>
      <c r="K842" s="46">
        <f>IF(_calc!$E$844="","",IF(_calc!$E$844&lt;=500,IF(LEN(INDEX('Our policies'!$P$4:$P$503,_calc!$E$844))=0,"",INDEX('Our policies'!$P$4:$P$503,_calc!$E$844)),IF(LEN(INDEX('Vendor COIs'!$N$4:$N$503,(_calc!$E$844-500)))=0,"",INDEX('Vendor COIs'!$N$4:$N$503,(_calc!$E$844-500)))))</f>
        <v/>
      </c>
    </row>
    <row r="843">
      <c r="A843" s="46">
        <f>IF(_calc!$E$845="","",IF(_calc!$E$845&lt;=500,IF(LEN(INDEX('Our policies'!$A$4:$A$503,_calc!$E$845))=0,"",INDEX('Our policies'!$A$4:$A$503,_calc!$E$845)),"COI – "&amp;IF(LEN(INDEX('Vendor COIs'!$A$4:$A$503,(_calc!$E$845-500)))=0,"",INDEX('Vendor COIs'!$A$4:$A$503,(_calc!$E$845-500)))&amp;" – "&amp;IF(LEN(INDEX('Vendor COIs'!$B$4:$B$503,(_calc!$E$845-500)))=0,"",INDEX('Vendor COIs'!$B$4:$B$503,(_calc!$E$845-500)))))</f>
        <v/>
      </c>
      <c r="B843" s="46">
        <f>IF(_calc!$E$845="","",IF(_calc!$E$845&lt;=500,IF(ISNUMBER(INDEX('Our policies'!$J$4:$J$503,_calc!$E$845)),TEXT(INDEX('Our policies'!$J$4:$J$503,_calc!$E$845),"yyyy-mm-dd"),""),IF(ISNUMBER(INDEX('Vendor COIs'!$H$4:$H$503,(_calc!$E$845-500))),TEXT(INDEX('Vendor COIs'!$H$4:$H$503,(_calc!$E$845-500)),"yyyy-mm-dd"),"")))</f>
        <v/>
      </c>
      <c r="C843" s="46">
        <f>IF(_calc!$E$845="","",IF(_calc!$E$845&lt;=500,"Insurance","Certificate of insurance"))</f>
        <v/>
      </c>
      <c r="D843" s="46">
        <f>IF(_calc!$E$845="","",IF(_calc!$E$845&lt;=500,IF(ISNUMBER(INDEX('Our policies'!$I$4:$I$503,_calc!$E$845)),TEXT(INDEX('Our policies'!$I$4:$I$503,_calc!$E$845),"yyyy-mm-dd"),""),""))</f>
        <v/>
      </c>
      <c r="E843" s="46">
        <f>IF(_calc!$E$845="","",IF(_calc!$E$845&lt;=500,IF(LEN(INDEX('Our policies'!$Q$4:$Q$503,_calc!$E$845))=0,"",INDEX('Our policies'!$Q$4:$Q$503,_calc!$E$845)),"Medium"))</f>
        <v/>
      </c>
      <c r="F843" s="46">
        <f>IF(_calc!$E$845="","",IF(_calc!$E$845&lt;=500,TRIM(IF(LEN(IF(LEN(INDEX('Our policies'!$B$4:$B$503,_calc!$E$845))=0,"",INDEX('Our policies'!$B$4:$B$503,_calc!$E$845)))=0,"","Cover: "&amp;IF(LEN(INDEX('Our policies'!$B$4:$B$503,_calc!$E$845))=0,"",INDEX('Our policies'!$B$4:$B$503,_calc!$E$845))&amp;". ")&amp;IF(LEN(IF(LEN(INDEX('Our policies'!$C$4:$C$503,_calc!$E$845))=0,"",INDEX('Our policies'!$C$4:$C$503,_calc!$E$845)))=0,"","Insurer: "&amp;IF(LEN(INDEX('Our policies'!$C$4:$C$503,_calc!$E$845))=0,"",INDEX('Our policies'!$C$4:$C$503,_calc!$E$845))&amp;". ")&amp;IF(LEN(IF(LEN(INDEX('Our policies'!$D$4:$D$503,_calc!$E$845))=0,"",INDEX('Our policies'!$D$4:$D$503,_calc!$E$845)))=0,"","Broker: "&amp;IF(LEN(INDEX('Our policies'!$D$4:$D$503,_calc!$E$845))=0,"",INDEX('Our policies'!$D$4:$D$503,_calc!$E$845))&amp;". ")&amp;IF(LEN(IF(LEN(INDEX('Our policies'!$E$4:$E$503,_calc!$E$845))=0,"",INDEX('Our policies'!$E$4:$E$503,_calc!$E$845)))=0,"","Policy no.: "&amp;IF(LEN(INDEX('Our policies'!$E$4:$E$503,_calc!$E$845))=0,"",INDEX('Our policies'!$E$4:$E$503,_calc!$E$845))&amp;". ")&amp;IF(LEN(IF(LEN(INDEX('Our policies'!$S$4:$S$503,_calc!$E$845))=0,"",INDEX('Our policies'!$S$4:$S$503,_calc!$E$845)))=0,"",IF(LEN(INDEX('Our policies'!$S$4:$S$503,_calc!$E$845))=0,"",INDEX('Our policies'!$S$4:$S$503,_calc!$E$845)))),TRIM(IF(LEN(IF(LEN(INDEX('Vendor COIs'!$C$4:$C$503,(_calc!$E$845-500)))=0,"",INDEX('Vendor COIs'!$C$4:$C$503,(_calc!$E$845-500))))=0,"","Insurer: "&amp;IF(LEN(INDEX('Vendor COIs'!$C$4:$C$503,(_calc!$E$845-500)))=0,"",INDEX('Vendor COIs'!$C$4:$C$503,(_calc!$E$845-500)))&amp;". ")&amp;IF(LEN(IF(LEN(INDEX('Vendor COIs'!$D$4:$D$503,(_calc!$E$845-500)))=0,"",INDEX('Vendor COIs'!$D$4:$D$503,(_calc!$E$845-500))))=0,"","Policy no.: "&amp;IF(LEN(INDEX('Vendor COIs'!$D$4:$D$503,(_calc!$E$845-500)))=0,"",INDEX('Vendor COIs'!$D$4:$D$503,(_calc!$E$845-500)))&amp;". ")&amp;IF(LEN(IF(LEN(INDEX('Vendor COIs'!$F$4:$F$503,(_calc!$E$845-500)))=0,"",INDEX('Vendor COIs'!$F$4:$F$503,(_calc!$E$845-500))))=0,"","Meets minimum: "&amp;IF(LEN(INDEX('Vendor COIs'!$F$4:$F$503,(_calc!$E$845-500)))=0,"",INDEX('Vendor COIs'!$F$4:$F$503,(_calc!$E$845-500)))&amp;". ")&amp;IF(LEN(IF(LEN(INDEX('Vendor COIs'!$G$4:$G$503,(_calc!$E$845-500)))=0,"",INDEX('Vendor COIs'!$G$4:$G$503,(_calc!$E$845-500))))=0,"","Additional insured: "&amp;IF(LEN(INDEX('Vendor COIs'!$G$4:$G$503,(_calc!$E$845-500)))=0,"",INDEX('Vendor COIs'!$G$4:$G$503,(_calc!$E$845-500)))&amp;". ")&amp;IF(LEN(IF(LEN(INDEX('Vendor COIs'!$M$4:$M$503,(_calc!$E$845-500)))=0,"",INDEX('Vendor COIs'!$M$4:$M$503,(_calc!$E$845-500))))=0,"","Vendor contact: "&amp;IF(LEN(INDEX('Vendor COIs'!$M$4:$M$503,(_calc!$E$845-500)))=0,"",INDEX('Vendor COIs'!$M$4:$M$503,(_calc!$E$845-500)))&amp;". ")&amp;IF(LEN(IF(LEN(INDEX('Vendor COIs'!$P$4:$P$503,(_calc!$E$845-500)))=0,"",INDEX('Vendor COIs'!$P$4:$P$503,(_calc!$E$845-500))))=0,"",IF(LEN(INDEX('Vendor COIs'!$P$4:$P$503,(_calc!$E$845-500)))=0,"",INDEX('Vendor COIs'!$P$4:$P$503,(_calc!$E$845-500)))))))</f>
        <v/>
      </c>
      <c r="G843" s="46">
        <f>IF(_calc!$E$845="","",IF(_calc!$E$845&lt;=500,IF(LEN(INDEX('Our policies'!$R$4:$R$503,_calc!$E$845))=0,"",INDEX('Our policies'!$R$4:$R$503,_calc!$E$845)),IF(LEN(INDEX('Vendor COIs'!$O$4:$O$503,(_calc!$E$845-500)))=0,"",INDEX('Vendor COIs'!$O$4:$O$503,(_calc!$E$845-500)))))</f>
        <v/>
      </c>
      <c r="H843" s="46">
        <f>IF(_calc!$E$845="","",IF(_calc!$E$845&lt;=500,IF(LEN(INDEX('Our policies'!$G$4:$G$503,_calc!$E$845))=0,"",INDEX('Our policies'!$G$4:$G$503,_calc!$E$845)),""))</f>
        <v/>
      </c>
      <c r="I843" s="46">
        <f>IF(_calc!$E$845="","",IF(_calc!$E$845&lt;=500,IF(LEN(INDEX('Our policies'!$H$4:$H$503,_calc!$E$845))=0,"",INDEX('Our policies'!$H$4:$H$503,_calc!$E$845)),""))</f>
        <v/>
      </c>
      <c r="K843" s="46">
        <f>IF(_calc!$E$845="","",IF(_calc!$E$845&lt;=500,IF(LEN(INDEX('Our policies'!$P$4:$P$503,_calc!$E$845))=0,"",INDEX('Our policies'!$P$4:$P$503,_calc!$E$845)),IF(LEN(INDEX('Vendor COIs'!$N$4:$N$503,(_calc!$E$845-500)))=0,"",INDEX('Vendor COIs'!$N$4:$N$503,(_calc!$E$845-500)))))</f>
        <v/>
      </c>
    </row>
    <row r="844">
      <c r="A844" s="46">
        <f>IF(_calc!$E$846="","",IF(_calc!$E$846&lt;=500,IF(LEN(INDEX('Our policies'!$A$4:$A$503,_calc!$E$846))=0,"",INDEX('Our policies'!$A$4:$A$503,_calc!$E$846)),"COI – "&amp;IF(LEN(INDEX('Vendor COIs'!$A$4:$A$503,(_calc!$E$846-500)))=0,"",INDEX('Vendor COIs'!$A$4:$A$503,(_calc!$E$846-500)))&amp;" – "&amp;IF(LEN(INDEX('Vendor COIs'!$B$4:$B$503,(_calc!$E$846-500)))=0,"",INDEX('Vendor COIs'!$B$4:$B$503,(_calc!$E$846-500)))))</f>
        <v/>
      </c>
      <c r="B844" s="46">
        <f>IF(_calc!$E$846="","",IF(_calc!$E$846&lt;=500,IF(ISNUMBER(INDEX('Our policies'!$J$4:$J$503,_calc!$E$846)),TEXT(INDEX('Our policies'!$J$4:$J$503,_calc!$E$846),"yyyy-mm-dd"),""),IF(ISNUMBER(INDEX('Vendor COIs'!$H$4:$H$503,(_calc!$E$846-500))),TEXT(INDEX('Vendor COIs'!$H$4:$H$503,(_calc!$E$846-500)),"yyyy-mm-dd"),"")))</f>
        <v/>
      </c>
      <c r="C844" s="46">
        <f>IF(_calc!$E$846="","",IF(_calc!$E$846&lt;=500,"Insurance","Certificate of insurance"))</f>
        <v/>
      </c>
      <c r="D844" s="46">
        <f>IF(_calc!$E$846="","",IF(_calc!$E$846&lt;=500,IF(ISNUMBER(INDEX('Our policies'!$I$4:$I$503,_calc!$E$846)),TEXT(INDEX('Our policies'!$I$4:$I$503,_calc!$E$846),"yyyy-mm-dd"),""),""))</f>
        <v/>
      </c>
      <c r="E844" s="46">
        <f>IF(_calc!$E$846="","",IF(_calc!$E$846&lt;=500,IF(LEN(INDEX('Our policies'!$Q$4:$Q$503,_calc!$E$846))=0,"",INDEX('Our policies'!$Q$4:$Q$503,_calc!$E$846)),"Medium"))</f>
        <v/>
      </c>
      <c r="F844" s="46">
        <f>IF(_calc!$E$846="","",IF(_calc!$E$846&lt;=500,TRIM(IF(LEN(IF(LEN(INDEX('Our policies'!$B$4:$B$503,_calc!$E$846))=0,"",INDEX('Our policies'!$B$4:$B$503,_calc!$E$846)))=0,"","Cover: "&amp;IF(LEN(INDEX('Our policies'!$B$4:$B$503,_calc!$E$846))=0,"",INDEX('Our policies'!$B$4:$B$503,_calc!$E$846))&amp;". ")&amp;IF(LEN(IF(LEN(INDEX('Our policies'!$C$4:$C$503,_calc!$E$846))=0,"",INDEX('Our policies'!$C$4:$C$503,_calc!$E$846)))=0,"","Insurer: "&amp;IF(LEN(INDEX('Our policies'!$C$4:$C$503,_calc!$E$846))=0,"",INDEX('Our policies'!$C$4:$C$503,_calc!$E$846))&amp;". ")&amp;IF(LEN(IF(LEN(INDEX('Our policies'!$D$4:$D$503,_calc!$E$846))=0,"",INDEX('Our policies'!$D$4:$D$503,_calc!$E$846)))=0,"","Broker: "&amp;IF(LEN(INDEX('Our policies'!$D$4:$D$503,_calc!$E$846))=0,"",INDEX('Our policies'!$D$4:$D$503,_calc!$E$846))&amp;". ")&amp;IF(LEN(IF(LEN(INDEX('Our policies'!$E$4:$E$503,_calc!$E$846))=0,"",INDEX('Our policies'!$E$4:$E$503,_calc!$E$846)))=0,"","Policy no.: "&amp;IF(LEN(INDEX('Our policies'!$E$4:$E$503,_calc!$E$846))=0,"",INDEX('Our policies'!$E$4:$E$503,_calc!$E$846))&amp;". ")&amp;IF(LEN(IF(LEN(INDEX('Our policies'!$S$4:$S$503,_calc!$E$846))=0,"",INDEX('Our policies'!$S$4:$S$503,_calc!$E$846)))=0,"",IF(LEN(INDEX('Our policies'!$S$4:$S$503,_calc!$E$846))=0,"",INDEX('Our policies'!$S$4:$S$503,_calc!$E$846)))),TRIM(IF(LEN(IF(LEN(INDEX('Vendor COIs'!$C$4:$C$503,(_calc!$E$846-500)))=0,"",INDEX('Vendor COIs'!$C$4:$C$503,(_calc!$E$846-500))))=0,"","Insurer: "&amp;IF(LEN(INDEX('Vendor COIs'!$C$4:$C$503,(_calc!$E$846-500)))=0,"",INDEX('Vendor COIs'!$C$4:$C$503,(_calc!$E$846-500)))&amp;". ")&amp;IF(LEN(IF(LEN(INDEX('Vendor COIs'!$D$4:$D$503,(_calc!$E$846-500)))=0,"",INDEX('Vendor COIs'!$D$4:$D$503,(_calc!$E$846-500))))=0,"","Policy no.: "&amp;IF(LEN(INDEX('Vendor COIs'!$D$4:$D$503,(_calc!$E$846-500)))=0,"",INDEX('Vendor COIs'!$D$4:$D$503,(_calc!$E$846-500)))&amp;". ")&amp;IF(LEN(IF(LEN(INDEX('Vendor COIs'!$F$4:$F$503,(_calc!$E$846-500)))=0,"",INDEX('Vendor COIs'!$F$4:$F$503,(_calc!$E$846-500))))=0,"","Meets minimum: "&amp;IF(LEN(INDEX('Vendor COIs'!$F$4:$F$503,(_calc!$E$846-500)))=0,"",INDEX('Vendor COIs'!$F$4:$F$503,(_calc!$E$846-500)))&amp;". ")&amp;IF(LEN(IF(LEN(INDEX('Vendor COIs'!$G$4:$G$503,(_calc!$E$846-500)))=0,"",INDEX('Vendor COIs'!$G$4:$G$503,(_calc!$E$846-500))))=0,"","Additional insured: "&amp;IF(LEN(INDEX('Vendor COIs'!$G$4:$G$503,(_calc!$E$846-500)))=0,"",INDEX('Vendor COIs'!$G$4:$G$503,(_calc!$E$846-500)))&amp;". ")&amp;IF(LEN(IF(LEN(INDEX('Vendor COIs'!$M$4:$M$503,(_calc!$E$846-500)))=0,"",INDEX('Vendor COIs'!$M$4:$M$503,(_calc!$E$846-500))))=0,"","Vendor contact: "&amp;IF(LEN(INDEX('Vendor COIs'!$M$4:$M$503,(_calc!$E$846-500)))=0,"",INDEX('Vendor COIs'!$M$4:$M$503,(_calc!$E$846-500)))&amp;". ")&amp;IF(LEN(IF(LEN(INDEX('Vendor COIs'!$P$4:$P$503,(_calc!$E$846-500)))=0,"",INDEX('Vendor COIs'!$P$4:$P$503,(_calc!$E$846-500))))=0,"",IF(LEN(INDEX('Vendor COIs'!$P$4:$P$503,(_calc!$E$846-500)))=0,"",INDEX('Vendor COIs'!$P$4:$P$503,(_calc!$E$846-500)))))))</f>
        <v/>
      </c>
      <c r="G844" s="46">
        <f>IF(_calc!$E$846="","",IF(_calc!$E$846&lt;=500,IF(LEN(INDEX('Our policies'!$R$4:$R$503,_calc!$E$846))=0,"",INDEX('Our policies'!$R$4:$R$503,_calc!$E$846)),IF(LEN(INDEX('Vendor COIs'!$O$4:$O$503,(_calc!$E$846-500)))=0,"",INDEX('Vendor COIs'!$O$4:$O$503,(_calc!$E$846-500)))))</f>
        <v/>
      </c>
      <c r="H844" s="46">
        <f>IF(_calc!$E$846="","",IF(_calc!$E$846&lt;=500,IF(LEN(INDEX('Our policies'!$G$4:$G$503,_calc!$E$846))=0,"",INDEX('Our policies'!$G$4:$G$503,_calc!$E$846)),""))</f>
        <v/>
      </c>
      <c r="I844" s="46">
        <f>IF(_calc!$E$846="","",IF(_calc!$E$846&lt;=500,IF(LEN(INDEX('Our policies'!$H$4:$H$503,_calc!$E$846))=0,"",INDEX('Our policies'!$H$4:$H$503,_calc!$E$846)),""))</f>
        <v/>
      </c>
      <c r="K844" s="46">
        <f>IF(_calc!$E$846="","",IF(_calc!$E$846&lt;=500,IF(LEN(INDEX('Our policies'!$P$4:$P$503,_calc!$E$846))=0,"",INDEX('Our policies'!$P$4:$P$503,_calc!$E$846)),IF(LEN(INDEX('Vendor COIs'!$N$4:$N$503,(_calc!$E$846-500)))=0,"",INDEX('Vendor COIs'!$N$4:$N$503,(_calc!$E$846-500)))))</f>
        <v/>
      </c>
    </row>
    <row r="845">
      <c r="A845" s="46">
        <f>IF(_calc!$E$847="","",IF(_calc!$E$847&lt;=500,IF(LEN(INDEX('Our policies'!$A$4:$A$503,_calc!$E$847))=0,"",INDEX('Our policies'!$A$4:$A$503,_calc!$E$847)),"COI – "&amp;IF(LEN(INDEX('Vendor COIs'!$A$4:$A$503,(_calc!$E$847-500)))=0,"",INDEX('Vendor COIs'!$A$4:$A$503,(_calc!$E$847-500)))&amp;" – "&amp;IF(LEN(INDEX('Vendor COIs'!$B$4:$B$503,(_calc!$E$847-500)))=0,"",INDEX('Vendor COIs'!$B$4:$B$503,(_calc!$E$847-500)))))</f>
        <v/>
      </c>
      <c r="B845" s="46">
        <f>IF(_calc!$E$847="","",IF(_calc!$E$847&lt;=500,IF(ISNUMBER(INDEX('Our policies'!$J$4:$J$503,_calc!$E$847)),TEXT(INDEX('Our policies'!$J$4:$J$503,_calc!$E$847),"yyyy-mm-dd"),""),IF(ISNUMBER(INDEX('Vendor COIs'!$H$4:$H$503,(_calc!$E$847-500))),TEXT(INDEX('Vendor COIs'!$H$4:$H$503,(_calc!$E$847-500)),"yyyy-mm-dd"),"")))</f>
        <v/>
      </c>
      <c r="C845" s="46">
        <f>IF(_calc!$E$847="","",IF(_calc!$E$847&lt;=500,"Insurance","Certificate of insurance"))</f>
        <v/>
      </c>
      <c r="D845" s="46">
        <f>IF(_calc!$E$847="","",IF(_calc!$E$847&lt;=500,IF(ISNUMBER(INDEX('Our policies'!$I$4:$I$503,_calc!$E$847)),TEXT(INDEX('Our policies'!$I$4:$I$503,_calc!$E$847),"yyyy-mm-dd"),""),""))</f>
        <v/>
      </c>
      <c r="E845" s="46">
        <f>IF(_calc!$E$847="","",IF(_calc!$E$847&lt;=500,IF(LEN(INDEX('Our policies'!$Q$4:$Q$503,_calc!$E$847))=0,"",INDEX('Our policies'!$Q$4:$Q$503,_calc!$E$847)),"Medium"))</f>
        <v/>
      </c>
      <c r="F845" s="46">
        <f>IF(_calc!$E$847="","",IF(_calc!$E$847&lt;=500,TRIM(IF(LEN(IF(LEN(INDEX('Our policies'!$B$4:$B$503,_calc!$E$847))=0,"",INDEX('Our policies'!$B$4:$B$503,_calc!$E$847)))=0,"","Cover: "&amp;IF(LEN(INDEX('Our policies'!$B$4:$B$503,_calc!$E$847))=0,"",INDEX('Our policies'!$B$4:$B$503,_calc!$E$847))&amp;". ")&amp;IF(LEN(IF(LEN(INDEX('Our policies'!$C$4:$C$503,_calc!$E$847))=0,"",INDEX('Our policies'!$C$4:$C$503,_calc!$E$847)))=0,"","Insurer: "&amp;IF(LEN(INDEX('Our policies'!$C$4:$C$503,_calc!$E$847))=0,"",INDEX('Our policies'!$C$4:$C$503,_calc!$E$847))&amp;". ")&amp;IF(LEN(IF(LEN(INDEX('Our policies'!$D$4:$D$503,_calc!$E$847))=0,"",INDEX('Our policies'!$D$4:$D$503,_calc!$E$847)))=0,"","Broker: "&amp;IF(LEN(INDEX('Our policies'!$D$4:$D$503,_calc!$E$847))=0,"",INDEX('Our policies'!$D$4:$D$503,_calc!$E$847))&amp;". ")&amp;IF(LEN(IF(LEN(INDEX('Our policies'!$E$4:$E$503,_calc!$E$847))=0,"",INDEX('Our policies'!$E$4:$E$503,_calc!$E$847)))=0,"","Policy no.: "&amp;IF(LEN(INDEX('Our policies'!$E$4:$E$503,_calc!$E$847))=0,"",INDEX('Our policies'!$E$4:$E$503,_calc!$E$847))&amp;". ")&amp;IF(LEN(IF(LEN(INDEX('Our policies'!$S$4:$S$503,_calc!$E$847))=0,"",INDEX('Our policies'!$S$4:$S$503,_calc!$E$847)))=0,"",IF(LEN(INDEX('Our policies'!$S$4:$S$503,_calc!$E$847))=0,"",INDEX('Our policies'!$S$4:$S$503,_calc!$E$847)))),TRIM(IF(LEN(IF(LEN(INDEX('Vendor COIs'!$C$4:$C$503,(_calc!$E$847-500)))=0,"",INDEX('Vendor COIs'!$C$4:$C$503,(_calc!$E$847-500))))=0,"","Insurer: "&amp;IF(LEN(INDEX('Vendor COIs'!$C$4:$C$503,(_calc!$E$847-500)))=0,"",INDEX('Vendor COIs'!$C$4:$C$503,(_calc!$E$847-500)))&amp;". ")&amp;IF(LEN(IF(LEN(INDEX('Vendor COIs'!$D$4:$D$503,(_calc!$E$847-500)))=0,"",INDEX('Vendor COIs'!$D$4:$D$503,(_calc!$E$847-500))))=0,"","Policy no.: "&amp;IF(LEN(INDEX('Vendor COIs'!$D$4:$D$503,(_calc!$E$847-500)))=0,"",INDEX('Vendor COIs'!$D$4:$D$503,(_calc!$E$847-500)))&amp;". ")&amp;IF(LEN(IF(LEN(INDEX('Vendor COIs'!$F$4:$F$503,(_calc!$E$847-500)))=0,"",INDEX('Vendor COIs'!$F$4:$F$503,(_calc!$E$847-500))))=0,"","Meets minimum: "&amp;IF(LEN(INDEX('Vendor COIs'!$F$4:$F$503,(_calc!$E$847-500)))=0,"",INDEX('Vendor COIs'!$F$4:$F$503,(_calc!$E$847-500)))&amp;". ")&amp;IF(LEN(IF(LEN(INDEX('Vendor COIs'!$G$4:$G$503,(_calc!$E$847-500)))=0,"",INDEX('Vendor COIs'!$G$4:$G$503,(_calc!$E$847-500))))=0,"","Additional insured: "&amp;IF(LEN(INDEX('Vendor COIs'!$G$4:$G$503,(_calc!$E$847-500)))=0,"",INDEX('Vendor COIs'!$G$4:$G$503,(_calc!$E$847-500)))&amp;". ")&amp;IF(LEN(IF(LEN(INDEX('Vendor COIs'!$M$4:$M$503,(_calc!$E$847-500)))=0,"",INDEX('Vendor COIs'!$M$4:$M$503,(_calc!$E$847-500))))=0,"","Vendor contact: "&amp;IF(LEN(INDEX('Vendor COIs'!$M$4:$M$503,(_calc!$E$847-500)))=0,"",INDEX('Vendor COIs'!$M$4:$M$503,(_calc!$E$847-500)))&amp;". ")&amp;IF(LEN(IF(LEN(INDEX('Vendor COIs'!$P$4:$P$503,(_calc!$E$847-500)))=0,"",INDEX('Vendor COIs'!$P$4:$P$503,(_calc!$E$847-500))))=0,"",IF(LEN(INDEX('Vendor COIs'!$P$4:$P$503,(_calc!$E$847-500)))=0,"",INDEX('Vendor COIs'!$P$4:$P$503,(_calc!$E$847-500)))))))</f>
        <v/>
      </c>
      <c r="G845" s="46">
        <f>IF(_calc!$E$847="","",IF(_calc!$E$847&lt;=500,IF(LEN(INDEX('Our policies'!$R$4:$R$503,_calc!$E$847))=0,"",INDEX('Our policies'!$R$4:$R$503,_calc!$E$847)),IF(LEN(INDEX('Vendor COIs'!$O$4:$O$503,(_calc!$E$847-500)))=0,"",INDEX('Vendor COIs'!$O$4:$O$503,(_calc!$E$847-500)))))</f>
        <v/>
      </c>
      <c r="H845" s="46">
        <f>IF(_calc!$E$847="","",IF(_calc!$E$847&lt;=500,IF(LEN(INDEX('Our policies'!$G$4:$G$503,_calc!$E$847))=0,"",INDEX('Our policies'!$G$4:$G$503,_calc!$E$847)),""))</f>
        <v/>
      </c>
      <c r="I845" s="46">
        <f>IF(_calc!$E$847="","",IF(_calc!$E$847&lt;=500,IF(LEN(INDEX('Our policies'!$H$4:$H$503,_calc!$E$847))=0,"",INDEX('Our policies'!$H$4:$H$503,_calc!$E$847)),""))</f>
        <v/>
      </c>
      <c r="K845" s="46">
        <f>IF(_calc!$E$847="","",IF(_calc!$E$847&lt;=500,IF(LEN(INDEX('Our policies'!$P$4:$P$503,_calc!$E$847))=0,"",INDEX('Our policies'!$P$4:$P$503,_calc!$E$847)),IF(LEN(INDEX('Vendor COIs'!$N$4:$N$503,(_calc!$E$847-500)))=0,"",INDEX('Vendor COIs'!$N$4:$N$503,(_calc!$E$847-500)))))</f>
        <v/>
      </c>
    </row>
    <row r="846">
      <c r="A846" s="46">
        <f>IF(_calc!$E$848="","",IF(_calc!$E$848&lt;=500,IF(LEN(INDEX('Our policies'!$A$4:$A$503,_calc!$E$848))=0,"",INDEX('Our policies'!$A$4:$A$503,_calc!$E$848)),"COI – "&amp;IF(LEN(INDEX('Vendor COIs'!$A$4:$A$503,(_calc!$E$848-500)))=0,"",INDEX('Vendor COIs'!$A$4:$A$503,(_calc!$E$848-500)))&amp;" – "&amp;IF(LEN(INDEX('Vendor COIs'!$B$4:$B$503,(_calc!$E$848-500)))=0,"",INDEX('Vendor COIs'!$B$4:$B$503,(_calc!$E$848-500)))))</f>
        <v/>
      </c>
      <c r="B846" s="46">
        <f>IF(_calc!$E$848="","",IF(_calc!$E$848&lt;=500,IF(ISNUMBER(INDEX('Our policies'!$J$4:$J$503,_calc!$E$848)),TEXT(INDEX('Our policies'!$J$4:$J$503,_calc!$E$848),"yyyy-mm-dd"),""),IF(ISNUMBER(INDEX('Vendor COIs'!$H$4:$H$503,(_calc!$E$848-500))),TEXT(INDEX('Vendor COIs'!$H$4:$H$503,(_calc!$E$848-500)),"yyyy-mm-dd"),"")))</f>
        <v/>
      </c>
      <c r="C846" s="46">
        <f>IF(_calc!$E$848="","",IF(_calc!$E$848&lt;=500,"Insurance","Certificate of insurance"))</f>
        <v/>
      </c>
      <c r="D846" s="46">
        <f>IF(_calc!$E$848="","",IF(_calc!$E$848&lt;=500,IF(ISNUMBER(INDEX('Our policies'!$I$4:$I$503,_calc!$E$848)),TEXT(INDEX('Our policies'!$I$4:$I$503,_calc!$E$848),"yyyy-mm-dd"),""),""))</f>
        <v/>
      </c>
      <c r="E846" s="46">
        <f>IF(_calc!$E$848="","",IF(_calc!$E$848&lt;=500,IF(LEN(INDEX('Our policies'!$Q$4:$Q$503,_calc!$E$848))=0,"",INDEX('Our policies'!$Q$4:$Q$503,_calc!$E$848)),"Medium"))</f>
        <v/>
      </c>
      <c r="F846" s="46">
        <f>IF(_calc!$E$848="","",IF(_calc!$E$848&lt;=500,TRIM(IF(LEN(IF(LEN(INDEX('Our policies'!$B$4:$B$503,_calc!$E$848))=0,"",INDEX('Our policies'!$B$4:$B$503,_calc!$E$848)))=0,"","Cover: "&amp;IF(LEN(INDEX('Our policies'!$B$4:$B$503,_calc!$E$848))=0,"",INDEX('Our policies'!$B$4:$B$503,_calc!$E$848))&amp;". ")&amp;IF(LEN(IF(LEN(INDEX('Our policies'!$C$4:$C$503,_calc!$E$848))=0,"",INDEX('Our policies'!$C$4:$C$503,_calc!$E$848)))=0,"","Insurer: "&amp;IF(LEN(INDEX('Our policies'!$C$4:$C$503,_calc!$E$848))=0,"",INDEX('Our policies'!$C$4:$C$503,_calc!$E$848))&amp;". ")&amp;IF(LEN(IF(LEN(INDEX('Our policies'!$D$4:$D$503,_calc!$E$848))=0,"",INDEX('Our policies'!$D$4:$D$503,_calc!$E$848)))=0,"","Broker: "&amp;IF(LEN(INDEX('Our policies'!$D$4:$D$503,_calc!$E$848))=0,"",INDEX('Our policies'!$D$4:$D$503,_calc!$E$848))&amp;". ")&amp;IF(LEN(IF(LEN(INDEX('Our policies'!$E$4:$E$503,_calc!$E$848))=0,"",INDEX('Our policies'!$E$4:$E$503,_calc!$E$848)))=0,"","Policy no.: "&amp;IF(LEN(INDEX('Our policies'!$E$4:$E$503,_calc!$E$848))=0,"",INDEX('Our policies'!$E$4:$E$503,_calc!$E$848))&amp;". ")&amp;IF(LEN(IF(LEN(INDEX('Our policies'!$S$4:$S$503,_calc!$E$848))=0,"",INDEX('Our policies'!$S$4:$S$503,_calc!$E$848)))=0,"",IF(LEN(INDEX('Our policies'!$S$4:$S$503,_calc!$E$848))=0,"",INDEX('Our policies'!$S$4:$S$503,_calc!$E$848)))),TRIM(IF(LEN(IF(LEN(INDEX('Vendor COIs'!$C$4:$C$503,(_calc!$E$848-500)))=0,"",INDEX('Vendor COIs'!$C$4:$C$503,(_calc!$E$848-500))))=0,"","Insurer: "&amp;IF(LEN(INDEX('Vendor COIs'!$C$4:$C$503,(_calc!$E$848-500)))=0,"",INDEX('Vendor COIs'!$C$4:$C$503,(_calc!$E$848-500)))&amp;". ")&amp;IF(LEN(IF(LEN(INDEX('Vendor COIs'!$D$4:$D$503,(_calc!$E$848-500)))=0,"",INDEX('Vendor COIs'!$D$4:$D$503,(_calc!$E$848-500))))=0,"","Policy no.: "&amp;IF(LEN(INDEX('Vendor COIs'!$D$4:$D$503,(_calc!$E$848-500)))=0,"",INDEX('Vendor COIs'!$D$4:$D$503,(_calc!$E$848-500)))&amp;". ")&amp;IF(LEN(IF(LEN(INDEX('Vendor COIs'!$F$4:$F$503,(_calc!$E$848-500)))=0,"",INDEX('Vendor COIs'!$F$4:$F$503,(_calc!$E$848-500))))=0,"","Meets minimum: "&amp;IF(LEN(INDEX('Vendor COIs'!$F$4:$F$503,(_calc!$E$848-500)))=0,"",INDEX('Vendor COIs'!$F$4:$F$503,(_calc!$E$848-500)))&amp;". ")&amp;IF(LEN(IF(LEN(INDEX('Vendor COIs'!$G$4:$G$503,(_calc!$E$848-500)))=0,"",INDEX('Vendor COIs'!$G$4:$G$503,(_calc!$E$848-500))))=0,"","Additional insured: "&amp;IF(LEN(INDEX('Vendor COIs'!$G$4:$G$503,(_calc!$E$848-500)))=0,"",INDEX('Vendor COIs'!$G$4:$G$503,(_calc!$E$848-500)))&amp;". ")&amp;IF(LEN(IF(LEN(INDEX('Vendor COIs'!$M$4:$M$503,(_calc!$E$848-500)))=0,"",INDEX('Vendor COIs'!$M$4:$M$503,(_calc!$E$848-500))))=0,"","Vendor contact: "&amp;IF(LEN(INDEX('Vendor COIs'!$M$4:$M$503,(_calc!$E$848-500)))=0,"",INDEX('Vendor COIs'!$M$4:$M$503,(_calc!$E$848-500)))&amp;". ")&amp;IF(LEN(IF(LEN(INDEX('Vendor COIs'!$P$4:$P$503,(_calc!$E$848-500)))=0,"",INDEX('Vendor COIs'!$P$4:$P$503,(_calc!$E$848-500))))=0,"",IF(LEN(INDEX('Vendor COIs'!$P$4:$P$503,(_calc!$E$848-500)))=0,"",INDEX('Vendor COIs'!$P$4:$P$503,(_calc!$E$848-500)))))))</f>
        <v/>
      </c>
      <c r="G846" s="46">
        <f>IF(_calc!$E$848="","",IF(_calc!$E$848&lt;=500,IF(LEN(INDEX('Our policies'!$R$4:$R$503,_calc!$E$848))=0,"",INDEX('Our policies'!$R$4:$R$503,_calc!$E$848)),IF(LEN(INDEX('Vendor COIs'!$O$4:$O$503,(_calc!$E$848-500)))=0,"",INDEX('Vendor COIs'!$O$4:$O$503,(_calc!$E$848-500)))))</f>
        <v/>
      </c>
      <c r="H846" s="46">
        <f>IF(_calc!$E$848="","",IF(_calc!$E$848&lt;=500,IF(LEN(INDEX('Our policies'!$G$4:$G$503,_calc!$E$848))=0,"",INDEX('Our policies'!$G$4:$G$503,_calc!$E$848)),""))</f>
        <v/>
      </c>
      <c r="I846" s="46">
        <f>IF(_calc!$E$848="","",IF(_calc!$E$848&lt;=500,IF(LEN(INDEX('Our policies'!$H$4:$H$503,_calc!$E$848))=0,"",INDEX('Our policies'!$H$4:$H$503,_calc!$E$848)),""))</f>
        <v/>
      </c>
      <c r="K846" s="46">
        <f>IF(_calc!$E$848="","",IF(_calc!$E$848&lt;=500,IF(LEN(INDEX('Our policies'!$P$4:$P$503,_calc!$E$848))=0,"",INDEX('Our policies'!$P$4:$P$503,_calc!$E$848)),IF(LEN(INDEX('Vendor COIs'!$N$4:$N$503,(_calc!$E$848-500)))=0,"",INDEX('Vendor COIs'!$N$4:$N$503,(_calc!$E$848-500)))))</f>
        <v/>
      </c>
    </row>
    <row r="847">
      <c r="A847" s="46">
        <f>IF(_calc!$E$849="","",IF(_calc!$E$849&lt;=500,IF(LEN(INDEX('Our policies'!$A$4:$A$503,_calc!$E$849))=0,"",INDEX('Our policies'!$A$4:$A$503,_calc!$E$849)),"COI – "&amp;IF(LEN(INDEX('Vendor COIs'!$A$4:$A$503,(_calc!$E$849-500)))=0,"",INDEX('Vendor COIs'!$A$4:$A$503,(_calc!$E$849-500)))&amp;" – "&amp;IF(LEN(INDEX('Vendor COIs'!$B$4:$B$503,(_calc!$E$849-500)))=0,"",INDEX('Vendor COIs'!$B$4:$B$503,(_calc!$E$849-500)))))</f>
        <v/>
      </c>
      <c r="B847" s="46">
        <f>IF(_calc!$E$849="","",IF(_calc!$E$849&lt;=500,IF(ISNUMBER(INDEX('Our policies'!$J$4:$J$503,_calc!$E$849)),TEXT(INDEX('Our policies'!$J$4:$J$503,_calc!$E$849),"yyyy-mm-dd"),""),IF(ISNUMBER(INDEX('Vendor COIs'!$H$4:$H$503,(_calc!$E$849-500))),TEXT(INDEX('Vendor COIs'!$H$4:$H$503,(_calc!$E$849-500)),"yyyy-mm-dd"),"")))</f>
        <v/>
      </c>
      <c r="C847" s="46">
        <f>IF(_calc!$E$849="","",IF(_calc!$E$849&lt;=500,"Insurance","Certificate of insurance"))</f>
        <v/>
      </c>
      <c r="D847" s="46">
        <f>IF(_calc!$E$849="","",IF(_calc!$E$849&lt;=500,IF(ISNUMBER(INDEX('Our policies'!$I$4:$I$503,_calc!$E$849)),TEXT(INDEX('Our policies'!$I$4:$I$503,_calc!$E$849),"yyyy-mm-dd"),""),""))</f>
        <v/>
      </c>
      <c r="E847" s="46">
        <f>IF(_calc!$E$849="","",IF(_calc!$E$849&lt;=500,IF(LEN(INDEX('Our policies'!$Q$4:$Q$503,_calc!$E$849))=0,"",INDEX('Our policies'!$Q$4:$Q$503,_calc!$E$849)),"Medium"))</f>
        <v/>
      </c>
      <c r="F847" s="46">
        <f>IF(_calc!$E$849="","",IF(_calc!$E$849&lt;=500,TRIM(IF(LEN(IF(LEN(INDEX('Our policies'!$B$4:$B$503,_calc!$E$849))=0,"",INDEX('Our policies'!$B$4:$B$503,_calc!$E$849)))=0,"","Cover: "&amp;IF(LEN(INDEX('Our policies'!$B$4:$B$503,_calc!$E$849))=0,"",INDEX('Our policies'!$B$4:$B$503,_calc!$E$849))&amp;". ")&amp;IF(LEN(IF(LEN(INDEX('Our policies'!$C$4:$C$503,_calc!$E$849))=0,"",INDEX('Our policies'!$C$4:$C$503,_calc!$E$849)))=0,"","Insurer: "&amp;IF(LEN(INDEX('Our policies'!$C$4:$C$503,_calc!$E$849))=0,"",INDEX('Our policies'!$C$4:$C$503,_calc!$E$849))&amp;". ")&amp;IF(LEN(IF(LEN(INDEX('Our policies'!$D$4:$D$503,_calc!$E$849))=0,"",INDEX('Our policies'!$D$4:$D$503,_calc!$E$849)))=0,"","Broker: "&amp;IF(LEN(INDEX('Our policies'!$D$4:$D$503,_calc!$E$849))=0,"",INDEX('Our policies'!$D$4:$D$503,_calc!$E$849))&amp;". ")&amp;IF(LEN(IF(LEN(INDEX('Our policies'!$E$4:$E$503,_calc!$E$849))=0,"",INDEX('Our policies'!$E$4:$E$503,_calc!$E$849)))=0,"","Policy no.: "&amp;IF(LEN(INDEX('Our policies'!$E$4:$E$503,_calc!$E$849))=0,"",INDEX('Our policies'!$E$4:$E$503,_calc!$E$849))&amp;". ")&amp;IF(LEN(IF(LEN(INDEX('Our policies'!$S$4:$S$503,_calc!$E$849))=0,"",INDEX('Our policies'!$S$4:$S$503,_calc!$E$849)))=0,"",IF(LEN(INDEX('Our policies'!$S$4:$S$503,_calc!$E$849))=0,"",INDEX('Our policies'!$S$4:$S$503,_calc!$E$849)))),TRIM(IF(LEN(IF(LEN(INDEX('Vendor COIs'!$C$4:$C$503,(_calc!$E$849-500)))=0,"",INDEX('Vendor COIs'!$C$4:$C$503,(_calc!$E$849-500))))=0,"","Insurer: "&amp;IF(LEN(INDEX('Vendor COIs'!$C$4:$C$503,(_calc!$E$849-500)))=0,"",INDEX('Vendor COIs'!$C$4:$C$503,(_calc!$E$849-500)))&amp;". ")&amp;IF(LEN(IF(LEN(INDEX('Vendor COIs'!$D$4:$D$503,(_calc!$E$849-500)))=0,"",INDEX('Vendor COIs'!$D$4:$D$503,(_calc!$E$849-500))))=0,"","Policy no.: "&amp;IF(LEN(INDEX('Vendor COIs'!$D$4:$D$503,(_calc!$E$849-500)))=0,"",INDEX('Vendor COIs'!$D$4:$D$503,(_calc!$E$849-500)))&amp;". ")&amp;IF(LEN(IF(LEN(INDEX('Vendor COIs'!$F$4:$F$503,(_calc!$E$849-500)))=0,"",INDEX('Vendor COIs'!$F$4:$F$503,(_calc!$E$849-500))))=0,"","Meets minimum: "&amp;IF(LEN(INDEX('Vendor COIs'!$F$4:$F$503,(_calc!$E$849-500)))=0,"",INDEX('Vendor COIs'!$F$4:$F$503,(_calc!$E$849-500)))&amp;". ")&amp;IF(LEN(IF(LEN(INDEX('Vendor COIs'!$G$4:$G$503,(_calc!$E$849-500)))=0,"",INDEX('Vendor COIs'!$G$4:$G$503,(_calc!$E$849-500))))=0,"","Additional insured: "&amp;IF(LEN(INDEX('Vendor COIs'!$G$4:$G$503,(_calc!$E$849-500)))=0,"",INDEX('Vendor COIs'!$G$4:$G$503,(_calc!$E$849-500)))&amp;". ")&amp;IF(LEN(IF(LEN(INDEX('Vendor COIs'!$M$4:$M$503,(_calc!$E$849-500)))=0,"",INDEX('Vendor COIs'!$M$4:$M$503,(_calc!$E$849-500))))=0,"","Vendor contact: "&amp;IF(LEN(INDEX('Vendor COIs'!$M$4:$M$503,(_calc!$E$849-500)))=0,"",INDEX('Vendor COIs'!$M$4:$M$503,(_calc!$E$849-500)))&amp;". ")&amp;IF(LEN(IF(LEN(INDEX('Vendor COIs'!$P$4:$P$503,(_calc!$E$849-500)))=0,"",INDEX('Vendor COIs'!$P$4:$P$503,(_calc!$E$849-500))))=0,"",IF(LEN(INDEX('Vendor COIs'!$P$4:$P$503,(_calc!$E$849-500)))=0,"",INDEX('Vendor COIs'!$P$4:$P$503,(_calc!$E$849-500)))))))</f>
        <v/>
      </c>
      <c r="G847" s="46">
        <f>IF(_calc!$E$849="","",IF(_calc!$E$849&lt;=500,IF(LEN(INDEX('Our policies'!$R$4:$R$503,_calc!$E$849))=0,"",INDEX('Our policies'!$R$4:$R$503,_calc!$E$849)),IF(LEN(INDEX('Vendor COIs'!$O$4:$O$503,(_calc!$E$849-500)))=0,"",INDEX('Vendor COIs'!$O$4:$O$503,(_calc!$E$849-500)))))</f>
        <v/>
      </c>
      <c r="H847" s="46">
        <f>IF(_calc!$E$849="","",IF(_calc!$E$849&lt;=500,IF(LEN(INDEX('Our policies'!$G$4:$G$503,_calc!$E$849))=0,"",INDEX('Our policies'!$G$4:$G$503,_calc!$E$849)),""))</f>
        <v/>
      </c>
      <c r="I847" s="46">
        <f>IF(_calc!$E$849="","",IF(_calc!$E$849&lt;=500,IF(LEN(INDEX('Our policies'!$H$4:$H$503,_calc!$E$849))=0,"",INDEX('Our policies'!$H$4:$H$503,_calc!$E$849)),""))</f>
        <v/>
      </c>
      <c r="K847" s="46">
        <f>IF(_calc!$E$849="","",IF(_calc!$E$849&lt;=500,IF(LEN(INDEX('Our policies'!$P$4:$P$503,_calc!$E$849))=0,"",INDEX('Our policies'!$P$4:$P$503,_calc!$E$849)),IF(LEN(INDEX('Vendor COIs'!$N$4:$N$503,(_calc!$E$849-500)))=0,"",INDEX('Vendor COIs'!$N$4:$N$503,(_calc!$E$849-500)))))</f>
        <v/>
      </c>
    </row>
    <row r="848">
      <c r="A848" s="46">
        <f>IF(_calc!$E$850="","",IF(_calc!$E$850&lt;=500,IF(LEN(INDEX('Our policies'!$A$4:$A$503,_calc!$E$850))=0,"",INDEX('Our policies'!$A$4:$A$503,_calc!$E$850)),"COI – "&amp;IF(LEN(INDEX('Vendor COIs'!$A$4:$A$503,(_calc!$E$850-500)))=0,"",INDEX('Vendor COIs'!$A$4:$A$503,(_calc!$E$850-500)))&amp;" – "&amp;IF(LEN(INDEX('Vendor COIs'!$B$4:$B$503,(_calc!$E$850-500)))=0,"",INDEX('Vendor COIs'!$B$4:$B$503,(_calc!$E$850-500)))))</f>
        <v/>
      </c>
      <c r="B848" s="46">
        <f>IF(_calc!$E$850="","",IF(_calc!$E$850&lt;=500,IF(ISNUMBER(INDEX('Our policies'!$J$4:$J$503,_calc!$E$850)),TEXT(INDEX('Our policies'!$J$4:$J$503,_calc!$E$850),"yyyy-mm-dd"),""),IF(ISNUMBER(INDEX('Vendor COIs'!$H$4:$H$503,(_calc!$E$850-500))),TEXT(INDEX('Vendor COIs'!$H$4:$H$503,(_calc!$E$850-500)),"yyyy-mm-dd"),"")))</f>
        <v/>
      </c>
      <c r="C848" s="46">
        <f>IF(_calc!$E$850="","",IF(_calc!$E$850&lt;=500,"Insurance","Certificate of insurance"))</f>
        <v/>
      </c>
      <c r="D848" s="46">
        <f>IF(_calc!$E$850="","",IF(_calc!$E$850&lt;=500,IF(ISNUMBER(INDEX('Our policies'!$I$4:$I$503,_calc!$E$850)),TEXT(INDEX('Our policies'!$I$4:$I$503,_calc!$E$850),"yyyy-mm-dd"),""),""))</f>
        <v/>
      </c>
      <c r="E848" s="46">
        <f>IF(_calc!$E$850="","",IF(_calc!$E$850&lt;=500,IF(LEN(INDEX('Our policies'!$Q$4:$Q$503,_calc!$E$850))=0,"",INDEX('Our policies'!$Q$4:$Q$503,_calc!$E$850)),"Medium"))</f>
        <v/>
      </c>
      <c r="F848" s="46">
        <f>IF(_calc!$E$850="","",IF(_calc!$E$850&lt;=500,TRIM(IF(LEN(IF(LEN(INDEX('Our policies'!$B$4:$B$503,_calc!$E$850))=0,"",INDEX('Our policies'!$B$4:$B$503,_calc!$E$850)))=0,"","Cover: "&amp;IF(LEN(INDEX('Our policies'!$B$4:$B$503,_calc!$E$850))=0,"",INDEX('Our policies'!$B$4:$B$503,_calc!$E$850))&amp;". ")&amp;IF(LEN(IF(LEN(INDEX('Our policies'!$C$4:$C$503,_calc!$E$850))=0,"",INDEX('Our policies'!$C$4:$C$503,_calc!$E$850)))=0,"","Insurer: "&amp;IF(LEN(INDEX('Our policies'!$C$4:$C$503,_calc!$E$850))=0,"",INDEX('Our policies'!$C$4:$C$503,_calc!$E$850))&amp;". ")&amp;IF(LEN(IF(LEN(INDEX('Our policies'!$D$4:$D$503,_calc!$E$850))=0,"",INDEX('Our policies'!$D$4:$D$503,_calc!$E$850)))=0,"","Broker: "&amp;IF(LEN(INDEX('Our policies'!$D$4:$D$503,_calc!$E$850))=0,"",INDEX('Our policies'!$D$4:$D$503,_calc!$E$850))&amp;". ")&amp;IF(LEN(IF(LEN(INDEX('Our policies'!$E$4:$E$503,_calc!$E$850))=0,"",INDEX('Our policies'!$E$4:$E$503,_calc!$E$850)))=0,"","Policy no.: "&amp;IF(LEN(INDEX('Our policies'!$E$4:$E$503,_calc!$E$850))=0,"",INDEX('Our policies'!$E$4:$E$503,_calc!$E$850))&amp;". ")&amp;IF(LEN(IF(LEN(INDEX('Our policies'!$S$4:$S$503,_calc!$E$850))=0,"",INDEX('Our policies'!$S$4:$S$503,_calc!$E$850)))=0,"",IF(LEN(INDEX('Our policies'!$S$4:$S$503,_calc!$E$850))=0,"",INDEX('Our policies'!$S$4:$S$503,_calc!$E$850)))),TRIM(IF(LEN(IF(LEN(INDEX('Vendor COIs'!$C$4:$C$503,(_calc!$E$850-500)))=0,"",INDEX('Vendor COIs'!$C$4:$C$503,(_calc!$E$850-500))))=0,"","Insurer: "&amp;IF(LEN(INDEX('Vendor COIs'!$C$4:$C$503,(_calc!$E$850-500)))=0,"",INDEX('Vendor COIs'!$C$4:$C$503,(_calc!$E$850-500)))&amp;". ")&amp;IF(LEN(IF(LEN(INDEX('Vendor COIs'!$D$4:$D$503,(_calc!$E$850-500)))=0,"",INDEX('Vendor COIs'!$D$4:$D$503,(_calc!$E$850-500))))=0,"","Policy no.: "&amp;IF(LEN(INDEX('Vendor COIs'!$D$4:$D$503,(_calc!$E$850-500)))=0,"",INDEX('Vendor COIs'!$D$4:$D$503,(_calc!$E$850-500)))&amp;". ")&amp;IF(LEN(IF(LEN(INDEX('Vendor COIs'!$F$4:$F$503,(_calc!$E$850-500)))=0,"",INDEX('Vendor COIs'!$F$4:$F$503,(_calc!$E$850-500))))=0,"","Meets minimum: "&amp;IF(LEN(INDEX('Vendor COIs'!$F$4:$F$503,(_calc!$E$850-500)))=0,"",INDEX('Vendor COIs'!$F$4:$F$503,(_calc!$E$850-500)))&amp;". ")&amp;IF(LEN(IF(LEN(INDEX('Vendor COIs'!$G$4:$G$503,(_calc!$E$850-500)))=0,"",INDEX('Vendor COIs'!$G$4:$G$503,(_calc!$E$850-500))))=0,"","Additional insured: "&amp;IF(LEN(INDEX('Vendor COIs'!$G$4:$G$503,(_calc!$E$850-500)))=0,"",INDEX('Vendor COIs'!$G$4:$G$503,(_calc!$E$850-500)))&amp;". ")&amp;IF(LEN(IF(LEN(INDEX('Vendor COIs'!$M$4:$M$503,(_calc!$E$850-500)))=0,"",INDEX('Vendor COIs'!$M$4:$M$503,(_calc!$E$850-500))))=0,"","Vendor contact: "&amp;IF(LEN(INDEX('Vendor COIs'!$M$4:$M$503,(_calc!$E$850-500)))=0,"",INDEX('Vendor COIs'!$M$4:$M$503,(_calc!$E$850-500)))&amp;". ")&amp;IF(LEN(IF(LEN(INDEX('Vendor COIs'!$P$4:$P$503,(_calc!$E$850-500)))=0,"",INDEX('Vendor COIs'!$P$4:$P$503,(_calc!$E$850-500))))=0,"",IF(LEN(INDEX('Vendor COIs'!$P$4:$P$503,(_calc!$E$850-500)))=0,"",INDEX('Vendor COIs'!$P$4:$P$503,(_calc!$E$850-500)))))))</f>
        <v/>
      </c>
      <c r="G848" s="46">
        <f>IF(_calc!$E$850="","",IF(_calc!$E$850&lt;=500,IF(LEN(INDEX('Our policies'!$R$4:$R$503,_calc!$E$850))=0,"",INDEX('Our policies'!$R$4:$R$503,_calc!$E$850)),IF(LEN(INDEX('Vendor COIs'!$O$4:$O$503,(_calc!$E$850-500)))=0,"",INDEX('Vendor COIs'!$O$4:$O$503,(_calc!$E$850-500)))))</f>
        <v/>
      </c>
      <c r="H848" s="46">
        <f>IF(_calc!$E$850="","",IF(_calc!$E$850&lt;=500,IF(LEN(INDEX('Our policies'!$G$4:$G$503,_calc!$E$850))=0,"",INDEX('Our policies'!$G$4:$G$503,_calc!$E$850)),""))</f>
        <v/>
      </c>
      <c r="I848" s="46">
        <f>IF(_calc!$E$850="","",IF(_calc!$E$850&lt;=500,IF(LEN(INDEX('Our policies'!$H$4:$H$503,_calc!$E$850))=0,"",INDEX('Our policies'!$H$4:$H$503,_calc!$E$850)),""))</f>
        <v/>
      </c>
      <c r="K848" s="46">
        <f>IF(_calc!$E$850="","",IF(_calc!$E$850&lt;=500,IF(LEN(INDEX('Our policies'!$P$4:$P$503,_calc!$E$850))=0,"",INDEX('Our policies'!$P$4:$P$503,_calc!$E$850)),IF(LEN(INDEX('Vendor COIs'!$N$4:$N$503,(_calc!$E$850-500)))=0,"",INDEX('Vendor COIs'!$N$4:$N$503,(_calc!$E$850-500)))))</f>
        <v/>
      </c>
    </row>
    <row r="849">
      <c r="A849" s="46">
        <f>IF(_calc!$E$851="","",IF(_calc!$E$851&lt;=500,IF(LEN(INDEX('Our policies'!$A$4:$A$503,_calc!$E$851))=0,"",INDEX('Our policies'!$A$4:$A$503,_calc!$E$851)),"COI – "&amp;IF(LEN(INDEX('Vendor COIs'!$A$4:$A$503,(_calc!$E$851-500)))=0,"",INDEX('Vendor COIs'!$A$4:$A$503,(_calc!$E$851-500)))&amp;" – "&amp;IF(LEN(INDEX('Vendor COIs'!$B$4:$B$503,(_calc!$E$851-500)))=0,"",INDEX('Vendor COIs'!$B$4:$B$503,(_calc!$E$851-500)))))</f>
        <v/>
      </c>
      <c r="B849" s="46">
        <f>IF(_calc!$E$851="","",IF(_calc!$E$851&lt;=500,IF(ISNUMBER(INDEX('Our policies'!$J$4:$J$503,_calc!$E$851)),TEXT(INDEX('Our policies'!$J$4:$J$503,_calc!$E$851),"yyyy-mm-dd"),""),IF(ISNUMBER(INDEX('Vendor COIs'!$H$4:$H$503,(_calc!$E$851-500))),TEXT(INDEX('Vendor COIs'!$H$4:$H$503,(_calc!$E$851-500)),"yyyy-mm-dd"),"")))</f>
        <v/>
      </c>
      <c r="C849" s="46">
        <f>IF(_calc!$E$851="","",IF(_calc!$E$851&lt;=500,"Insurance","Certificate of insurance"))</f>
        <v/>
      </c>
      <c r="D849" s="46">
        <f>IF(_calc!$E$851="","",IF(_calc!$E$851&lt;=500,IF(ISNUMBER(INDEX('Our policies'!$I$4:$I$503,_calc!$E$851)),TEXT(INDEX('Our policies'!$I$4:$I$503,_calc!$E$851),"yyyy-mm-dd"),""),""))</f>
        <v/>
      </c>
      <c r="E849" s="46">
        <f>IF(_calc!$E$851="","",IF(_calc!$E$851&lt;=500,IF(LEN(INDEX('Our policies'!$Q$4:$Q$503,_calc!$E$851))=0,"",INDEX('Our policies'!$Q$4:$Q$503,_calc!$E$851)),"Medium"))</f>
        <v/>
      </c>
      <c r="F849" s="46">
        <f>IF(_calc!$E$851="","",IF(_calc!$E$851&lt;=500,TRIM(IF(LEN(IF(LEN(INDEX('Our policies'!$B$4:$B$503,_calc!$E$851))=0,"",INDEX('Our policies'!$B$4:$B$503,_calc!$E$851)))=0,"","Cover: "&amp;IF(LEN(INDEX('Our policies'!$B$4:$B$503,_calc!$E$851))=0,"",INDEX('Our policies'!$B$4:$B$503,_calc!$E$851))&amp;". ")&amp;IF(LEN(IF(LEN(INDEX('Our policies'!$C$4:$C$503,_calc!$E$851))=0,"",INDEX('Our policies'!$C$4:$C$503,_calc!$E$851)))=0,"","Insurer: "&amp;IF(LEN(INDEX('Our policies'!$C$4:$C$503,_calc!$E$851))=0,"",INDEX('Our policies'!$C$4:$C$503,_calc!$E$851))&amp;". ")&amp;IF(LEN(IF(LEN(INDEX('Our policies'!$D$4:$D$503,_calc!$E$851))=0,"",INDEX('Our policies'!$D$4:$D$503,_calc!$E$851)))=0,"","Broker: "&amp;IF(LEN(INDEX('Our policies'!$D$4:$D$503,_calc!$E$851))=0,"",INDEX('Our policies'!$D$4:$D$503,_calc!$E$851))&amp;". ")&amp;IF(LEN(IF(LEN(INDEX('Our policies'!$E$4:$E$503,_calc!$E$851))=0,"",INDEX('Our policies'!$E$4:$E$503,_calc!$E$851)))=0,"","Policy no.: "&amp;IF(LEN(INDEX('Our policies'!$E$4:$E$503,_calc!$E$851))=0,"",INDEX('Our policies'!$E$4:$E$503,_calc!$E$851))&amp;". ")&amp;IF(LEN(IF(LEN(INDEX('Our policies'!$S$4:$S$503,_calc!$E$851))=0,"",INDEX('Our policies'!$S$4:$S$503,_calc!$E$851)))=0,"",IF(LEN(INDEX('Our policies'!$S$4:$S$503,_calc!$E$851))=0,"",INDEX('Our policies'!$S$4:$S$503,_calc!$E$851)))),TRIM(IF(LEN(IF(LEN(INDEX('Vendor COIs'!$C$4:$C$503,(_calc!$E$851-500)))=0,"",INDEX('Vendor COIs'!$C$4:$C$503,(_calc!$E$851-500))))=0,"","Insurer: "&amp;IF(LEN(INDEX('Vendor COIs'!$C$4:$C$503,(_calc!$E$851-500)))=0,"",INDEX('Vendor COIs'!$C$4:$C$503,(_calc!$E$851-500)))&amp;". ")&amp;IF(LEN(IF(LEN(INDEX('Vendor COIs'!$D$4:$D$503,(_calc!$E$851-500)))=0,"",INDEX('Vendor COIs'!$D$4:$D$503,(_calc!$E$851-500))))=0,"","Policy no.: "&amp;IF(LEN(INDEX('Vendor COIs'!$D$4:$D$503,(_calc!$E$851-500)))=0,"",INDEX('Vendor COIs'!$D$4:$D$503,(_calc!$E$851-500)))&amp;". ")&amp;IF(LEN(IF(LEN(INDEX('Vendor COIs'!$F$4:$F$503,(_calc!$E$851-500)))=0,"",INDEX('Vendor COIs'!$F$4:$F$503,(_calc!$E$851-500))))=0,"","Meets minimum: "&amp;IF(LEN(INDEX('Vendor COIs'!$F$4:$F$503,(_calc!$E$851-500)))=0,"",INDEX('Vendor COIs'!$F$4:$F$503,(_calc!$E$851-500)))&amp;". ")&amp;IF(LEN(IF(LEN(INDEX('Vendor COIs'!$G$4:$G$503,(_calc!$E$851-500)))=0,"",INDEX('Vendor COIs'!$G$4:$G$503,(_calc!$E$851-500))))=0,"","Additional insured: "&amp;IF(LEN(INDEX('Vendor COIs'!$G$4:$G$503,(_calc!$E$851-500)))=0,"",INDEX('Vendor COIs'!$G$4:$G$503,(_calc!$E$851-500)))&amp;". ")&amp;IF(LEN(IF(LEN(INDEX('Vendor COIs'!$M$4:$M$503,(_calc!$E$851-500)))=0,"",INDEX('Vendor COIs'!$M$4:$M$503,(_calc!$E$851-500))))=0,"","Vendor contact: "&amp;IF(LEN(INDEX('Vendor COIs'!$M$4:$M$503,(_calc!$E$851-500)))=0,"",INDEX('Vendor COIs'!$M$4:$M$503,(_calc!$E$851-500)))&amp;". ")&amp;IF(LEN(IF(LEN(INDEX('Vendor COIs'!$P$4:$P$503,(_calc!$E$851-500)))=0,"",INDEX('Vendor COIs'!$P$4:$P$503,(_calc!$E$851-500))))=0,"",IF(LEN(INDEX('Vendor COIs'!$P$4:$P$503,(_calc!$E$851-500)))=0,"",INDEX('Vendor COIs'!$P$4:$P$503,(_calc!$E$851-500)))))))</f>
        <v/>
      </c>
      <c r="G849" s="46">
        <f>IF(_calc!$E$851="","",IF(_calc!$E$851&lt;=500,IF(LEN(INDEX('Our policies'!$R$4:$R$503,_calc!$E$851))=0,"",INDEX('Our policies'!$R$4:$R$503,_calc!$E$851)),IF(LEN(INDEX('Vendor COIs'!$O$4:$O$503,(_calc!$E$851-500)))=0,"",INDEX('Vendor COIs'!$O$4:$O$503,(_calc!$E$851-500)))))</f>
        <v/>
      </c>
      <c r="H849" s="46">
        <f>IF(_calc!$E$851="","",IF(_calc!$E$851&lt;=500,IF(LEN(INDEX('Our policies'!$G$4:$G$503,_calc!$E$851))=0,"",INDEX('Our policies'!$G$4:$G$503,_calc!$E$851)),""))</f>
        <v/>
      </c>
      <c r="I849" s="46">
        <f>IF(_calc!$E$851="","",IF(_calc!$E$851&lt;=500,IF(LEN(INDEX('Our policies'!$H$4:$H$503,_calc!$E$851))=0,"",INDEX('Our policies'!$H$4:$H$503,_calc!$E$851)),""))</f>
        <v/>
      </c>
      <c r="K849" s="46">
        <f>IF(_calc!$E$851="","",IF(_calc!$E$851&lt;=500,IF(LEN(INDEX('Our policies'!$P$4:$P$503,_calc!$E$851))=0,"",INDEX('Our policies'!$P$4:$P$503,_calc!$E$851)),IF(LEN(INDEX('Vendor COIs'!$N$4:$N$503,(_calc!$E$851-500)))=0,"",INDEX('Vendor COIs'!$N$4:$N$503,(_calc!$E$851-500)))))</f>
        <v/>
      </c>
    </row>
    <row r="850">
      <c r="A850" s="46">
        <f>IF(_calc!$E$852="","",IF(_calc!$E$852&lt;=500,IF(LEN(INDEX('Our policies'!$A$4:$A$503,_calc!$E$852))=0,"",INDEX('Our policies'!$A$4:$A$503,_calc!$E$852)),"COI – "&amp;IF(LEN(INDEX('Vendor COIs'!$A$4:$A$503,(_calc!$E$852-500)))=0,"",INDEX('Vendor COIs'!$A$4:$A$503,(_calc!$E$852-500)))&amp;" – "&amp;IF(LEN(INDEX('Vendor COIs'!$B$4:$B$503,(_calc!$E$852-500)))=0,"",INDEX('Vendor COIs'!$B$4:$B$503,(_calc!$E$852-500)))))</f>
        <v/>
      </c>
      <c r="B850" s="46">
        <f>IF(_calc!$E$852="","",IF(_calc!$E$852&lt;=500,IF(ISNUMBER(INDEX('Our policies'!$J$4:$J$503,_calc!$E$852)),TEXT(INDEX('Our policies'!$J$4:$J$503,_calc!$E$852),"yyyy-mm-dd"),""),IF(ISNUMBER(INDEX('Vendor COIs'!$H$4:$H$503,(_calc!$E$852-500))),TEXT(INDEX('Vendor COIs'!$H$4:$H$503,(_calc!$E$852-500)),"yyyy-mm-dd"),"")))</f>
        <v/>
      </c>
      <c r="C850" s="46">
        <f>IF(_calc!$E$852="","",IF(_calc!$E$852&lt;=500,"Insurance","Certificate of insurance"))</f>
        <v/>
      </c>
      <c r="D850" s="46">
        <f>IF(_calc!$E$852="","",IF(_calc!$E$852&lt;=500,IF(ISNUMBER(INDEX('Our policies'!$I$4:$I$503,_calc!$E$852)),TEXT(INDEX('Our policies'!$I$4:$I$503,_calc!$E$852),"yyyy-mm-dd"),""),""))</f>
        <v/>
      </c>
      <c r="E850" s="46">
        <f>IF(_calc!$E$852="","",IF(_calc!$E$852&lt;=500,IF(LEN(INDEX('Our policies'!$Q$4:$Q$503,_calc!$E$852))=0,"",INDEX('Our policies'!$Q$4:$Q$503,_calc!$E$852)),"Medium"))</f>
        <v/>
      </c>
      <c r="F850" s="46">
        <f>IF(_calc!$E$852="","",IF(_calc!$E$852&lt;=500,TRIM(IF(LEN(IF(LEN(INDEX('Our policies'!$B$4:$B$503,_calc!$E$852))=0,"",INDEX('Our policies'!$B$4:$B$503,_calc!$E$852)))=0,"","Cover: "&amp;IF(LEN(INDEX('Our policies'!$B$4:$B$503,_calc!$E$852))=0,"",INDEX('Our policies'!$B$4:$B$503,_calc!$E$852))&amp;". ")&amp;IF(LEN(IF(LEN(INDEX('Our policies'!$C$4:$C$503,_calc!$E$852))=0,"",INDEX('Our policies'!$C$4:$C$503,_calc!$E$852)))=0,"","Insurer: "&amp;IF(LEN(INDEX('Our policies'!$C$4:$C$503,_calc!$E$852))=0,"",INDEX('Our policies'!$C$4:$C$503,_calc!$E$852))&amp;". ")&amp;IF(LEN(IF(LEN(INDEX('Our policies'!$D$4:$D$503,_calc!$E$852))=0,"",INDEX('Our policies'!$D$4:$D$503,_calc!$E$852)))=0,"","Broker: "&amp;IF(LEN(INDEX('Our policies'!$D$4:$D$503,_calc!$E$852))=0,"",INDEX('Our policies'!$D$4:$D$503,_calc!$E$852))&amp;". ")&amp;IF(LEN(IF(LEN(INDEX('Our policies'!$E$4:$E$503,_calc!$E$852))=0,"",INDEX('Our policies'!$E$4:$E$503,_calc!$E$852)))=0,"","Policy no.: "&amp;IF(LEN(INDEX('Our policies'!$E$4:$E$503,_calc!$E$852))=0,"",INDEX('Our policies'!$E$4:$E$503,_calc!$E$852))&amp;". ")&amp;IF(LEN(IF(LEN(INDEX('Our policies'!$S$4:$S$503,_calc!$E$852))=0,"",INDEX('Our policies'!$S$4:$S$503,_calc!$E$852)))=0,"",IF(LEN(INDEX('Our policies'!$S$4:$S$503,_calc!$E$852))=0,"",INDEX('Our policies'!$S$4:$S$503,_calc!$E$852)))),TRIM(IF(LEN(IF(LEN(INDEX('Vendor COIs'!$C$4:$C$503,(_calc!$E$852-500)))=0,"",INDEX('Vendor COIs'!$C$4:$C$503,(_calc!$E$852-500))))=0,"","Insurer: "&amp;IF(LEN(INDEX('Vendor COIs'!$C$4:$C$503,(_calc!$E$852-500)))=0,"",INDEX('Vendor COIs'!$C$4:$C$503,(_calc!$E$852-500)))&amp;". ")&amp;IF(LEN(IF(LEN(INDEX('Vendor COIs'!$D$4:$D$503,(_calc!$E$852-500)))=0,"",INDEX('Vendor COIs'!$D$4:$D$503,(_calc!$E$852-500))))=0,"","Policy no.: "&amp;IF(LEN(INDEX('Vendor COIs'!$D$4:$D$503,(_calc!$E$852-500)))=0,"",INDEX('Vendor COIs'!$D$4:$D$503,(_calc!$E$852-500)))&amp;". ")&amp;IF(LEN(IF(LEN(INDEX('Vendor COIs'!$F$4:$F$503,(_calc!$E$852-500)))=0,"",INDEX('Vendor COIs'!$F$4:$F$503,(_calc!$E$852-500))))=0,"","Meets minimum: "&amp;IF(LEN(INDEX('Vendor COIs'!$F$4:$F$503,(_calc!$E$852-500)))=0,"",INDEX('Vendor COIs'!$F$4:$F$503,(_calc!$E$852-500)))&amp;". ")&amp;IF(LEN(IF(LEN(INDEX('Vendor COIs'!$G$4:$G$503,(_calc!$E$852-500)))=0,"",INDEX('Vendor COIs'!$G$4:$G$503,(_calc!$E$852-500))))=0,"","Additional insured: "&amp;IF(LEN(INDEX('Vendor COIs'!$G$4:$G$503,(_calc!$E$852-500)))=0,"",INDEX('Vendor COIs'!$G$4:$G$503,(_calc!$E$852-500)))&amp;". ")&amp;IF(LEN(IF(LEN(INDEX('Vendor COIs'!$M$4:$M$503,(_calc!$E$852-500)))=0,"",INDEX('Vendor COIs'!$M$4:$M$503,(_calc!$E$852-500))))=0,"","Vendor contact: "&amp;IF(LEN(INDEX('Vendor COIs'!$M$4:$M$503,(_calc!$E$852-500)))=0,"",INDEX('Vendor COIs'!$M$4:$M$503,(_calc!$E$852-500)))&amp;". ")&amp;IF(LEN(IF(LEN(INDEX('Vendor COIs'!$P$4:$P$503,(_calc!$E$852-500)))=0,"",INDEX('Vendor COIs'!$P$4:$P$503,(_calc!$E$852-500))))=0,"",IF(LEN(INDEX('Vendor COIs'!$P$4:$P$503,(_calc!$E$852-500)))=0,"",INDEX('Vendor COIs'!$P$4:$P$503,(_calc!$E$852-500)))))))</f>
        <v/>
      </c>
      <c r="G850" s="46">
        <f>IF(_calc!$E$852="","",IF(_calc!$E$852&lt;=500,IF(LEN(INDEX('Our policies'!$R$4:$R$503,_calc!$E$852))=0,"",INDEX('Our policies'!$R$4:$R$503,_calc!$E$852)),IF(LEN(INDEX('Vendor COIs'!$O$4:$O$503,(_calc!$E$852-500)))=0,"",INDEX('Vendor COIs'!$O$4:$O$503,(_calc!$E$852-500)))))</f>
        <v/>
      </c>
      <c r="H850" s="46">
        <f>IF(_calc!$E$852="","",IF(_calc!$E$852&lt;=500,IF(LEN(INDEX('Our policies'!$G$4:$G$503,_calc!$E$852))=0,"",INDEX('Our policies'!$G$4:$G$503,_calc!$E$852)),""))</f>
        <v/>
      </c>
      <c r="I850" s="46">
        <f>IF(_calc!$E$852="","",IF(_calc!$E$852&lt;=500,IF(LEN(INDEX('Our policies'!$H$4:$H$503,_calc!$E$852))=0,"",INDEX('Our policies'!$H$4:$H$503,_calc!$E$852)),""))</f>
        <v/>
      </c>
      <c r="K850" s="46">
        <f>IF(_calc!$E$852="","",IF(_calc!$E$852&lt;=500,IF(LEN(INDEX('Our policies'!$P$4:$P$503,_calc!$E$852))=0,"",INDEX('Our policies'!$P$4:$P$503,_calc!$E$852)),IF(LEN(INDEX('Vendor COIs'!$N$4:$N$503,(_calc!$E$852-500)))=0,"",INDEX('Vendor COIs'!$N$4:$N$503,(_calc!$E$852-500)))))</f>
        <v/>
      </c>
    </row>
    <row r="851">
      <c r="A851" s="46">
        <f>IF(_calc!$E$853="","",IF(_calc!$E$853&lt;=500,IF(LEN(INDEX('Our policies'!$A$4:$A$503,_calc!$E$853))=0,"",INDEX('Our policies'!$A$4:$A$503,_calc!$E$853)),"COI – "&amp;IF(LEN(INDEX('Vendor COIs'!$A$4:$A$503,(_calc!$E$853-500)))=0,"",INDEX('Vendor COIs'!$A$4:$A$503,(_calc!$E$853-500)))&amp;" – "&amp;IF(LEN(INDEX('Vendor COIs'!$B$4:$B$503,(_calc!$E$853-500)))=0,"",INDEX('Vendor COIs'!$B$4:$B$503,(_calc!$E$853-500)))))</f>
        <v/>
      </c>
      <c r="B851" s="46">
        <f>IF(_calc!$E$853="","",IF(_calc!$E$853&lt;=500,IF(ISNUMBER(INDEX('Our policies'!$J$4:$J$503,_calc!$E$853)),TEXT(INDEX('Our policies'!$J$4:$J$503,_calc!$E$853),"yyyy-mm-dd"),""),IF(ISNUMBER(INDEX('Vendor COIs'!$H$4:$H$503,(_calc!$E$853-500))),TEXT(INDEX('Vendor COIs'!$H$4:$H$503,(_calc!$E$853-500)),"yyyy-mm-dd"),"")))</f>
        <v/>
      </c>
      <c r="C851" s="46">
        <f>IF(_calc!$E$853="","",IF(_calc!$E$853&lt;=500,"Insurance","Certificate of insurance"))</f>
        <v/>
      </c>
      <c r="D851" s="46">
        <f>IF(_calc!$E$853="","",IF(_calc!$E$853&lt;=500,IF(ISNUMBER(INDEX('Our policies'!$I$4:$I$503,_calc!$E$853)),TEXT(INDEX('Our policies'!$I$4:$I$503,_calc!$E$853),"yyyy-mm-dd"),""),""))</f>
        <v/>
      </c>
      <c r="E851" s="46">
        <f>IF(_calc!$E$853="","",IF(_calc!$E$853&lt;=500,IF(LEN(INDEX('Our policies'!$Q$4:$Q$503,_calc!$E$853))=0,"",INDEX('Our policies'!$Q$4:$Q$503,_calc!$E$853)),"Medium"))</f>
        <v/>
      </c>
      <c r="F851" s="46">
        <f>IF(_calc!$E$853="","",IF(_calc!$E$853&lt;=500,TRIM(IF(LEN(IF(LEN(INDEX('Our policies'!$B$4:$B$503,_calc!$E$853))=0,"",INDEX('Our policies'!$B$4:$B$503,_calc!$E$853)))=0,"","Cover: "&amp;IF(LEN(INDEX('Our policies'!$B$4:$B$503,_calc!$E$853))=0,"",INDEX('Our policies'!$B$4:$B$503,_calc!$E$853))&amp;". ")&amp;IF(LEN(IF(LEN(INDEX('Our policies'!$C$4:$C$503,_calc!$E$853))=0,"",INDEX('Our policies'!$C$4:$C$503,_calc!$E$853)))=0,"","Insurer: "&amp;IF(LEN(INDEX('Our policies'!$C$4:$C$503,_calc!$E$853))=0,"",INDEX('Our policies'!$C$4:$C$503,_calc!$E$853))&amp;". ")&amp;IF(LEN(IF(LEN(INDEX('Our policies'!$D$4:$D$503,_calc!$E$853))=0,"",INDEX('Our policies'!$D$4:$D$503,_calc!$E$853)))=0,"","Broker: "&amp;IF(LEN(INDEX('Our policies'!$D$4:$D$503,_calc!$E$853))=0,"",INDEX('Our policies'!$D$4:$D$503,_calc!$E$853))&amp;". ")&amp;IF(LEN(IF(LEN(INDEX('Our policies'!$E$4:$E$503,_calc!$E$853))=0,"",INDEX('Our policies'!$E$4:$E$503,_calc!$E$853)))=0,"","Policy no.: "&amp;IF(LEN(INDEX('Our policies'!$E$4:$E$503,_calc!$E$853))=0,"",INDEX('Our policies'!$E$4:$E$503,_calc!$E$853))&amp;". ")&amp;IF(LEN(IF(LEN(INDEX('Our policies'!$S$4:$S$503,_calc!$E$853))=0,"",INDEX('Our policies'!$S$4:$S$503,_calc!$E$853)))=0,"",IF(LEN(INDEX('Our policies'!$S$4:$S$503,_calc!$E$853))=0,"",INDEX('Our policies'!$S$4:$S$503,_calc!$E$853)))),TRIM(IF(LEN(IF(LEN(INDEX('Vendor COIs'!$C$4:$C$503,(_calc!$E$853-500)))=0,"",INDEX('Vendor COIs'!$C$4:$C$503,(_calc!$E$853-500))))=0,"","Insurer: "&amp;IF(LEN(INDEX('Vendor COIs'!$C$4:$C$503,(_calc!$E$853-500)))=0,"",INDEX('Vendor COIs'!$C$4:$C$503,(_calc!$E$853-500)))&amp;". ")&amp;IF(LEN(IF(LEN(INDEX('Vendor COIs'!$D$4:$D$503,(_calc!$E$853-500)))=0,"",INDEX('Vendor COIs'!$D$4:$D$503,(_calc!$E$853-500))))=0,"","Policy no.: "&amp;IF(LEN(INDEX('Vendor COIs'!$D$4:$D$503,(_calc!$E$853-500)))=0,"",INDEX('Vendor COIs'!$D$4:$D$503,(_calc!$E$853-500)))&amp;". ")&amp;IF(LEN(IF(LEN(INDEX('Vendor COIs'!$F$4:$F$503,(_calc!$E$853-500)))=0,"",INDEX('Vendor COIs'!$F$4:$F$503,(_calc!$E$853-500))))=0,"","Meets minimum: "&amp;IF(LEN(INDEX('Vendor COIs'!$F$4:$F$503,(_calc!$E$853-500)))=0,"",INDEX('Vendor COIs'!$F$4:$F$503,(_calc!$E$853-500)))&amp;". ")&amp;IF(LEN(IF(LEN(INDEX('Vendor COIs'!$G$4:$G$503,(_calc!$E$853-500)))=0,"",INDEX('Vendor COIs'!$G$4:$G$503,(_calc!$E$853-500))))=0,"","Additional insured: "&amp;IF(LEN(INDEX('Vendor COIs'!$G$4:$G$503,(_calc!$E$853-500)))=0,"",INDEX('Vendor COIs'!$G$4:$G$503,(_calc!$E$853-500)))&amp;". ")&amp;IF(LEN(IF(LEN(INDEX('Vendor COIs'!$M$4:$M$503,(_calc!$E$853-500)))=0,"",INDEX('Vendor COIs'!$M$4:$M$503,(_calc!$E$853-500))))=0,"","Vendor contact: "&amp;IF(LEN(INDEX('Vendor COIs'!$M$4:$M$503,(_calc!$E$853-500)))=0,"",INDEX('Vendor COIs'!$M$4:$M$503,(_calc!$E$853-500)))&amp;". ")&amp;IF(LEN(IF(LEN(INDEX('Vendor COIs'!$P$4:$P$503,(_calc!$E$853-500)))=0,"",INDEX('Vendor COIs'!$P$4:$P$503,(_calc!$E$853-500))))=0,"",IF(LEN(INDEX('Vendor COIs'!$P$4:$P$503,(_calc!$E$853-500)))=0,"",INDEX('Vendor COIs'!$P$4:$P$503,(_calc!$E$853-500)))))))</f>
        <v/>
      </c>
      <c r="G851" s="46">
        <f>IF(_calc!$E$853="","",IF(_calc!$E$853&lt;=500,IF(LEN(INDEX('Our policies'!$R$4:$R$503,_calc!$E$853))=0,"",INDEX('Our policies'!$R$4:$R$503,_calc!$E$853)),IF(LEN(INDEX('Vendor COIs'!$O$4:$O$503,(_calc!$E$853-500)))=0,"",INDEX('Vendor COIs'!$O$4:$O$503,(_calc!$E$853-500)))))</f>
        <v/>
      </c>
      <c r="H851" s="46">
        <f>IF(_calc!$E$853="","",IF(_calc!$E$853&lt;=500,IF(LEN(INDEX('Our policies'!$G$4:$G$503,_calc!$E$853))=0,"",INDEX('Our policies'!$G$4:$G$503,_calc!$E$853)),""))</f>
        <v/>
      </c>
      <c r="I851" s="46">
        <f>IF(_calc!$E$853="","",IF(_calc!$E$853&lt;=500,IF(LEN(INDEX('Our policies'!$H$4:$H$503,_calc!$E$853))=0,"",INDEX('Our policies'!$H$4:$H$503,_calc!$E$853)),""))</f>
        <v/>
      </c>
      <c r="K851" s="46">
        <f>IF(_calc!$E$853="","",IF(_calc!$E$853&lt;=500,IF(LEN(INDEX('Our policies'!$P$4:$P$503,_calc!$E$853))=0,"",INDEX('Our policies'!$P$4:$P$503,_calc!$E$853)),IF(LEN(INDEX('Vendor COIs'!$N$4:$N$503,(_calc!$E$853-500)))=0,"",INDEX('Vendor COIs'!$N$4:$N$503,(_calc!$E$853-500)))))</f>
        <v/>
      </c>
    </row>
    <row r="852">
      <c r="A852" s="46">
        <f>IF(_calc!$E$854="","",IF(_calc!$E$854&lt;=500,IF(LEN(INDEX('Our policies'!$A$4:$A$503,_calc!$E$854))=0,"",INDEX('Our policies'!$A$4:$A$503,_calc!$E$854)),"COI – "&amp;IF(LEN(INDEX('Vendor COIs'!$A$4:$A$503,(_calc!$E$854-500)))=0,"",INDEX('Vendor COIs'!$A$4:$A$503,(_calc!$E$854-500)))&amp;" – "&amp;IF(LEN(INDEX('Vendor COIs'!$B$4:$B$503,(_calc!$E$854-500)))=0,"",INDEX('Vendor COIs'!$B$4:$B$503,(_calc!$E$854-500)))))</f>
        <v/>
      </c>
      <c r="B852" s="46">
        <f>IF(_calc!$E$854="","",IF(_calc!$E$854&lt;=500,IF(ISNUMBER(INDEX('Our policies'!$J$4:$J$503,_calc!$E$854)),TEXT(INDEX('Our policies'!$J$4:$J$503,_calc!$E$854),"yyyy-mm-dd"),""),IF(ISNUMBER(INDEX('Vendor COIs'!$H$4:$H$503,(_calc!$E$854-500))),TEXT(INDEX('Vendor COIs'!$H$4:$H$503,(_calc!$E$854-500)),"yyyy-mm-dd"),"")))</f>
        <v/>
      </c>
      <c r="C852" s="46">
        <f>IF(_calc!$E$854="","",IF(_calc!$E$854&lt;=500,"Insurance","Certificate of insurance"))</f>
        <v/>
      </c>
      <c r="D852" s="46">
        <f>IF(_calc!$E$854="","",IF(_calc!$E$854&lt;=500,IF(ISNUMBER(INDEX('Our policies'!$I$4:$I$503,_calc!$E$854)),TEXT(INDEX('Our policies'!$I$4:$I$503,_calc!$E$854),"yyyy-mm-dd"),""),""))</f>
        <v/>
      </c>
      <c r="E852" s="46">
        <f>IF(_calc!$E$854="","",IF(_calc!$E$854&lt;=500,IF(LEN(INDEX('Our policies'!$Q$4:$Q$503,_calc!$E$854))=0,"",INDEX('Our policies'!$Q$4:$Q$503,_calc!$E$854)),"Medium"))</f>
        <v/>
      </c>
      <c r="F852" s="46">
        <f>IF(_calc!$E$854="","",IF(_calc!$E$854&lt;=500,TRIM(IF(LEN(IF(LEN(INDEX('Our policies'!$B$4:$B$503,_calc!$E$854))=0,"",INDEX('Our policies'!$B$4:$B$503,_calc!$E$854)))=0,"","Cover: "&amp;IF(LEN(INDEX('Our policies'!$B$4:$B$503,_calc!$E$854))=0,"",INDEX('Our policies'!$B$4:$B$503,_calc!$E$854))&amp;". ")&amp;IF(LEN(IF(LEN(INDEX('Our policies'!$C$4:$C$503,_calc!$E$854))=0,"",INDEX('Our policies'!$C$4:$C$503,_calc!$E$854)))=0,"","Insurer: "&amp;IF(LEN(INDEX('Our policies'!$C$4:$C$503,_calc!$E$854))=0,"",INDEX('Our policies'!$C$4:$C$503,_calc!$E$854))&amp;". ")&amp;IF(LEN(IF(LEN(INDEX('Our policies'!$D$4:$D$503,_calc!$E$854))=0,"",INDEX('Our policies'!$D$4:$D$503,_calc!$E$854)))=0,"","Broker: "&amp;IF(LEN(INDEX('Our policies'!$D$4:$D$503,_calc!$E$854))=0,"",INDEX('Our policies'!$D$4:$D$503,_calc!$E$854))&amp;". ")&amp;IF(LEN(IF(LEN(INDEX('Our policies'!$E$4:$E$503,_calc!$E$854))=0,"",INDEX('Our policies'!$E$4:$E$503,_calc!$E$854)))=0,"","Policy no.: "&amp;IF(LEN(INDEX('Our policies'!$E$4:$E$503,_calc!$E$854))=0,"",INDEX('Our policies'!$E$4:$E$503,_calc!$E$854))&amp;". ")&amp;IF(LEN(IF(LEN(INDEX('Our policies'!$S$4:$S$503,_calc!$E$854))=0,"",INDEX('Our policies'!$S$4:$S$503,_calc!$E$854)))=0,"",IF(LEN(INDEX('Our policies'!$S$4:$S$503,_calc!$E$854))=0,"",INDEX('Our policies'!$S$4:$S$503,_calc!$E$854)))),TRIM(IF(LEN(IF(LEN(INDEX('Vendor COIs'!$C$4:$C$503,(_calc!$E$854-500)))=0,"",INDEX('Vendor COIs'!$C$4:$C$503,(_calc!$E$854-500))))=0,"","Insurer: "&amp;IF(LEN(INDEX('Vendor COIs'!$C$4:$C$503,(_calc!$E$854-500)))=0,"",INDEX('Vendor COIs'!$C$4:$C$503,(_calc!$E$854-500)))&amp;". ")&amp;IF(LEN(IF(LEN(INDEX('Vendor COIs'!$D$4:$D$503,(_calc!$E$854-500)))=0,"",INDEX('Vendor COIs'!$D$4:$D$503,(_calc!$E$854-500))))=0,"","Policy no.: "&amp;IF(LEN(INDEX('Vendor COIs'!$D$4:$D$503,(_calc!$E$854-500)))=0,"",INDEX('Vendor COIs'!$D$4:$D$503,(_calc!$E$854-500)))&amp;". ")&amp;IF(LEN(IF(LEN(INDEX('Vendor COIs'!$F$4:$F$503,(_calc!$E$854-500)))=0,"",INDEX('Vendor COIs'!$F$4:$F$503,(_calc!$E$854-500))))=0,"","Meets minimum: "&amp;IF(LEN(INDEX('Vendor COIs'!$F$4:$F$503,(_calc!$E$854-500)))=0,"",INDEX('Vendor COIs'!$F$4:$F$503,(_calc!$E$854-500)))&amp;". ")&amp;IF(LEN(IF(LEN(INDEX('Vendor COIs'!$G$4:$G$503,(_calc!$E$854-500)))=0,"",INDEX('Vendor COIs'!$G$4:$G$503,(_calc!$E$854-500))))=0,"","Additional insured: "&amp;IF(LEN(INDEX('Vendor COIs'!$G$4:$G$503,(_calc!$E$854-500)))=0,"",INDEX('Vendor COIs'!$G$4:$G$503,(_calc!$E$854-500)))&amp;". ")&amp;IF(LEN(IF(LEN(INDEX('Vendor COIs'!$M$4:$M$503,(_calc!$E$854-500)))=0,"",INDEX('Vendor COIs'!$M$4:$M$503,(_calc!$E$854-500))))=0,"","Vendor contact: "&amp;IF(LEN(INDEX('Vendor COIs'!$M$4:$M$503,(_calc!$E$854-500)))=0,"",INDEX('Vendor COIs'!$M$4:$M$503,(_calc!$E$854-500)))&amp;". ")&amp;IF(LEN(IF(LEN(INDEX('Vendor COIs'!$P$4:$P$503,(_calc!$E$854-500)))=0,"",INDEX('Vendor COIs'!$P$4:$P$503,(_calc!$E$854-500))))=0,"",IF(LEN(INDEX('Vendor COIs'!$P$4:$P$503,(_calc!$E$854-500)))=0,"",INDEX('Vendor COIs'!$P$4:$P$503,(_calc!$E$854-500)))))))</f>
        <v/>
      </c>
      <c r="G852" s="46">
        <f>IF(_calc!$E$854="","",IF(_calc!$E$854&lt;=500,IF(LEN(INDEX('Our policies'!$R$4:$R$503,_calc!$E$854))=0,"",INDEX('Our policies'!$R$4:$R$503,_calc!$E$854)),IF(LEN(INDEX('Vendor COIs'!$O$4:$O$503,(_calc!$E$854-500)))=0,"",INDEX('Vendor COIs'!$O$4:$O$503,(_calc!$E$854-500)))))</f>
        <v/>
      </c>
      <c r="H852" s="46">
        <f>IF(_calc!$E$854="","",IF(_calc!$E$854&lt;=500,IF(LEN(INDEX('Our policies'!$G$4:$G$503,_calc!$E$854))=0,"",INDEX('Our policies'!$G$4:$G$503,_calc!$E$854)),""))</f>
        <v/>
      </c>
      <c r="I852" s="46">
        <f>IF(_calc!$E$854="","",IF(_calc!$E$854&lt;=500,IF(LEN(INDEX('Our policies'!$H$4:$H$503,_calc!$E$854))=0,"",INDEX('Our policies'!$H$4:$H$503,_calc!$E$854)),""))</f>
        <v/>
      </c>
      <c r="K852" s="46">
        <f>IF(_calc!$E$854="","",IF(_calc!$E$854&lt;=500,IF(LEN(INDEX('Our policies'!$P$4:$P$503,_calc!$E$854))=0,"",INDEX('Our policies'!$P$4:$P$503,_calc!$E$854)),IF(LEN(INDEX('Vendor COIs'!$N$4:$N$503,(_calc!$E$854-500)))=0,"",INDEX('Vendor COIs'!$N$4:$N$503,(_calc!$E$854-500)))))</f>
        <v/>
      </c>
    </row>
    <row r="853">
      <c r="A853" s="46">
        <f>IF(_calc!$E$855="","",IF(_calc!$E$855&lt;=500,IF(LEN(INDEX('Our policies'!$A$4:$A$503,_calc!$E$855))=0,"",INDEX('Our policies'!$A$4:$A$503,_calc!$E$855)),"COI – "&amp;IF(LEN(INDEX('Vendor COIs'!$A$4:$A$503,(_calc!$E$855-500)))=0,"",INDEX('Vendor COIs'!$A$4:$A$503,(_calc!$E$855-500)))&amp;" – "&amp;IF(LEN(INDEX('Vendor COIs'!$B$4:$B$503,(_calc!$E$855-500)))=0,"",INDEX('Vendor COIs'!$B$4:$B$503,(_calc!$E$855-500)))))</f>
        <v/>
      </c>
      <c r="B853" s="46">
        <f>IF(_calc!$E$855="","",IF(_calc!$E$855&lt;=500,IF(ISNUMBER(INDEX('Our policies'!$J$4:$J$503,_calc!$E$855)),TEXT(INDEX('Our policies'!$J$4:$J$503,_calc!$E$855),"yyyy-mm-dd"),""),IF(ISNUMBER(INDEX('Vendor COIs'!$H$4:$H$503,(_calc!$E$855-500))),TEXT(INDEX('Vendor COIs'!$H$4:$H$503,(_calc!$E$855-500)),"yyyy-mm-dd"),"")))</f>
        <v/>
      </c>
      <c r="C853" s="46">
        <f>IF(_calc!$E$855="","",IF(_calc!$E$855&lt;=500,"Insurance","Certificate of insurance"))</f>
        <v/>
      </c>
      <c r="D853" s="46">
        <f>IF(_calc!$E$855="","",IF(_calc!$E$855&lt;=500,IF(ISNUMBER(INDEX('Our policies'!$I$4:$I$503,_calc!$E$855)),TEXT(INDEX('Our policies'!$I$4:$I$503,_calc!$E$855),"yyyy-mm-dd"),""),""))</f>
        <v/>
      </c>
      <c r="E853" s="46">
        <f>IF(_calc!$E$855="","",IF(_calc!$E$855&lt;=500,IF(LEN(INDEX('Our policies'!$Q$4:$Q$503,_calc!$E$855))=0,"",INDEX('Our policies'!$Q$4:$Q$503,_calc!$E$855)),"Medium"))</f>
        <v/>
      </c>
      <c r="F853" s="46">
        <f>IF(_calc!$E$855="","",IF(_calc!$E$855&lt;=500,TRIM(IF(LEN(IF(LEN(INDEX('Our policies'!$B$4:$B$503,_calc!$E$855))=0,"",INDEX('Our policies'!$B$4:$B$503,_calc!$E$855)))=0,"","Cover: "&amp;IF(LEN(INDEX('Our policies'!$B$4:$B$503,_calc!$E$855))=0,"",INDEX('Our policies'!$B$4:$B$503,_calc!$E$855))&amp;". ")&amp;IF(LEN(IF(LEN(INDEX('Our policies'!$C$4:$C$503,_calc!$E$855))=0,"",INDEX('Our policies'!$C$4:$C$503,_calc!$E$855)))=0,"","Insurer: "&amp;IF(LEN(INDEX('Our policies'!$C$4:$C$503,_calc!$E$855))=0,"",INDEX('Our policies'!$C$4:$C$503,_calc!$E$855))&amp;". ")&amp;IF(LEN(IF(LEN(INDEX('Our policies'!$D$4:$D$503,_calc!$E$855))=0,"",INDEX('Our policies'!$D$4:$D$503,_calc!$E$855)))=0,"","Broker: "&amp;IF(LEN(INDEX('Our policies'!$D$4:$D$503,_calc!$E$855))=0,"",INDEX('Our policies'!$D$4:$D$503,_calc!$E$855))&amp;". ")&amp;IF(LEN(IF(LEN(INDEX('Our policies'!$E$4:$E$503,_calc!$E$855))=0,"",INDEX('Our policies'!$E$4:$E$503,_calc!$E$855)))=0,"","Policy no.: "&amp;IF(LEN(INDEX('Our policies'!$E$4:$E$503,_calc!$E$855))=0,"",INDEX('Our policies'!$E$4:$E$503,_calc!$E$855))&amp;". ")&amp;IF(LEN(IF(LEN(INDEX('Our policies'!$S$4:$S$503,_calc!$E$855))=0,"",INDEX('Our policies'!$S$4:$S$503,_calc!$E$855)))=0,"",IF(LEN(INDEX('Our policies'!$S$4:$S$503,_calc!$E$855))=0,"",INDEX('Our policies'!$S$4:$S$503,_calc!$E$855)))),TRIM(IF(LEN(IF(LEN(INDEX('Vendor COIs'!$C$4:$C$503,(_calc!$E$855-500)))=0,"",INDEX('Vendor COIs'!$C$4:$C$503,(_calc!$E$855-500))))=0,"","Insurer: "&amp;IF(LEN(INDEX('Vendor COIs'!$C$4:$C$503,(_calc!$E$855-500)))=0,"",INDEX('Vendor COIs'!$C$4:$C$503,(_calc!$E$855-500)))&amp;". ")&amp;IF(LEN(IF(LEN(INDEX('Vendor COIs'!$D$4:$D$503,(_calc!$E$855-500)))=0,"",INDEX('Vendor COIs'!$D$4:$D$503,(_calc!$E$855-500))))=0,"","Policy no.: "&amp;IF(LEN(INDEX('Vendor COIs'!$D$4:$D$503,(_calc!$E$855-500)))=0,"",INDEX('Vendor COIs'!$D$4:$D$503,(_calc!$E$855-500)))&amp;". ")&amp;IF(LEN(IF(LEN(INDEX('Vendor COIs'!$F$4:$F$503,(_calc!$E$855-500)))=0,"",INDEX('Vendor COIs'!$F$4:$F$503,(_calc!$E$855-500))))=0,"","Meets minimum: "&amp;IF(LEN(INDEX('Vendor COIs'!$F$4:$F$503,(_calc!$E$855-500)))=0,"",INDEX('Vendor COIs'!$F$4:$F$503,(_calc!$E$855-500)))&amp;". ")&amp;IF(LEN(IF(LEN(INDEX('Vendor COIs'!$G$4:$G$503,(_calc!$E$855-500)))=0,"",INDEX('Vendor COIs'!$G$4:$G$503,(_calc!$E$855-500))))=0,"","Additional insured: "&amp;IF(LEN(INDEX('Vendor COIs'!$G$4:$G$503,(_calc!$E$855-500)))=0,"",INDEX('Vendor COIs'!$G$4:$G$503,(_calc!$E$855-500)))&amp;". ")&amp;IF(LEN(IF(LEN(INDEX('Vendor COIs'!$M$4:$M$503,(_calc!$E$855-500)))=0,"",INDEX('Vendor COIs'!$M$4:$M$503,(_calc!$E$855-500))))=0,"","Vendor contact: "&amp;IF(LEN(INDEX('Vendor COIs'!$M$4:$M$503,(_calc!$E$855-500)))=0,"",INDEX('Vendor COIs'!$M$4:$M$503,(_calc!$E$855-500)))&amp;". ")&amp;IF(LEN(IF(LEN(INDEX('Vendor COIs'!$P$4:$P$503,(_calc!$E$855-500)))=0,"",INDEX('Vendor COIs'!$P$4:$P$503,(_calc!$E$855-500))))=0,"",IF(LEN(INDEX('Vendor COIs'!$P$4:$P$503,(_calc!$E$855-500)))=0,"",INDEX('Vendor COIs'!$P$4:$P$503,(_calc!$E$855-500)))))))</f>
        <v/>
      </c>
      <c r="G853" s="46">
        <f>IF(_calc!$E$855="","",IF(_calc!$E$855&lt;=500,IF(LEN(INDEX('Our policies'!$R$4:$R$503,_calc!$E$855))=0,"",INDEX('Our policies'!$R$4:$R$503,_calc!$E$855)),IF(LEN(INDEX('Vendor COIs'!$O$4:$O$503,(_calc!$E$855-500)))=0,"",INDEX('Vendor COIs'!$O$4:$O$503,(_calc!$E$855-500)))))</f>
        <v/>
      </c>
      <c r="H853" s="46">
        <f>IF(_calc!$E$855="","",IF(_calc!$E$855&lt;=500,IF(LEN(INDEX('Our policies'!$G$4:$G$503,_calc!$E$855))=0,"",INDEX('Our policies'!$G$4:$G$503,_calc!$E$855)),""))</f>
        <v/>
      </c>
      <c r="I853" s="46">
        <f>IF(_calc!$E$855="","",IF(_calc!$E$855&lt;=500,IF(LEN(INDEX('Our policies'!$H$4:$H$503,_calc!$E$855))=0,"",INDEX('Our policies'!$H$4:$H$503,_calc!$E$855)),""))</f>
        <v/>
      </c>
      <c r="K853" s="46">
        <f>IF(_calc!$E$855="","",IF(_calc!$E$855&lt;=500,IF(LEN(INDEX('Our policies'!$P$4:$P$503,_calc!$E$855))=0,"",INDEX('Our policies'!$P$4:$P$503,_calc!$E$855)),IF(LEN(INDEX('Vendor COIs'!$N$4:$N$503,(_calc!$E$855-500)))=0,"",INDEX('Vendor COIs'!$N$4:$N$503,(_calc!$E$855-500)))))</f>
        <v/>
      </c>
    </row>
    <row r="854">
      <c r="A854" s="46">
        <f>IF(_calc!$E$856="","",IF(_calc!$E$856&lt;=500,IF(LEN(INDEX('Our policies'!$A$4:$A$503,_calc!$E$856))=0,"",INDEX('Our policies'!$A$4:$A$503,_calc!$E$856)),"COI – "&amp;IF(LEN(INDEX('Vendor COIs'!$A$4:$A$503,(_calc!$E$856-500)))=0,"",INDEX('Vendor COIs'!$A$4:$A$503,(_calc!$E$856-500)))&amp;" – "&amp;IF(LEN(INDEX('Vendor COIs'!$B$4:$B$503,(_calc!$E$856-500)))=0,"",INDEX('Vendor COIs'!$B$4:$B$503,(_calc!$E$856-500)))))</f>
        <v/>
      </c>
      <c r="B854" s="46">
        <f>IF(_calc!$E$856="","",IF(_calc!$E$856&lt;=500,IF(ISNUMBER(INDEX('Our policies'!$J$4:$J$503,_calc!$E$856)),TEXT(INDEX('Our policies'!$J$4:$J$503,_calc!$E$856),"yyyy-mm-dd"),""),IF(ISNUMBER(INDEX('Vendor COIs'!$H$4:$H$503,(_calc!$E$856-500))),TEXT(INDEX('Vendor COIs'!$H$4:$H$503,(_calc!$E$856-500)),"yyyy-mm-dd"),"")))</f>
        <v/>
      </c>
      <c r="C854" s="46">
        <f>IF(_calc!$E$856="","",IF(_calc!$E$856&lt;=500,"Insurance","Certificate of insurance"))</f>
        <v/>
      </c>
      <c r="D854" s="46">
        <f>IF(_calc!$E$856="","",IF(_calc!$E$856&lt;=500,IF(ISNUMBER(INDEX('Our policies'!$I$4:$I$503,_calc!$E$856)),TEXT(INDEX('Our policies'!$I$4:$I$503,_calc!$E$856),"yyyy-mm-dd"),""),""))</f>
        <v/>
      </c>
      <c r="E854" s="46">
        <f>IF(_calc!$E$856="","",IF(_calc!$E$856&lt;=500,IF(LEN(INDEX('Our policies'!$Q$4:$Q$503,_calc!$E$856))=0,"",INDEX('Our policies'!$Q$4:$Q$503,_calc!$E$856)),"Medium"))</f>
        <v/>
      </c>
      <c r="F854" s="46">
        <f>IF(_calc!$E$856="","",IF(_calc!$E$856&lt;=500,TRIM(IF(LEN(IF(LEN(INDEX('Our policies'!$B$4:$B$503,_calc!$E$856))=0,"",INDEX('Our policies'!$B$4:$B$503,_calc!$E$856)))=0,"","Cover: "&amp;IF(LEN(INDEX('Our policies'!$B$4:$B$503,_calc!$E$856))=0,"",INDEX('Our policies'!$B$4:$B$503,_calc!$E$856))&amp;". ")&amp;IF(LEN(IF(LEN(INDEX('Our policies'!$C$4:$C$503,_calc!$E$856))=0,"",INDEX('Our policies'!$C$4:$C$503,_calc!$E$856)))=0,"","Insurer: "&amp;IF(LEN(INDEX('Our policies'!$C$4:$C$503,_calc!$E$856))=0,"",INDEX('Our policies'!$C$4:$C$503,_calc!$E$856))&amp;". ")&amp;IF(LEN(IF(LEN(INDEX('Our policies'!$D$4:$D$503,_calc!$E$856))=0,"",INDEX('Our policies'!$D$4:$D$503,_calc!$E$856)))=0,"","Broker: "&amp;IF(LEN(INDEX('Our policies'!$D$4:$D$503,_calc!$E$856))=0,"",INDEX('Our policies'!$D$4:$D$503,_calc!$E$856))&amp;". ")&amp;IF(LEN(IF(LEN(INDEX('Our policies'!$E$4:$E$503,_calc!$E$856))=0,"",INDEX('Our policies'!$E$4:$E$503,_calc!$E$856)))=0,"","Policy no.: "&amp;IF(LEN(INDEX('Our policies'!$E$4:$E$503,_calc!$E$856))=0,"",INDEX('Our policies'!$E$4:$E$503,_calc!$E$856))&amp;". ")&amp;IF(LEN(IF(LEN(INDEX('Our policies'!$S$4:$S$503,_calc!$E$856))=0,"",INDEX('Our policies'!$S$4:$S$503,_calc!$E$856)))=0,"",IF(LEN(INDEX('Our policies'!$S$4:$S$503,_calc!$E$856))=0,"",INDEX('Our policies'!$S$4:$S$503,_calc!$E$856)))),TRIM(IF(LEN(IF(LEN(INDEX('Vendor COIs'!$C$4:$C$503,(_calc!$E$856-500)))=0,"",INDEX('Vendor COIs'!$C$4:$C$503,(_calc!$E$856-500))))=0,"","Insurer: "&amp;IF(LEN(INDEX('Vendor COIs'!$C$4:$C$503,(_calc!$E$856-500)))=0,"",INDEX('Vendor COIs'!$C$4:$C$503,(_calc!$E$856-500)))&amp;". ")&amp;IF(LEN(IF(LEN(INDEX('Vendor COIs'!$D$4:$D$503,(_calc!$E$856-500)))=0,"",INDEX('Vendor COIs'!$D$4:$D$503,(_calc!$E$856-500))))=0,"","Policy no.: "&amp;IF(LEN(INDEX('Vendor COIs'!$D$4:$D$503,(_calc!$E$856-500)))=0,"",INDEX('Vendor COIs'!$D$4:$D$503,(_calc!$E$856-500)))&amp;". ")&amp;IF(LEN(IF(LEN(INDEX('Vendor COIs'!$F$4:$F$503,(_calc!$E$856-500)))=0,"",INDEX('Vendor COIs'!$F$4:$F$503,(_calc!$E$856-500))))=0,"","Meets minimum: "&amp;IF(LEN(INDEX('Vendor COIs'!$F$4:$F$503,(_calc!$E$856-500)))=0,"",INDEX('Vendor COIs'!$F$4:$F$503,(_calc!$E$856-500)))&amp;". ")&amp;IF(LEN(IF(LEN(INDEX('Vendor COIs'!$G$4:$G$503,(_calc!$E$856-500)))=0,"",INDEX('Vendor COIs'!$G$4:$G$503,(_calc!$E$856-500))))=0,"","Additional insured: "&amp;IF(LEN(INDEX('Vendor COIs'!$G$4:$G$503,(_calc!$E$856-500)))=0,"",INDEX('Vendor COIs'!$G$4:$G$503,(_calc!$E$856-500)))&amp;". ")&amp;IF(LEN(IF(LEN(INDEX('Vendor COIs'!$M$4:$M$503,(_calc!$E$856-500)))=0,"",INDEX('Vendor COIs'!$M$4:$M$503,(_calc!$E$856-500))))=0,"","Vendor contact: "&amp;IF(LEN(INDEX('Vendor COIs'!$M$4:$M$503,(_calc!$E$856-500)))=0,"",INDEX('Vendor COIs'!$M$4:$M$503,(_calc!$E$856-500)))&amp;". ")&amp;IF(LEN(IF(LEN(INDEX('Vendor COIs'!$P$4:$P$503,(_calc!$E$856-500)))=0,"",INDEX('Vendor COIs'!$P$4:$P$503,(_calc!$E$856-500))))=0,"",IF(LEN(INDEX('Vendor COIs'!$P$4:$P$503,(_calc!$E$856-500)))=0,"",INDEX('Vendor COIs'!$P$4:$P$503,(_calc!$E$856-500)))))))</f>
        <v/>
      </c>
      <c r="G854" s="46">
        <f>IF(_calc!$E$856="","",IF(_calc!$E$856&lt;=500,IF(LEN(INDEX('Our policies'!$R$4:$R$503,_calc!$E$856))=0,"",INDEX('Our policies'!$R$4:$R$503,_calc!$E$856)),IF(LEN(INDEX('Vendor COIs'!$O$4:$O$503,(_calc!$E$856-500)))=0,"",INDEX('Vendor COIs'!$O$4:$O$503,(_calc!$E$856-500)))))</f>
        <v/>
      </c>
      <c r="H854" s="46">
        <f>IF(_calc!$E$856="","",IF(_calc!$E$856&lt;=500,IF(LEN(INDEX('Our policies'!$G$4:$G$503,_calc!$E$856))=0,"",INDEX('Our policies'!$G$4:$G$503,_calc!$E$856)),""))</f>
        <v/>
      </c>
      <c r="I854" s="46">
        <f>IF(_calc!$E$856="","",IF(_calc!$E$856&lt;=500,IF(LEN(INDEX('Our policies'!$H$4:$H$503,_calc!$E$856))=0,"",INDEX('Our policies'!$H$4:$H$503,_calc!$E$856)),""))</f>
        <v/>
      </c>
      <c r="K854" s="46">
        <f>IF(_calc!$E$856="","",IF(_calc!$E$856&lt;=500,IF(LEN(INDEX('Our policies'!$P$4:$P$503,_calc!$E$856))=0,"",INDEX('Our policies'!$P$4:$P$503,_calc!$E$856)),IF(LEN(INDEX('Vendor COIs'!$N$4:$N$503,(_calc!$E$856-500)))=0,"",INDEX('Vendor COIs'!$N$4:$N$503,(_calc!$E$856-500)))))</f>
        <v/>
      </c>
    </row>
    <row r="855">
      <c r="A855" s="46">
        <f>IF(_calc!$E$857="","",IF(_calc!$E$857&lt;=500,IF(LEN(INDEX('Our policies'!$A$4:$A$503,_calc!$E$857))=0,"",INDEX('Our policies'!$A$4:$A$503,_calc!$E$857)),"COI – "&amp;IF(LEN(INDEX('Vendor COIs'!$A$4:$A$503,(_calc!$E$857-500)))=0,"",INDEX('Vendor COIs'!$A$4:$A$503,(_calc!$E$857-500)))&amp;" – "&amp;IF(LEN(INDEX('Vendor COIs'!$B$4:$B$503,(_calc!$E$857-500)))=0,"",INDEX('Vendor COIs'!$B$4:$B$503,(_calc!$E$857-500)))))</f>
        <v/>
      </c>
      <c r="B855" s="46">
        <f>IF(_calc!$E$857="","",IF(_calc!$E$857&lt;=500,IF(ISNUMBER(INDEX('Our policies'!$J$4:$J$503,_calc!$E$857)),TEXT(INDEX('Our policies'!$J$4:$J$503,_calc!$E$857),"yyyy-mm-dd"),""),IF(ISNUMBER(INDEX('Vendor COIs'!$H$4:$H$503,(_calc!$E$857-500))),TEXT(INDEX('Vendor COIs'!$H$4:$H$503,(_calc!$E$857-500)),"yyyy-mm-dd"),"")))</f>
        <v/>
      </c>
      <c r="C855" s="46">
        <f>IF(_calc!$E$857="","",IF(_calc!$E$857&lt;=500,"Insurance","Certificate of insurance"))</f>
        <v/>
      </c>
      <c r="D855" s="46">
        <f>IF(_calc!$E$857="","",IF(_calc!$E$857&lt;=500,IF(ISNUMBER(INDEX('Our policies'!$I$4:$I$503,_calc!$E$857)),TEXT(INDEX('Our policies'!$I$4:$I$503,_calc!$E$857),"yyyy-mm-dd"),""),""))</f>
        <v/>
      </c>
      <c r="E855" s="46">
        <f>IF(_calc!$E$857="","",IF(_calc!$E$857&lt;=500,IF(LEN(INDEX('Our policies'!$Q$4:$Q$503,_calc!$E$857))=0,"",INDEX('Our policies'!$Q$4:$Q$503,_calc!$E$857)),"Medium"))</f>
        <v/>
      </c>
      <c r="F855" s="46">
        <f>IF(_calc!$E$857="","",IF(_calc!$E$857&lt;=500,TRIM(IF(LEN(IF(LEN(INDEX('Our policies'!$B$4:$B$503,_calc!$E$857))=0,"",INDEX('Our policies'!$B$4:$B$503,_calc!$E$857)))=0,"","Cover: "&amp;IF(LEN(INDEX('Our policies'!$B$4:$B$503,_calc!$E$857))=0,"",INDEX('Our policies'!$B$4:$B$503,_calc!$E$857))&amp;". ")&amp;IF(LEN(IF(LEN(INDEX('Our policies'!$C$4:$C$503,_calc!$E$857))=0,"",INDEX('Our policies'!$C$4:$C$503,_calc!$E$857)))=0,"","Insurer: "&amp;IF(LEN(INDEX('Our policies'!$C$4:$C$503,_calc!$E$857))=0,"",INDEX('Our policies'!$C$4:$C$503,_calc!$E$857))&amp;". ")&amp;IF(LEN(IF(LEN(INDEX('Our policies'!$D$4:$D$503,_calc!$E$857))=0,"",INDEX('Our policies'!$D$4:$D$503,_calc!$E$857)))=0,"","Broker: "&amp;IF(LEN(INDEX('Our policies'!$D$4:$D$503,_calc!$E$857))=0,"",INDEX('Our policies'!$D$4:$D$503,_calc!$E$857))&amp;". ")&amp;IF(LEN(IF(LEN(INDEX('Our policies'!$E$4:$E$503,_calc!$E$857))=0,"",INDEX('Our policies'!$E$4:$E$503,_calc!$E$857)))=0,"","Policy no.: "&amp;IF(LEN(INDEX('Our policies'!$E$4:$E$503,_calc!$E$857))=0,"",INDEX('Our policies'!$E$4:$E$503,_calc!$E$857))&amp;". ")&amp;IF(LEN(IF(LEN(INDEX('Our policies'!$S$4:$S$503,_calc!$E$857))=0,"",INDEX('Our policies'!$S$4:$S$503,_calc!$E$857)))=0,"",IF(LEN(INDEX('Our policies'!$S$4:$S$503,_calc!$E$857))=0,"",INDEX('Our policies'!$S$4:$S$503,_calc!$E$857)))),TRIM(IF(LEN(IF(LEN(INDEX('Vendor COIs'!$C$4:$C$503,(_calc!$E$857-500)))=0,"",INDEX('Vendor COIs'!$C$4:$C$503,(_calc!$E$857-500))))=0,"","Insurer: "&amp;IF(LEN(INDEX('Vendor COIs'!$C$4:$C$503,(_calc!$E$857-500)))=0,"",INDEX('Vendor COIs'!$C$4:$C$503,(_calc!$E$857-500)))&amp;". ")&amp;IF(LEN(IF(LEN(INDEX('Vendor COIs'!$D$4:$D$503,(_calc!$E$857-500)))=0,"",INDEX('Vendor COIs'!$D$4:$D$503,(_calc!$E$857-500))))=0,"","Policy no.: "&amp;IF(LEN(INDEX('Vendor COIs'!$D$4:$D$503,(_calc!$E$857-500)))=0,"",INDEX('Vendor COIs'!$D$4:$D$503,(_calc!$E$857-500)))&amp;". ")&amp;IF(LEN(IF(LEN(INDEX('Vendor COIs'!$F$4:$F$503,(_calc!$E$857-500)))=0,"",INDEX('Vendor COIs'!$F$4:$F$503,(_calc!$E$857-500))))=0,"","Meets minimum: "&amp;IF(LEN(INDEX('Vendor COIs'!$F$4:$F$503,(_calc!$E$857-500)))=0,"",INDEX('Vendor COIs'!$F$4:$F$503,(_calc!$E$857-500)))&amp;". ")&amp;IF(LEN(IF(LEN(INDEX('Vendor COIs'!$G$4:$G$503,(_calc!$E$857-500)))=0,"",INDEX('Vendor COIs'!$G$4:$G$503,(_calc!$E$857-500))))=0,"","Additional insured: "&amp;IF(LEN(INDEX('Vendor COIs'!$G$4:$G$503,(_calc!$E$857-500)))=0,"",INDEX('Vendor COIs'!$G$4:$G$503,(_calc!$E$857-500)))&amp;". ")&amp;IF(LEN(IF(LEN(INDEX('Vendor COIs'!$M$4:$M$503,(_calc!$E$857-500)))=0,"",INDEX('Vendor COIs'!$M$4:$M$503,(_calc!$E$857-500))))=0,"","Vendor contact: "&amp;IF(LEN(INDEX('Vendor COIs'!$M$4:$M$503,(_calc!$E$857-500)))=0,"",INDEX('Vendor COIs'!$M$4:$M$503,(_calc!$E$857-500)))&amp;". ")&amp;IF(LEN(IF(LEN(INDEX('Vendor COIs'!$P$4:$P$503,(_calc!$E$857-500)))=0,"",INDEX('Vendor COIs'!$P$4:$P$503,(_calc!$E$857-500))))=0,"",IF(LEN(INDEX('Vendor COIs'!$P$4:$P$503,(_calc!$E$857-500)))=0,"",INDEX('Vendor COIs'!$P$4:$P$503,(_calc!$E$857-500)))))))</f>
        <v/>
      </c>
      <c r="G855" s="46">
        <f>IF(_calc!$E$857="","",IF(_calc!$E$857&lt;=500,IF(LEN(INDEX('Our policies'!$R$4:$R$503,_calc!$E$857))=0,"",INDEX('Our policies'!$R$4:$R$503,_calc!$E$857)),IF(LEN(INDEX('Vendor COIs'!$O$4:$O$503,(_calc!$E$857-500)))=0,"",INDEX('Vendor COIs'!$O$4:$O$503,(_calc!$E$857-500)))))</f>
        <v/>
      </c>
      <c r="H855" s="46">
        <f>IF(_calc!$E$857="","",IF(_calc!$E$857&lt;=500,IF(LEN(INDEX('Our policies'!$G$4:$G$503,_calc!$E$857))=0,"",INDEX('Our policies'!$G$4:$G$503,_calc!$E$857)),""))</f>
        <v/>
      </c>
      <c r="I855" s="46">
        <f>IF(_calc!$E$857="","",IF(_calc!$E$857&lt;=500,IF(LEN(INDEX('Our policies'!$H$4:$H$503,_calc!$E$857))=0,"",INDEX('Our policies'!$H$4:$H$503,_calc!$E$857)),""))</f>
        <v/>
      </c>
      <c r="K855" s="46">
        <f>IF(_calc!$E$857="","",IF(_calc!$E$857&lt;=500,IF(LEN(INDEX('Our policies'!$P$4:$P$503,_calc!$E$857))=0,"",INDEX('Our policies'!$P$4:$P$503,_calc!$E$857)),IF(LEN(INDEX('Vendor COIs'!$N$4:$N$503,(_calc!$E$857-500)))=0,"",INDEX('Vendor COIs'!$N$4:$N$503,(_calc!$E$857-500)))))</f>
        <v/>
      </c>
    </row>
    <row r="856">
      <c r="A856" s="46">
        <f>IF(_calc!$E$858="","",IF(_calc!$E$858&lt;=500,IF(LEN(INDEX('Our policies'!$A$4:$A$503,_calc!$E$858))=0,"",INDEX('Our policies'!$A$4:$A$503,_calc!$E$858)),"COI – "&amp;IF(LEN(INDEX('Vendor COIs'!$A$4:$A$503,(_calc!$E$858-500)))=0,"",INDEX('Vendor COIs'!$A$4:$A$503,(_calc!$E$858-500)))&amp;" – "&amp;IF(LEN(INDEX('Vendor COIs'!$B$4:$B$503,(_calc!$E$858-500)))=0,"",INDEX('Vendor COIs'!$B$4:$B$503,(_calc!$E$858-500)))))</f>
        <v/>
      </c>
      <c r="B856" s="46">
        <f>IF(_calc!$E$858="","",IF(_calc!$E$858&lt;=500,IF(ISNUMBER(INDEX('Our policies'!$J$4:$J$503,_calc!$E$858)),TEXT(INDEX('Our policies'!$J$4:$J$503,_calc!$E$858),"yyyy-mm-dd"),""),IF(ISNUMBER(INDEX('Vendor COIs'!$H$4:$H$503,(_calc!$E$858-500))),TEXT(INDEX('Vendor COIs'!$H$4:$H$503,(_calc!$E$858-500)),"yyyy-mm-dd"),"")))</f>
        <v/>
      </c>
      <c r="C856" s="46">
        <f>IF(_calc!$E$858="","",IF(_calc!$E$858&lt;=500,"Insurance","Certificate of insurance"))</f>
        <v/>
      </c>
      <c r="D856" s="46">
        <f>IF(_calc!$E$858="","",IF(_calc!$E$858&lt;=500,IF(ISNUMBER(INDEX('Our policies'!$I$4:$I$503,_calc!$E$858)),TEXT(INDEX('Our policies'!$I$4:$I$503,_calc!$E$858),"yyyy-mm-dd"),""),""))</f>
        <v/>
      </c>
      <c r="E856" s="46">
        <f>IF(_calc!$E$858="","",IF(_calc!$E$858&lt;=500,IF(LEN(INDEX('Our policies'!$Q$4:$Q$503,_calc!$E$858))=0,"",INDEX('Our policies'!$Q$4:$Q$503,_calc!$E$858)),"Medium"))</f>
        <v/>
      </c>
      <c r="F856" s="46">
        <f>IF(_calc!$E$858="","",IF(_calc!$E$858&lt;=500,TRIM(IF(LEN(IF(LEN(INDEX('Our policies'!$B$4:$B$503,_calc!$E$858))=0,"",INDEX('Our policies'!$B$4:$B$503,_calc!$E$858)))=0,"","Cover: "&amp;IF(LEN(INDEX('Our policies'!$B$4:$B$503,_calc!$E$858))=0,"",INDEX('Our policies'!$B$4:$B$503,_calc!$E$858))&amp;". ")&amp;IF(LEN(IF(LEN(INDEX('Our policies'!$C$4:$C$503,_calc!$E$858))=0,"",INDEX('Our policies'!$C$4:$C$503,_calc!$E$858)))=0,"","Insurer: "&amp;IF(LEN(INDEX('Our policies'!$C$4:$C$503,_calc!$E$858))=0,"",INDEX('Our policies'!$C$4:$C$503,_calc!$E$858))&amp;". ")&amp;IF(LEN(IF(LEN(INDEX('Our policies'!$D$4:$D$503,_calc!$E$858))=0,"",INDEX('Our policies'!$D$4:$D$503,_calc!$E$858)))=0,"","Broker: "&amp;IF(LEN(INDEX('Our policies'!$D$4:$D$503,_calc!$E$858))=0,"",INDEX('Our policies'!$D$4:$D$503,_calc!$E$858))&amp;". ")&amp;IF(LEN(IF(LEN(INDEX('Our policies'!$E$4:$E$503,_calc!$E$858))=0,"",INDEX('Our policies'!$E$4:$E$503,_calc!$E$858)))=0,"","Policy no.: "&amp;IF(LEN(INDEX('Our policies'!$E$4:$E$503,_calc!$E$858))=0,"",INDEX('Our policies'!$E$4:$E$503,_calc!$E$858))&amp;". ")&amp;IF(LEN(IF(LEN(INDEX('Our policies'!$S$4:$S$503,_calc!$E$858))=0,"",INDEX('Our policies'!$S$4:$S$503,_calc!$E$858)))=0,"",IF(LEN(INDEX('Our policies'!$S$4:$S$503,_calc!$E$858))=0,"",INDEX('Our policies'!$S$4:$S$503,_calc!$E$858)))),TRIM(IF(LEN(IF(LEN(INDEX('Vendor COIs'!$C$4:$C$503,(_calc!$E$858-500)))=0,"",INDEX('Vendor COIs'!$C$4:$C$503,(_calc!$E$858-500))))=0,"","Insurer: "&amp;IF(LEN(INDEX('Vendor COIs'!$C$4:$C$503,(_calc!$E$858-500)))=0,"",INDEX('Vendor COIs'!$C$4:$C$503,(_calc!$E$858-500)))&amp;". ")&amp;IF(LEN(IF(LEN(INDEX('Vendor COIs'!$D$4:$D$503,(_calc!$E$858-500)))=0,"",INDEX('Vendor COIs'!$D$4:$D$503,(_calc!$E$858-500))))=0,"","Policy no.: "&amp;IF(LEN(INDEX('Vendor COIs'!$D$4:$D$503,(_calc!$E$858-500)))=0,"",INDEX('Vendor COIs'!$D$4:$D$503,(_calc!$E$858-500)))&amp;". ")&amp;IF(LEN(IF(LEN(INDEX('Vendor COIs'!$F$4:$F$503,(_calc!$E$858-500)))=0,"",INDEX('Vendor COIs'!$F$4:$F$503,(_calc!$E$858-500))))=0,"","Meets minimum: "&amp;IF(LEN(INDEX('Vendor COIs'!$F$4:$F$503,(_calc!$E$858-500)))=0,"",INDEX('Vendor COIs'!$F$4:$F$503,(_calc!$E$858-500)))&amp;". ")&amp;IF(LEN(IF(LEN(INDEX('Vendor COIs'!$G$4:$G$503,(_calc!$E$858-500)))=0,"",INDEX('Vendor COIs'!$G$4:$G$503,(_calc!$E$858-500))))=0,"","Additional insured: "&amp;IF(LEN(INDEX('Vendor COIs'!$G$4:$G$503,(_calc!$E$858-500)))=0,"",INDEX('Vendor COIs'!$G$4:$G$503,(_calc!$E$858-500)))&amp;". ")&amp;IF(LEN(IF(LEN(INDEX('Vendor COIs'!$M$4:$M$503,(_calc!$E$858-500)))=0,"",INDEX('Vendor COIs'!$M$4:$M$503,(_calc!$E$858-500))))=0,"","Vendor contact: "&amp;IF(LEN(INDEX('Vendor COIs'!$M$4:$M$503,(_calc!$E$858-500)))=0,"",INDEX('Vendor COIs'!$M$4:$M$503,(_calc!$E$858-500)))&amp;". ")&amp;IF(LEN(IF(LEN(INDEX('Vendor COIs'!$P$4:$P$503,(_calc!$E$858-500)))=0,"",INDEX('Vendor COIs'!$P$4:$P$503,(_calc!$E$858-500))))=0,"",IF(LEN(INDEX('Vendor COIs'!$P$4:$P$503,(_calc!$E$858-500)))=0,"",INDEX('Vendor COIs'!$P$4:$P$503,(_calc!$E$858-500)))))))</f>
        <v/>
      </c>
      <c r="G856" s="46">
        <f>IF(_calc!$E$858="","",IF(_calc!$E$858&lt;=500,IF(LEN(INDEX('Our policies'!$R$4:$R$503,_calc!$E$858))=0,"",INDEX('Our policies'!$R$4:$R$503,_calc!$E$858)),IF(LEN(INDEX('Vendor COIs'!$O$4:$O$503,(_calc!$E$858-500)))=0,"",INDEX('Vendor COIs'!$O$4:$O$503,(_calc!$E$858-500)))))</f>
        <v/>
      </c>
      <c r="H856" s="46">
        <f>IF(_calc!$E$858="","",IF(_calc!$E$858&lt;=500,IF(LEN(INDEX('Our policies'!$G$4:$G$503,_calc!$E$858))=0,"",INDEX('Our policies'!$G$4:$G$503,_calc!$E$858)),""))</f>
        <v/>
      </c>
      <c r="I856" s="46">
        <f>IF(_calc!$E$858="","",IF(_calc!$E$858&lt;=500,IF(LEN(INDEX('Our policies'!$H$4:$H$503,_calc!$E$858))=0,"",INDEX('Our policies'!$H$4:$H$503,_calc!$E$858)),""))</f>
        <v/>
      </c>
      <c r="K856" s="46">
        <f>IF(_calc!$E$858="","",IF(_calc!$E$858&lt;=500,IF(LEN(INDEX('Our policies'!$P$4:$P$503,_calc!$E$858))=0,"",INDEX('Our policies'!$P$4:$P$503,_calc!$E$858)),IF(LEN(INDEX('Vendor COIs'!$N$4:$N$503,(_calc!$E$858-500)))=0,"",INDEX('Vendor COIs'!$N$4:$N$503,(_calc!$E$858-500)))))</f>
        <v/>
      </c>
    </row>
    <row r="857">
      <c r="A857" s="46">
        <f>IF(_calc!$E$859="","",IF(_calc!$E$859&lt;=500,IF(LEN(INDEX('Our policies'!$A$4:$A$503,_calc!$E$859))=0,"",INDEX('Our policies'!$A$4:$A$503,_calc!$E$859)),"COI – "&amp;IF(LEN(INDEX('Vendor COIs'!$A$4:$A$503,(_calc!$E$859-500)))=0,"",INDEX('Vendor COIs'!$A$4:$A$503,(_calc!$E$859-500)))&amp;" – "&amp;IF(LEN(INDEX('Vendor COIs'!$B$4:$B$503,(_calc!$E$859-500)))=0,"",INDEX('Vendor COIs'!$B$4:$B$503,(_calc!$E$859-500)))))</f>
        <v/>
      </c>
      <c r="B857" s="46">
        <f>IF(_calc!$E$859="","",IF(_calc!$E$859&lt;=500,IF(ISNUMBER(INDEX('Our policies'!$J$4:$J$503,_calc!$E$859)),TEXT(INDEX('Our policies'!$J$4:$J$503,_calc!$E$859),"yyyy-mm-dd"),""),IF(ISNUMBER(INDEX('Vendor COIs'!$H$4:$H$503,(_calc!$E$859-500))),TEXT(INDEX('Vendor COIs'!$H$4:$H$503,(_calc!$E$859-500)),"yyyy-mm-dd"),"")))</f>
        <v/>
      </c>
      <c r="C857" s="46">
        <f>IF(_calc!$E$859="","",IF(_calc!$E$859&lt;=500,"Insurance","Certificate of insurance"))</f>
        <v/>
      </c>
      <c r="D857" s="46">
        <f>IF(_calc!$E$859="","",IF(_calc!$E$859&lt;=500,IF(ISNUMBER(INDEX('Our policies'!$I$4:$I$503,_calc!$E$859)),TEXT(INDEX('Our policies'!$I$4:$I$503,_calc!$E$859),"yyyy-mm-dd"),""),""))</f>
        <v/>
      </c>
      <c r="E857" s="46">
        <f>IF(_calc!$E$859="","",IF(_calc!$E$859&lt;=500,IF(LEN(INDEX('Our policies'!$Q$4:$Q$503,_calc!$E$859))=0,"",INDEX('Our policies'!$Q$4:$Q$503,_calc!$E$859)),"Medium"))</f>
        <v/>
      </c>
      <c r="F857" s="46">
        <f>IF(_calc!$E$859="","",IF(_calc!$E$859&lt;=500,TRIM(IF(LEN(IF(LEN(INDEX('Our policies'!$B$4:$B$503,_calc!$E$859))=0,"",INDEX('Our policies'!$B$4:$B$503,_calc!$E$859)))=0,"","Cover: "&amp;IF(LEN(INDEX('Our policies'!$B$4:$B$503,_calc!$E$859))=0,"",INDEX('Our policies'!$B$4:$B$503,_calc!$E$859))&amp;". ")&amp;IF(LEN(IF(LEN(INDEX('Our policies'!$C$4:$C$503,_calc!$E$859))=0,"",INDEX('Our policies'!$C$4:$C$503,_calc!$E$859)))=0,"","Insurer: "&amp;IF(LEN(INDEX('Our policies'!$C$4:$C$503,_calc!$E$859))=0,"",INDEX('Our policies'!$C$4:$C$503,_calc!$E$859))&amp;". ")&amp;IF(LEN(IF(LEN(INDEX('Our policies'!$D$4:$D$503,_calc!$E$859))=0,"",INDEX('Our policies'!$D$4:$D$503,_calc!$E$859)))=0,"","Broker: "&amp;IF(LEN(INDEX('Our policies'!$D$4:$D$503,_calc!$E$859))=0,"",INDEX('Our policies'!$D$4:$D$503,_calc!$E$859))&amp;". ")&amp;IF(LEN(IF(LEN(INDEX('Our policies'!$E$4:$E$503,_calc!$E$859))=0,"",INDEX('Our policies'!$E$4:$E$503,_calc!$E$859)))=0,"","Policy no.: "&amp;IF(LEN(INDEX('Our policies'!$E$4:$E$503,_calc!$E$859))=0,"",INDEX('Our policies'!$E$4:$E$503,_calc!$E$859))&amp;". ")&amp;IF(LEN(IF(LEN(INDEX('Our policies'!$S$4:$S$503,_calc!$E$859))=0,"",INDEX('Our policies'!$S$4:$S$503,_calc!$E$859)))=0,"",IF(LEN(INDEX('Our policies'!$S$4:$S$503,_calc!$E$859))=0,"",INDEX('Our policies'!$S$4:$S$503,_calc!$E$859)))),TRIM(IF(LEN(IF(LEN(INDEX('Vendor COIs'!$C$4:$C$503,(_calc!$E$859-500)))=0,"",INDEX('Vendor COIs'!$C$4:$C$503,(_calc!$E$859-500))))=0,"","Insurer: "&amp;IF(LEN(INDEX('Vendor COIs'!$C$4:$C$503,(_calc!$E$859-500)))=0,"",INDEX('Vendor COIs'!$C$4:$C$503,(_calc!$E$859-500)))&amp;". ")&amp;IF(LEN(IF(LEN(INDEX('Vendor COIs'!$D$4:$D$503,(_calc!$E$859-500)))=0,"",INDEX('Vendor COIs'!$D$4:$D$503,(_calc!$E$859-500))))=0,"","Policy no.: "&amp;IF(LEN(INDEX('Vendor COIs'!$D$4:$D$503,(_calc!$E$859-500)))=0,"",INDEX('Vendor COIs'!$D$4:$D$503,(_calc!$E$859-500)))&amp;". ")&amp;IF(LEN(IF(LEN(INDEX('Vendor COIs'!$F$4:$F$503,(_calc!$E$859-500)))=0,"",INDEX('Vendor COIs'!$F$4:$F$503,(_calc!$E$859-500))))=0,"","Meets minimum: "&amp;IF(LEN(INDEX('Vendor COIs'!$F$4:$F$503,(_calc!$E$859-500)))=0,"",INDEX('Vendor COIs'!$F$4:$F$503,(_calc!$E$859-500)))&amp;". ")&amp;IF(LEN(IF(LEN(INDEX('Vendor COIs'!$G$4:$G$503,(_calc!$E$859-500)))=0,"",INDEX('Vendor COIs'!$G$4:$G$503,(_calc!$E$859-500))))=0,"","Additional insured: "&amp;IF(LEN(INDEX('Vendor COIs'!$G$4:$G$503,(_calc!$E$859-500)))=0,"",INDEX('Vendor COIs'!$G$4:$G$503,(_calc!$E$859-500)))&amp;". ")&amp;IF(LEN(IF(LEN(INDEX('Vendor COIs'!$M$4:$M$503,(_calc!$E$859-500)))=0,"",INDEX('Vendor COIs'!$M$4:$M$503,(_calc!$E$859-500))))=0,"","Vendor contact: "&amp;IF(LEN(INDEX('Vendor COIs'!$M$4:$M$503,(_calc!$E$859-500)))=0,"",INDEX('Vendor COIs'!$M$4:$M$503,(_calc!$E$859-500)))&amp;". ")&amp;IF(LEN(IF(LEN(INDEX('Vendor COIs'!$P$4:$P$503,(_calc!$E$859-500)))=0,"",INDEX('Vendor COIs'!$P$4:$P$503,(_calc!$E$859-500))))=0,"",IF(LEN(INDEX('Vendor COIs'!$P$4:$P$503,(_calc!$E$859-500)))=0,"",INDEX('Vendor COIs'!$P$4:$P$503,(_calc!$E$859-500)))))))</f>
        <v/>
      </c>
      <c r="G857" s="46">
        <f>IF(_calc!$E$859="","",IF(_calc!$E$859&lt;=500,IF(LEN(INDEX('Our policies'!$R$4:$R$503,_calc!$E$859))=0,"",INDEX('Our policies'!$R$4:$R$503,_calc!$E$859)),IF(LEN(INDEX('Vendor COIs'!$O$4:$O$503,(_calc!$E$859-500)))=0,"",INDEX('Vendor COIs'!$O$4:$O$503,(_calc!$E$859-500)))))</f>
        <v/>
      </c>
      <c r="H857" s="46">
        <f>IF(_calc!$E$859="","",IF(_calc!$E$859&lt;=500,IF(LEN(INDEX('Our policies'!$G$4:$G$503,_calc!$E$859))=0,"",INDEX('Our policies'!$G$4:$G$503,_calc!$E$859)),""))</f>
        <v/>
      </c>
      <c r="I857" s="46">
        <f>IF(_calc!$E$859="","",IF(_calc!$E$859&lt;=500,IF(LEN(INDEX('Our policies'!$H$4:$H$503,_calc!$E$859))=0,"",INDEX('Our policies'!$H$4:$H$503,_calc!$E$859)),""))</f>
        <v/>
      </c>
      <c r="K857" s="46">
        <f>IF(_calc!$E$859="","",IF(_calc!$E$859&lt;=500,IF(LEN(INDEX('Our policies'!$P$4:$P$503,_calc!$E$859))=0,"",INDEX('Our policies'!$P$4:$P$503,_calc!$E$859)),IF(LEN(INDEX('Vendor COIs'!$N$4:$N$503,(_calc!$E$859-500)))=0,"",INDEX('Vendor COIs'!$N$4:$N$503,(_calc!$E$859-500)))))</f>
        <v/>
      </c>
    </row>
    <row r="858">
      <c r="A858" s="46">
        <f>IF(_calc!$E$860="","",IF(_calc!$E$860&lt;=500,IF(LEN(INDEX('Our policies'!$A$4:$A$503,_calc!$E$860))=0,"",INDEX('Our policies'!$A$4:$A$503,_calc!$E$860)),"COI – "&amp;IF(LEN(INDEX('Vendor COIs'!$A$4:$A$503,(_calc!$E$860-500)))=0,"",INDEX('Vendor COIs'!$A$4:$A$503,(_calc!$E$860-500)))&amp;" – "&amp;IF(LEN(INDEX('Vendor COIs'!$B$4:$B$503,(_calc!$E$860-500)))=0,"",INDEX('Vendor COIs'!$B$4:$B$503,(_calc!$E$860-500)))))</f>
        <v/>
      </c>
      <c r="B858" s="46">
        <f>IF(_calc!$E$860="","",IF(_calc!$E$860&lt;=500,IF(ISNUMBER(INDEX('Our policies'!$J$4:$J$503,_calc!$E$860)),TEXT(INDEX('Our policies'!$J$4:$J$503,_calc!$E$860),"yyyy-mm-dd"),""),IF(ISNUMBER(INDEX('Vendor COIs'!$H$4:$H$503,(_calc!$E$860-500))),TEXT(INDEX('Vendor COIs'!$H$4:$H$503,(_calc!$E$860-500)),"yyyy-mm-dd"),"")))</f>
        <v/>
      </c>
      <c r="C858" s="46">
        <f>IF(_calc!$E$860="","",IF(_calc!$E$860&lt;=500,"Insurance","Certificate of insurance"))</f>
        <v/>
      </c>
      <c r="D858" s="46">
        <f>IF(_calc!$E$860="","",IF(_calc!$E$860&lt;=500,IF(ISNUMBER(INDEX('Our policies'!$I$4:$I$503,_calc!$E$860)),TEXT(INDEX('Our policies'!$I$4:$I$503,_calc!$E$860),"yyyy-mm-dd"),""),""))</f>
        <v/>
      </c>
      <c r="E858" s="46">
        <f>IF(_calc!$E$860="","",IF(_calc!$E$860&lt;=500,IF(LEN(INDEX('Our policies'!$Q$4:$Q$503,_calc!$E$860))=0,"",INDEX('Our policies'!$Q$4:$Q$503,_calc!$E$860)),"Medium"))</f>
        <v/>
      </c>
      <c r="F858" s="46">
        <f>IF(_calc!$E$860="","",IF(_calc!$E$860&lt;=500,TRIM(IF(LEN(IF(LEN(INDEX('Our policies'!$B$4:$B$503,_calc!$E$860))=0,"",INDEX('Our policies'!$B$4:$B$503,_calc!$E$860)))=0,"","Cover: "&amp;IF(LEN(INDEX('Our policies'!$B$4:$B$503,_calc!$E$860))=0,"",INDEX('Our policies'!$B$4:$B$503,_calc!$E$860))&amp;". ")&amp;IF(LEN(IF(LEN(INDEX('Our policies'!$C$4:$C$503,_calc!$E$860))=0,"",INDEX('Our policies'!$C$4:$C$503,_calc!$E$860)))=0,"","Insurer: "&amp;IF(LEN(INDEX('Our policies'!$C$4:$C$503,_calc!$E$860))=0,"",INDEX('Our policies'!$C$4:$C$503,_calc!$E$860))&amp;". ")&amp;IF(LEN(IF(LEN(INDEX('Our policies'!$D$4:$D$503,_calc!$E$860))=0,"",INDEX('Our policies'!$D$4:$D$503,_calc!$E$860)))=0,"","Broker: "&amp;IF(LEN(INDEX('Our policies'!$D$4:$D$503,_calc!$E$860))=0,"",INDEX('Our policies'!$D$4:$D$503,_calc!$E$860))&amp;". ")&amp;IF(LEN(IF(LEN(INDEX('Our policies'!$E$4:$E$503,_calc!$E$860))=0,"",INDEX('Our policies'!$E$4:$E$503,_calc!$E$860)))=0,"","Policy no.: "&amp;IF(LEN(INDEX('Our policies'!$E$4:$E$503,_calc!$E$860))=0,"",INDEX('Our policies'!$E$4:$E$503,_calc!$E$860))&amp;". ")&amp;IF(LEN(IF(LEN(INDEX('Our policies'!$S$4:$S$503,_calc!$E$860))=0,"",INDEX('Our policies'!$S$4:$S$503,_calc!$E$860)))=0,"",IF(LEN(INDEX('Our policies'!$S$4:$S$503,_calc!$E$860))=0,"",INDEX('Our policies'!$S$4:$S$503,_calc!$E$860)))),TRIM(IF(LEN(IF(LEN(INDEX('Vendor COIs'!$C$4:$C$503,(_calc!$E$860-500)))=0,"",INDEX('Vendor COIs'!$C$4:$C$503,(_calc!$E$860-500))))=0,"","Insurer: "&amp;IF(LEN(INDEX('Vendor COIs'!$C$4:$C$503,(_calc!$E$860-500)))=0,"",INDEX('Vendor COIs'!$C$4:$C$503,(_calc!$E$860-500)))&amp;". ")&amp;IF(LEN(IF(LEN(INDEX('Vendor COIs'!$D$4:$D$503,(_calc!$E$860-500)))=0,"",INDEX('Vendor COIs'!$D$4:$D$503,(_calc!$E$860-500))))=0,"","Policy no.: "&amp;IF(LEN(INDEX('Vendor COIs'!$D$4:$D$503,(_calc!$E$860-500)))=0,"",INDEX('Vendor COIs'!$D$4:$D$503,(_calc!$E$860-500)))&amp;". ")&amp;IF(LEN(IF(LEN(INDEX('Vendor COIs'!$F$4:$F$503,(_calc!$E$860-500)))=0,"",INDEX('Vendor COIs'!$F$4:$F$503,(_calc!$E$860-500))))=0,"","Meets minimum: "&amp;IF(LEN(INDEX('Vendor COIs'!$F$4:$F$503,(_calc!$E$860-500)))=0,"",INDEX('Vendor COIs'!$F$4:$F$503,(_calc!$E$860-500)))&amp;". ")&amp;IF(LEN(IF(LEN(INDEX('Vendor COIs'!$G$4:$G$503,(_calc!$E$860-500)))=0,"",INDEX('Vendor COIs'!$G$4:$G$503,(_calc!$E$860-500))))=0,"","Additional insured: "&amp;IF(LEN(INDEX('Vendor COIs'!$G$4:$G$503,(_calc!$E$860-500)))=0,"",INDEX('Vendor COIs'!$G$4:$G$503,(_calc!$E$860-500)))&amp;". ")&amp;IF(LEN(IF(LEN(INDEX('Vendor COIs'!$M$4:$M$503,(_calc!$E$860-500)))=0,"",INDEX('Vendor COIs'!$M$4:$M$503,(_calc!$E$860-500))))=0,"","Vendor contact: "&amp;IF(LEN(INDEX('Vendor COIs'!$M$4:$M$503,(_calc!$E$860-500)))=0,"",INDEX('Vendor COIs'!$M$4:$M$503,(_calc!$E$860-500)))&amp;". ")&amp;IF(LEN(IF(LEN(INDEX('Vendor COIs'!$P$4:$P$503,(_calc!$E$860-500)))=0,"",INDEX('Vendor COIs'!$P$4:$P$503,(_calc!$E$860-500))))=0,"",IF(LEN(INDEX('Vendor COIs'!$P$4:$P$503,(_calc!$E$860-500)))=0,"",INDEX('Vendor COIs'!$P$4:$P$503,(_calc!$E$860-500)))))))</f>
        <v/>
      </c>
      <c r="G858" s="46">
        <f>IF(_calc!$E$860="","",IF(_calc!$E$860&lt;=500,IF(LEN(INDEX('Our policies'!$R$4:$R$503,_calc!$E$860))=0,"",INDEX('Our policies'!$R$4:$R$503,_calc!$E$860)),IF(LEN(INDEX('Vendor COIs'!$O$4:$O$503,(_calc!$E$860-500)))=0,"",INDEX('Vendor COIs'!$O$4:$O$503,(_calc!$E$860-500)))))</f>
        <v/>
      </c>
      <c r="H858" s="46">
        <f>IF(_calc!$E$860="","",IF(_calc!$E$860&lt;=500,IF(LEN(INDEX('Our policies'!$G$4:$G$503,_calc!$E$860))=0,"",INDEX('Our policies'!$G$4:$G$503,_calc!$E$860)),""))</f>
        <v/>
      </c>
      <c r="I858" s="46">
        <f>IF(_calc!$E$860="","",IF(_calc!$E$860&lt;=500,IF(LEN(INDEX('Our policies'!$H$4:$H$503,_calc!$E$860))=0,"",INDEX('Our policies'!$H$4:$H$503,_calc!$E$860)),""))</f>
        <v/>
      </c>
      <c r="K858" s="46">
        <f>IF(_calc!$E$860="","",IF(_calc!$E$860&lt;=500,IF(LEN(INDEX('Our policies'!$P$4:$P$503,_calc!$E$860))=0,"",INDEX('Our policies'!$P$4:$P$503,_calc!$E$860)),IF(LEN(INDEX('Vendor COIs'!$N$4:$N$503,(_calc!$E$860-500)))=0,"",INDEX('Vendor COIs'!$N$4:$N$503,(_calc!$E$860-500)))))</f>
        <v/>
      </c>
    </row>
    <row r="859">
      <c r="A859" s="46">
        <f>IF(_calc!$E$861="","",IF(_calc!$E$861&lt;=500,IF(LEN(INDEX('Our policies'!$A$4:$A$503,_calc!$E$861))=0,"",INDEX('Our policies'!$A$4:$A$503,_calc!$E$861)),"COI – "&amp;IF(LEN(INDEX('Vendor COIs'!$A$4:$A$503,(_calc!$E$861-500)))=0,"",INDEX('Vendor COIs'!$A$4:$A$503,(_calc!$E$861-500)))&amp;" – "&amp;IF(LEN(INDEX('Vendor COIs'!$B$4:$B$503,(_calc!$E$861-500)))=0,"",INDEX('Vendor COIs'!$B$4:$B$503,(_calc!$E$861-500)))))</f>
        <v/>
      </c>
      <c r="B859" s="46">
        <f>IF(_calc!$E$861="","",IF(_calc!$E$861&lt;=500,IF(ISNUMBER(INDEX('Our policies'!$J$4:$J$503,_calc!$E$861)),TEXT(INDEX('Our policies'!$J$4:$J$503,_calc!$E$861),"yyyy-mm-dd"),""),IF(ISNUMBER(INDEX('Vendor COIs'!$H$4:$H$503,(_calc!$E$861-500))),TEXT(INDEX('Vendor COIs'!$H$4:$H$503,(_calc!$E$861-500)),"yyyy-mm-dd"),"")))</f>
        <v/>
      </c>
      <c r="C859" s="46">
        <f>IF(_calc!$E$861="","",IF(_calc!$E$861&lt;=500,"Insurance","Certificate of insurance"))</f>
        <v/>
      </c>
      <c r="D859" s="46">
        <f>IF(_calc!$E$861="","",IF(_calc!$E$861&lt;=500,IF(ISNUMBER(INDEX('Our policies'!$I$4:$I$503,_calc!$E$861)),TEXT(INDEX('Our policies'!$I$4:$I$503,_calc!$E$861),"yyyy-mm-dd"),""),""))</f>
        <v/>
      </c>
      <c r="E859" s="46">
        <f>IF(_calc!$E$861="","",IF(_calc!$E$861&lt;=500,IF(LEN(INDEX('Our policies'!$Q$4:$Q$503,_calc!$E$861))=0,"",INDEX('Our policies'!$Q$4:$Q$503,_calc!$E$861)),"Medium"))</f>
        <v/>
      </c>
      <c r="F859" s="46">
        <f>IF(_calc!$E$861="","",IF(_calc!$E$861&lt;=500,TRIM(IF(LEN(IF(LEN(INDEX('Our policies'!$B$4:$B$503,_calc!$E$861))=0,"",INDEX('Our policies'!$B$4:$B$503,_calc!$E$861)))=0,"","Cover: "&amp;IF(LEN(INDEX('Our policies'!$B$4:$B$503,_calc!$E$861))=0,"",INDEX('Our policies'!$B$4:$B$503,_calc!$E$861))&amp;". ")&amp;IF(LEN(IF(LEN(INDEX('Our policies'!$C$4:$C$503,_calc!$E$861))=0,"",INDEX('Our policies'!$C$4:$C$503,_calc!$E$861)))=0,"","Insurer: "&amp;IF(LEN(INDEX('Our policies'!$C$4:$C$503,_calc!$E$861))=0,"",INDEX('Our policies'!$C$4:$C$503,_calc!$E$861))&amp;". ")&amp;IF(LEN(IF(LEN(INDEX('Our policies'!$D$4:$D$503,_calc!$E$861))=0,"",INDEX('Our policies'!$D$4:$D$503,_calc!$E$861)))=0,"","Broker: "&amp;IF(LEN(INDEX('Our policies'!$D$4:$D$503,_calc!$E$861))=0,"",INDEX('Our policies'!$D$4:$D$503,_calc!$E$861))&amp;". ")&amp;IF(LEN(IF(LEN(INDEX('Our policies'!$E$4:$E$503,_calc!$E$861))=0,"",INDEX('Our policies'!$E$4:$E$503,_calc!$E$861)))=0,"","Policy no.: "&amp;IF(LEN(INDEX('Our policies'!$E$4:$E$503,_calc!$E$861))=0,"",INDEX('Our policies'!$E$4:$E$503,_calc!$E$861))&amp;". ")&amp;IF(LEN(IF(LEN(INDEX('Our policies'!$S$4:$S$503,_calc!$E$861))=0,"",INDEX('Our policies'!$S$4:$S$503,_calc!$E$861)))=0,"",IF(LEN(INDEX('Our policies'!$S$4:$S$503,_calc!$E$861))=0,"",INDEX('Our policies'!$S$4:$S$503,_calc!$E$861)))),TRIM(IF(LEN(IF(LEN(INDEX('Vendor COIs'!$C$4:$C$503,(_calc!$E$861-500)))=0,"",INDEX('Vendor COIs'!$C$4:$C$503,(_calc!$E$861-500))))=0,"","Insurer: "&amp;IF(LEN(INDEX('Vendor COIs'!$C$4:$C$503,(_calc!$E$861-500)))=0,"",INDEX('Vendor COIs'!$C$4:$C$503,(_calc!$E$861-500)))&amp;". ")&amp;IF(LEN(IF(LEN(INDEX('Vendor COIs'!$D$4:$D$503,(_calc!$E$861-500)))=0,"",INDEX('Vendor COIs'!$D$4:$D$503,(_calc!$E$861-500))))=0,"","Policy no.: "&amp;IF(LEN(INDEX('Vendor COIs'!$D$4:$D$503,(_calc!$E$861-500)))=0,"",INDEX('Vendor COIs'!$D$4:$D$503,(_calc!$E$861-500)))&amp;". ")&amp;IF(LEN(IF(LEN(INDEX('Vendor COIs'!$F$4:$F$503,(_calc!$E$861-500)))=0,"",INDEX('Vendor COIs'!$F$4:$F$503,(_calc!$E$861-500))))=0,"","Meets minimum: "&amp;IF(LEN(INDEX('Vendor COIs'!$F$4:$F$503,(_calc!$E$861-500)))=0,"",INDEX('Vendor COIs'!$F$4:$F$503,(_calc!$E$861-500)))&amp;". ")&amp;IF(LEN(IF(LEN(INDEX('Vendor COIs'!$G$4:$G$503,(_calc!$E$861-500)))=0,"",INDEX('Vendor COIs'!$G$4:$G$503,(_calc!$E$861-500))))=0,"","Additional insured: "&amp;IF(LEN(INDEX('Vendor COIs'!$G$4:$G$503,(_calc!$E$861-500)))=0,"",INDEX('Vendor COIs'!$G$4:$G$503,(_calc!$E$861-500)))&amp;". ")&amp;IF(LEN(IF(LEN(INDEX('Vendor COIs'!$M$4:$M$503,(_calc!$E$861-500)))=0,"",INDEX('Vendor COIs'!$M$4:$M$503,(_calc!$E$861-500))))=0,"","Vendor contact: "&amp;IF(LEN(INDEX('Vendor COIs'!$M$4:$M$503,(_calc!$E$861-500)))=0,"",INDEX('Vendor COIs'!$M$4:$M$503,(_calc!$E$861-500)))&amp;". ")&amp;IF(LEN(IF(LEN(INDEX('Vendor COIs'!$P$4:$P$503,(_calc!$E$861-500)))=0,"",INDEX('Vendor COIs'!$P$4:$P$503,(_calc!$E$861-500))))=0,"",IF(LEN(INDEX('Vendor COIs'!$P$4:$P$503,(_calc!$E$861-500)))=0,"",INDEX('Vendor COIs'!$P$4:$P$503,(_calc!$E$861-500)))))))</f>
        <v/>
      </c>
      <c r="G859" s="46">
        <f>IF(_calc!$E$861="","",IF(_calc!$E$861&lt;=500,IF(LEN(INDEX('Our policies'!$R$4:$R$503,_calc!$E$861))=0,"",INDEX('Our policies'!$R$4:$R$503,_calc!$E$861)),IF(LEN(INDEX('Vendor COIs'!$O$4:$O$503,(_calc!$E$861-500)))=0,"",INDEX('Vendor COIs'!$O$4:$O$503,(_calc!$E$861-500)))))</f>
        <v/>
      </c>
      <c r="H859" s="46">
        <f>IF(_calc!$E$861="","",IF(_calc!$E$861&lt;=500,IF(LEN(INDEX('Our policies'!$G$4:$G$503,_calc!$E$861))=0,"",INDEX('Our policies'!$G$4:$G$503,_calc!$E$861)),""))</f>
        <v/>
      </c>
      <c r="I859" s="46">
        <f>IF(_calc!$E$861="","",IF(_calc!$E$861&lt;=500,IF(LEN(INDEX('Our policies'!$H$4:$H$503,_calc!$E$861))=0,"",INDEX('Our policies'!$H$4:$H$503,_calc!$E$861)),""))</f>
        <v/>
      </c>
      <c r="K859" s="46">
        <f>IF(_calc!$E$861="","",IF(_calc!$E$861&lt;=500,IF(LEN(INDEX('Our policies'!$P$4:$P$503,_calc!$E$861))=0,"",INDEX('Our policies'!$P$4:$P$503,_calc!$E$861)),IF(LEN(INDEX('Vendor COIs'!$N$4:$N$503,(_calc!$E$861-500)))=0,"",INDEX('Vendor COIs'!$N$4:$N$503,(_calc!$E$861-500)))))</f>
        <v/>
      </c>
    </row>
    <row r="860">
      <c r="A860" s="46">
        <f>IF(_calc!$E$862="","",IF(_calc!$E$862&lt;=500,IF(LEN(INDEX('Our policies'!$A$4:$A$503,_calc!$E$862))=0,"",INDEX('Our policies'!$A$4:$A$503,_calc!$E$862)),"COI – "&amp;IF(LEN(INDEX('Vendor COIs'!$A$4:$A$503,(_calc!$E$862-500)))=0,"",INDEX('Vendor COIs'!$A$4:$A$503,(_calc!$E$862-500)))&amp;" – "&amp;IF(LEN(INDEX('Vendor COIs'!$B$4:$B$503,(_calc!$E$862-500)))=0,"",INDEX('Vendor COIs'!$B$4:$B$503,(_calc!$E$862-500)))))</f>
        <v/>
      </c>
      <c r="B860" s="46">
        <f>IF(_calc!$E$862="","",IF(_calc!$E$862&lt;=500,IF(ISNUMBER(INDEX('Our policies'!$J$4:$J$503,_calc!$E$862)),TEXT(INDEX('Our policies'!$J$4:$J$503,_calc!$E$862),"yyyy-mm-dd"),""),IF(ISNUMBER(INDEX('Vendor COIs'!$H$4:$H$503,(_calc!$E$862-500))),TEXT(INDEX('Vendor COIs'!$H$4:$H$503,(_calc!$E$862-500)),"yyyy-mm-dd"),"")))</f>
        <v/>
      </c>
      <c r="C860" s="46">
        <f>IF(_calc!$E$862="","",IF(_calc!$E$862&lt;=500,"Insurance","Certificate of insurance"))</f>
        <v/>
      </c>
      <c r="D860" s="46">
        <f>IF(_calc!$E$862="","",IF(_calc!$E$862&lt;=500,IF(ISNUMBER(INDEX('Our policies'!$I$4:$I$503,_calc!$E$862)),TEXT(INDEX('Our policies'!$I$4:$I$503,_calc!$E$862),"yyyy-mm-dd"),""),""))</f>
        <v/>
      </c>
      <c r="E860" s="46">
        <f>IF(_calc!$E$862="","",IF(_calc!$E$862&lt;=500,IF(LEN(INDEX('Our policies'!$Q$4:$Q$503,_calc!$E$862))=0,"",INDEX('Our policies'!$Q$4:$Q$503,_calc!$E$862)),"Medium"))</f>
        <v/>
      </c>
      <c r="F860" s="46">
        <f>IF(_calc!$E$862="","",IF(_calc!$E$862&lt;=500,TRIM(IF(LEN(IF(LEN(INDEX('Our policies'!$B$4:$B$503,_calc!$E$862))=0,"",INDEX('Our policies'!$B$4:$B$503,_calc!$E$862)))=0,"","Cover: "&amp;IF(LEN(INDEX('Our policies'!$B$4:$B$503,_calc!$E$862))=0,"",INDEX('Our policies'!$B$4:$B$503,_calc!$E$862))&amp;". ")&amp;IF(LEN(IF(LEN(INDEX('Our policies'!$C$4:$C$503,_calc!$E$862))=0,"",INDEX('Our policies'!$C$4:$C$503,_calc!$E$862)))=0,"","Insurer: "&amp;IF(LEN(INDEX('Our policies'!$C$4:$C$503,_calc!$E$862))=0,"",INDEX('Our policies'!$C$4:$C$503,_calc!$E$862))&amp;". ")&amp;IF(LEN(IF(LEN(INDEX('Our policies'!$D$4:$D$503,_calc!$E$862))=0,"",INDEX('Our policies'!$D$4:$D$503,_calc!$E$862)))=0,"","Broker: "&amp;IF(LEN(INDEX('Our policies'!$D$4:$D$503,_calc!$E$862))=0,"",INDEX('Our policies'!$D$4:$D$503,_calc!$E$862))&amp;". ")&amp;IF(LEN(IF(LEN(INDEX('Our policies'!$E$4:$E$503,_calc!$E$862))=0,"",INDEX('Our policies'!$E$4:$E$503,_calc!$E$862)))=0,"","Policy no.: "&amp;IF(LEN(INDEX('Our policies'!$E$4:$E$503,_calc!$E$862))=0,"",INDEX('Our policies'!$E$4:$E$503,_calc!$E$862))&amp;". ")&amp;IF(LEN(IF(LEN(INDEX('Our policies'!$S$4:$S$503,_calc!$E$862))=0,"",INDEX('Our policies'!$S$4:$S$503,_calc!$E$862)))=0,"",IF(LEN(INDEX('Our policies'!$S$4:$S$503,_calc!$E$862))=0,"",INDEX('Our policies'!$S$4:$S$503,_calc!$E$862)))),TRIM(IF(LEN(IF(LEN(INDEX('Vendor COIs'!$C$4:$C$503,(_calc!$E$862-500)))=0,"",INDEX('Vendor COIs'!$C$4:$C$503,(_calc!$E$862-500))))=0,"","Insurer: "&amp;IF(LEN(INDEX('Vendor COIs'!$C$4:$C$503,(_calc!$E$862-500)))=0,"",INDEX('Vendor COIs'!$C$4:$C$503,(_calc!$E$862-500)))&amp;". ")&amp;IF(LEN(IF(LEN(INDEX('Vendor COIs'!$D$4:$D$503,(_calc!$E$862-500)))=0,"",INDEX('Vendor COIs'!$D$4:$D$503,(_calc!$E$862-500))))=0,"","Policy no.: "&amp;IF(LEN(INDEX('Vendor COIs'!$D$4:$D$503,(_calc!$E$862-500)))=0,"",INDEX('Vendor COIs'!$D$4:$D$503,(_calc!$E$862-500)))&amp;". ")&amp;IF(LEN(IF(LEN(INDEX('Vendor COIs'!$F$4:$F$503,(_calc!$E$862-500)))=0,"",INDEX('Vendor COIs'!$F$4:$F$503,(_calc!$E$862-500))))=0,"","Meets minimum: "&amp;IF(LEN(INDEX('Vendor COIs'!$F$4:$F$503,(_calc!$E$862-500)))=0,"",INDEX('Vendor COIs'!$F$4:$F$503,(_calc!$E$862-500)))&amp;". ")&amp;IF(LEN(IF(LEN(INDEX('Vendor COIs'!$G$4:$G$503,(_calc!$E$862-500)))=0,"",INDEX('Vendor COIs'!$G$4:$G$503,(_calc!$E$862-500))))=0,"","Additional insured: "&amp;IF(LEN(INDEX('Vendor COIs'!$G$4:$G$503,(_calc!$E$862-500)))=0,"",INDEX('Vendor COIs'!$G$4:$G$503,(_calc!$E$862-500)))&amp;". ")&amp;IF(LEN(IF(LEN(INDEX('Vendor COIs'!$M$4:$M$503,(_calc!$E$862-500)))=0,"",INDEX('Vendor COIs'!$M$4:$M$503,(_calc!$E$862-500))))=0,"","Vendor contact: "&amp;IF(LEN(INDEX('Vendor COIs'!$M$4:$M$503,(_calc!$E$862-500)))=0,"",INDEX('Vendor COIs'!$M$4:$M$503,(_calc!$E$862-500)))&amp;". ")&amp;IF(LEN(IF(LEN(INDEX('Vendor COIs'!$P$4:$P$503,(_calc!$E$862-500)))=0,"",INDEX('Vendor COIs'!$P$4:$P$503,(_calc!$E$862-500))))=0,"",IF(LEN(INDEX('Vendor COIs'!$P$4:$P$503,(_calc!$E$862-500)))=0,"",INDEX('Vendor COIs'!$P$4:$P$503,(_calc!$E$862-500)))))))</f>
        <v/>
      </c>
      <c r="G860" s="46">
        <f>IF(_calc!$E$862="","",IF(_calc!$E$862&lt;=500,IF(LEN(INDEX('Our policies'!$R$4:$R$503,_calc!$E$862))=0,"",INDEX('Our policies'!$R$4:$R$503,_calc!$E$862)),IF(LEN(INDEX('Vendor COIs'!$O$4:$O$503,(_calc!$E$862-500)))=0,"",INDEX('Vendor COIs'!$O$4:$O$503,(_calc!$E$862-500)))))</f>
        <v/>
      </c>
      <c r="H860" s="46">
        <f>IF(_calc!$E$862="","",IF(_calc!$E$862&lt;=500,IF(LEN(INDEX('Our policies'!$G$4:$G$503,_calc!$E$862))=0,"",INDEX('Our policies'!$G$4:$G$503,_calc!$E$862)),""))</f>
        <v/>
      </c>
      <c r="I860" s="46">
        <f>IF(_calc!$E$862="","",IF(_calc!$E$862&lt;=500,IF(LEN(INDEX('Our policies'!$H$4:$H$503,_calc!$E$862))=0,"",INDEX('Our policies'!$H$4:$H$503,_calc!$E$862)),""))</f>
        <v/>
      </c>
      <c r="K860" s="46">
        <f>IF(_calc!$E$862="","",IF(_calc!$E$862&lt;=500,IF(LEN(INDEX('Our policies'!$P$4:$P$503,_calc!$E$862))=0,"",INDEX('Our policies'!$P$4:$P$503,_calc!$E$862)),IF(LEN(INDEX('Vendor COIs'!$N$4:$N$503,(_calc!$E$862-500)))=0,"",INDEX('Vendor COIs'!$N$4:$N$503,(_calc!$E$862-500)))))</f>
        <v/>
      </c>
    </row>
    <row r="861">
      <c r="A861" s="46">
        <f>IF(_calc!$E$863="","",IF(_calc!$E$863&lt;=500,IF(LEN(INDEX('Our policies'!$A$4:$A$503,_calc!$E$863))=0,"",INDEX('Our policies'!$A$4:$A$503,_calc!$E$863)),"COI – "&amp;IF(LEN(INDEX('Vendor COIs'!$A$4:$A$503,(_calc!$E$863-500)))=0,"",INDEX('Vendor COIs'!$A$4:$A$503,(_calc!$E$863-500)))&amp;" – "&amp;IF(LEN(INDEX('Vendor COIs'!$B$4:$B$503,(_calc!$E$863-500)))=0,"",INDEX('Vendor COIs'!$B$4:$B$503,(_calc!$E$863-500)))))</f>
        <v/>
      </c>
      <c r="B861" s="46">
        <f>IF(_calc!$E$863="","",IF(_calc!$E$863&lt;=500,IF(ISNUMBER(INDEX('Our policies'!$J$4:$J$503,_calc!$E$863)),TEXT(INDEX('Our policies'!$J$4:$J$503,_calc!$E$863),"yyyy-mm-dd"),""),IF(ISNUMBER(INDEX('Vendor COIs'!$H$4:$H$503,(_calc!$E$863-500))),TEXT(INDEX('Vendor COIs'!$H$4:$H$503,(_calc!$E$863-500)),"yyyy-mm-dd"),"")))</f>
        <v/>
      </c>
      <c r="C861" s="46">
        <f>IF(_calc!$E$863="","",IF(_calc!$E$863&lt;=500,"Insurance","Certificate of insurance"))</f>
        <v/>
      </c>
      <c r="D861" s="46">
        <f>IF(_calc!$E$863="","",IF(_calc!$E$863&lt;=500,IF(ISNUMBER(INDEX('Our policies'!$I$4:$I$503,_calc!$E$863)),TEXT(INDEX('Our policies'!$I$4:$I$503,_calc!$E$863),"yyyy-mm-dd"),""),""))</f>
        <v/>
      </c>
      <c r="E861" s="46">
        <f>IF(_calc!$E$863="","",IF(_calc!$E$863&lt;=500,IF(LEN(INDEX('Our policies'!$Q$4:$Q$503,_calc!$E$863))=0,"",INDEX('Our policies'!$Q$4:$Q$503,_calc!$E$863)),"Medium"))</f>
        <v/>
      </c>
      <c r="F861" s="46">
        <f>IF(_calc!$E$863="","",IF(_calc!$E$863&lt;=500,TRIM(IF(LEN(IF(LEN(INDEX('Our policies'!$B$4:$B$503,_calc!$E$863))=0,"",INDEX('Our policies'!$B$4:$B$503,_calc!$E$863)))=0,"","Cover: "&amp;IF(LEN(INDEX('Our policies'!$B$4:$B$503,_calc!$E$863))=0,"",INDEX('Our policies'!$B$4:$B$503,_calc!$E$863))&amp;". ")&amp;IF(LEN(IF(LEN(INDEX('Our policies'!$C$4:$C$503,_calc!$E$863))=0,"",INDEX('Our policies'!$C$4:$C$503,_calc!$E$863)))=0,"","Insurer: "&amp;IF(LEN(INDEX('Our policies'!$C$4:$C$503,_calc!$E$863))=0,"",INDEX('Our policies'!$C$4:$C$503,_calc!$E$863))&amp;". ")&amp;IF(LEN(IF(LEN(INDEX('Our policies'!$D$4:$D$503,_calc!$E$863))=0,"",INDEX('Our policies'!$D$4:$D$503,_calc!$E$863)))=0,"","Broker: "&amp;IF(LEN(INDEX('Our policies'!$D$4:$D$503,_calc!$E$863))=0,"",INDEX('Our policies'!$D$4:$D$503,_calc!$E$863))&amp;". ")&amp;IF(LEN(IF(LEN(INDEX('Our policies'!$E$4:$E$503,_calc!$E$863))=0,"",INDEX('Our policies'!$E$4:$E$503,_calc!$E$863)))=0,"","Policy no.: "&amp;IF(LEN(INDEX('Our policies'!$E$4:$E$503,_calc!$E$863))=0,"",INDEX('Our policies'!$E$4:$E$503,_calc!$E$863))&amp;". ")&amp;IF(LEN(IF(LEN(INDEX('Our policies'!$S$4:$S$503,_calc!$E$863))=0,"",INDEX('Our policies'!$S$4:$S$503,_calc!$E$863)))=0,"",IF(LEN(INDEX('Our policies'!$S$4:$S$503,_calc!$E$863))=0,"",INDEX('Our policies'!$S$4:$S$503,_calc!$E$863)))),TRIM(IF(LEN(IF(LEN(INDEX('Vendor COIs'!$C$4:$C$503,(_calc!$E$863-500)))=0,"",INDEX('Vendor COIs'!$C$4:$C$503,(_calc!$E$863-500))))=0,"","Insurer: "&amp;IF(LEN(INDEX('Vendor COIs'!$C$4:$C$503,(_calc!$E$863-500)))=0,"",INDEX('Vendor COIs'!$C$4:$C$503,(_calc!$E$863-500)))&amp;". ")&amp;IF(LEN(IF(LEN(INDEX('Vendor COIs'!$D$4:$D$503,(_calc!$E$863-500)))=0,"",INDEX('Vendor COIs'!$D$4:$D$503,(_calc!$E$863-500))))=0,"","Policy no.: "&amp;IF(LEN(INDEX('Vendor COIs'!$D$4:$D$503,(_calc!$E$863-500)))=0,"",INDEX('Vendor COIs'!$D$4:$D$503,(_calc!$E$863-500)))&amp;". ")&amp;IF(LEN(IF(LEN(INDEX('Vendor COIs'!$F$4:$F$503,(_calc!$E$863-500)))=0,"",INDEX('Vendor COIs'!$F$4:$F$503,(_calc!$E$863-500))))=0,"","Meets minimum: "&amp;IF(LEN(INDEX('Vendor COIs'!$F$4:$F$503,(_calc!$E$863-500)))=0,"",INDEX('Vendor COIs'!$F$4:$F$503,(_calc!$E$863-500)))&amp;". ")&amp;IF(LEN(IF(LEN(INDEX('Vendor COIs'!$G$4:$G$503,(_calc!$E$863-500)))=0,"",INDEX('Vendor COIs'!$G$4:$G$503,(_calc!$E$863-500))))=0,"","Additional insured: "&amp;IF(LEN(INDEX('Vendor COIs'!$G$4:$G$503,(_calc!$E$863-500)))=0,"",INDEX('Vendor COIs'!$G$4:$G$503,(_calc!$E$863-500)))&amp;". ")&amp;IF(LEN(IF(LEN(INDEX('Vendor COIs'!$M$4:$M$503,(_calc!$E$863-500)))=0,"",INDEX('Vendor COIs'!$M$4:$M$503,(_calc!$E$863-500))))=0,"","Vendor contact: "&amp;IF(LEN(INDEX('Vendor COIs'!$M$4:$M$503,(_calc!$E$863-500)))=0,"",INDEX('Vendor COIs'!$M$4:$M$503,(_calc!$E$863-500)))&amp;". ")&amp;IF(LEN(IF(LEN(INDEX('Vendor COIs'!$P$4:$P$503,(_calc!$E$863-500)))=0,"",INDEX('Vendor COIs'!$P$4:$P$503,(_calc!$E$863-500))))=0,"",IF(LEN(INDEX('Vendor COIs'!$P$4:$P$503,(_calc!$E$863-500)))=0,"",INDEX('Vendor COIs'!$P$4:$P$503,(_calc!$E$863-500)))))))</f>
        <v/>
      </c>
      <c r="G861" s="46">
        <f>IF(_calc!$E$863="","",IF(_calc!$E$863&lt;=500,IF(LEN(INDEX('Our policies'!$R$4:$R$503,_calc!$E$863))=0,"",INDEX('Our policies'!$R$4:$R$503,_calc!$E$863)),IF(LEN(INDEX('Vendor COIs'!$O$4:$O$503,(_calc!$E$863-500)))=0,"",INDEX('Vendor COIs'!$O$4:$O$503,(_calc!$E$863-500)))))</f>
        <v/>
      </c>
      <c r="H861" s="46">
        <f>IF(_calc!$E$863="","",IF(_calc!$E$863&lt;=500,IF(LEN(INDEX('Our policies'!$G$4:$G$503,_calc!$E$863))=0,"",INDEX('Our policies'!$G$4:$G$503,_calc!$E$863)),""))</f>
        <v/>
      </c>
      <c r="I861" s="46">
        <f>IF(_calc!$E$863="","",IF(_calc!$E$863&lt;=500,IF(LEN(INDEX('Our policies'!$H$4:$H$503,_calc!$E$863))=0,"",INDEX('Our policies'!$H$4:$H$503,_calc!$E$863)),""))</f>
        <v/>
      </c>
      <c r="K861" s="46">
        <f>IF(_calc!$E$863="","",IF(_calc!$E$863&lt;=500,IF(LEN(INDEX('Our policies'!$P$4:$P$503,_calc!$E$863))=0,"",INDEX('Our policies'!$P$4:$P$503,_calc!$E$863)),IF(LEN(INDEX('Vendor COIs'!$N$4:$N$503,(_calc!$E$863-500)))=0,"",INDEX('Vendor COIs'!$N$4:$N$503,(_calc!$E$863-500)))))</f>
        <v/>
      </c>
    </row>
    <row r="862">
      <c r="A862" s="46">
        <f>IF(_calc!$E$864="","",IF(_calc!$E$864&lt;=500,IF(LEN(INDEX('Our policies'!$A$4:$A$503,_calc!$E$864))=0,"",INDEX('Our policies'!$A$4:$A$503,_calc!$E$864)),"COI – "&amp;IF(LEN(INDEX('Vendor COIs'!$A$4:$A$503,(_calc!$E$864-500)))=0,"",INDEX('Vendor COIs'!$A$4:$A$503,(_calc!$E$864-500)))&amp;" – "&amp;IF(LEN(INDEX('Vendor COIs'!$B$4:$B$503,(_calc!$E$864-500)))=0,"",INDEX('Vendor COIs'!$B$4:$B$503,(_calc!$E$864-500)))))</f>
        <v/>
      </c>
      <c r="B862" s="46">
        <f>IF(_calc!$E$864="","",IF(_calc!$E$864&lt;=500,IF(ISNUMBER(INDEX('Our policies'!$J$4:$J$503,_calc!$E$864)),TEXT(INDEX('Our policies'!$J$4:$J$503,_calc!$E$864),"yyyy-mm-dd"),""),IF(ISNUMBER(INDEX('Vendor COIs'!$H$4:$H$503,(_calc!$E$864-500))),TEXT(INDEX('Vendor COIs'!$H$4:$H$503,(_calc!$E$864-500)),"yyyy-mm-dd"),"")))</f>
        <v/>
      </c>
      <c r="C862" s="46">
        <f>IF(_calc!$E$864="","",IF(_calc!$E$864&lt;=500,"Insurance","Certificate of insurance"))</f>
        <v/>
      </c>
      <c r="D862" s="46">
        <f>IF(_calc!$E$864="","",IF(_calc!$E$864&lt;=500,IF(ISNUMBER(INDEX('Our policies'!$I$4:$I$503,_calc!$E$864)),TEXT(INDEX('Our policies'!$I$4:$I$503,_calc!$E$864),"yyyy-mm-dd"),""),""))</f>
        <v/>
      </c>
      <c r="E862" s="46">
        <f>IF(_calc!$E$864="","",IF(_calc!$E$864&lt;=500,IF(LEN(INDEX('Our policies'!$Q$4:$Q$503,_calc!$E$864))=0,"",INDEX('Our policies'!$Q$4:$Q$503,_calc!$E$864)),"Medium"))</f>
        <v/>
      </c>
      <c r="F862" s="46">
        <f>IF(_calc!$E$864="","",IF(_calc!$E$864&lt;=500,TRIM(IF(LEN(IF(LEN(INDEX('Our policies'!$B$4:$B$503,_calc!$E$864))=0,"",INDEX('Our policies'!$B$4:$B$503,_calc!$E$864)))=0,"","Cover: "&amp;IF(LEN(INDEX('Our policies'!$B$4:$B$503,_calc!$E$864))=0,"",INDEX('Our policies'!$B$4:$B$503,_calc!$E$864))&amp;". ")&amp;IF(LEN(IF(LEN(INDEX('Our policies'!$C$4:$C$503,_calc!$E$864))=0,"",INDEX('Our policies'!$C$4:$C$503,_calc!$E$864)))=0,"","Insurer: "&amp;IF(LEN(INDEX('Our policies'!$C$4:$C$503,_calc!$E$864))=0,"",INDEX('Our policies'!$C$4:$C$503,_calc!$E$864))&amp;". ")&amp;IF(LEN(IF(LEN(INDEX('Our policies'!$D$4:$D$503,_calc!$E$864))=0,"",INDEX('Our policies'!$D$4:$D$503,_calc!$E$864)))=0,"","Broker: "&amp;IF(LEN(INDEX('Our policies'!$D$4:$D$503,_calc!$E$864))=0,"",INDEX('Our policies'!$D$4:$D$503,_calc!$E$864))&amp;". ")&amp;IF(LEN(IF(LEN(INDEX('Our policies'!$E$4:$E$503,_calc!$E$864))=0,"",INDEX('Our policies'!$E$4:$E$503,_calc!$E$864)))=0,"","Policy no.: "&amp;IF(LEN(INDEX('Our policies'!$E$4:$E$503,_calc!$E$864))=0,"",INDEX('Our policies'!$E$4:$E$503,_calc!$E$864))&amp;". ")&amp;IF(LEN(IF(LEN(INDEX('Our policies'!$S$4:$S$503,_calc!$E$864))=0,"",INDEX('Our policies'!$S$4:$S$503,_calc!$E$864)))=0,"",IF(LEN(INDEX('Our policies'!$S$4:$S$503,_calc!$E$864))=0,"",INDEX('Our policies'!$S$4:$S$503,_calc!$E$864)))),TRIM(IF(LEN(IF(LEN(INDEX('Vendor COIs'!$C$4:$C$503,(_calc!$E$864-500)))=0,"",INDEX('Vendor COIs'!$C$4:$C$503,(_calc!$E$864-500))))=0,"","Insurer: "&amp;IF(LEN(INDEX('Vendor COIs'!$C$4:$C$503,(_calc!$E$864-500)))=0,"",INDEX('Vendor COIs'!$C$4:$C$503,(_calc!$E$864-500)))&amp;". ")&amp;IF(LEN(IF(LEN(INDEX('Vendor COIs'!$D$4:$D$503,(_calc!$E$864-500)))=0,"",INDEX('Vendor COIs'!$D$4:$D$503,(_calc!$E$864-500))))=0,"","Policy no.: "&amp;IF(LEN(INDEX('Vendor COIs'!$D$4:$D$503,(_calc!$E$864-500)))=0,"",INDEX('Vendor COIs'!$D$4:$D$503,(_calc!$E$864-500)))&amp;". ")&amp;IF(LEN(IF(LEN(INDEX('Vendor COIs'!$F$4:$F$503,(_calc!$E$864-500)))=0,"",INDEX('Vendor COIs'!$F$4:$F$503,(_calc!$E$864-500))))=0,"","Meets minimum: "&amp;IF(LEN(INDEX('Vendor COIs'!$F$4:$F$503,(_calc!$E$864-500)))=0,"",INDEX('Vendor COIs'!$F$4:$F$503,(_calc!$E$864-500)))&amp;". ")&amp;IF(LEN(IF(LEN(INDEX('Vendor COIs'!$G$4:$G$503,(_calc!$E$864-500)))=0,"",INDEX('Vendor COIs'!$G$4:$G$503,(_calc!$E$864-500))))=0,"","Additional insured: "&amp;IF(LEN(INDEX('Vendor COIs'!$G$4:$G$503,(_calc!$E$864-500)))=0,"",INDEX('Vendor COIs'!$G$4:$G$503,(_calc!$E$864-500)))&amp;". ")&amp;IF(LEN(IF(LEN(INDEX('Vendor COIs'!$M$4:$M$503,(_calc!$E$864-500)))=0,"",INDEX('Vendor COIs'!$M$4:$M$503,(_calc!$E$864-500))))=0,"","Vendor contact: "&amp;IF(LEN(INDEX('Vendor COIs'!$M$4:$M$503,(_calc!$E$864-500)))=0,"",INDEX('Vendor COIs'!$M$4:$M$503,(_calc!$E$864-500)))&amp;". ")&amp;IF(LEN(IF(LEN(INDEX('Vendor COIs'!$P$4:$P$503,(_calc!$E$864-500)))=0,"",INDEX('Vendor COIs'!$P$4:$P$503,(_calc!$E$864-500))))=0,"",IF(LEN(INDEX('Vendor COIs'!$P$4:$P$503,(_calc!$E$864-500)))=0,"",INDEX('Vendor COIs'!$P$4:$P$503,(_calc!$E$864-500)))))))</f>
        <v/>
      </c>
      <c r="G862" s="46">
        <f>IF(_calc!$E$864="","",IF(_calc!$E$864&lt;=500,IF(LEN(INDEX('Our policies'!$R$4:$R$503,_calc!$E$864))=0,"",INDEX('Our policies'!$R$4:$R$503,_calc!$E$864)),IF(LEN(INDEX('Vendor COIs'!$O$4:$O$503,(_calc!$E$864-500)))=0,"",INDEX('Vendor COIs'!$O$4:$O$503,(_calc!$E$864-500)))))</f>
        <v/>
      </c>
      <c r="H862" s="46">
        <f>IF(_calc!$E$864="","",IF(_calc!$E$864&lt;=500,IF(LEN(INDEX('Our policies'!$G$4:$G$503,_calc!$E$864))=0,"",INDEX('Our policies'!$G$4:$G$503,_calc!$E$864)),""))</f>
        <v/>
      </c>
      <c r="I862" s="46">
        <f>IF(_calc!$E$864="","",IF(_calc!$E$864&lt;=500,IF(LEN(INDEX('Our policies'!$H$4:$H$503,_calc!$E$864))=0,"",INDEX('Our policies'!$H$4:$H$503,_calc!$E$864)),""))</f>
        <v/>
      </c>
      <c r="K862" s="46">
        <f>IF(_calc!$E$864="","",IF(_calc!$E$864&lt;=500,IF(LEN(INDEX('Our policies'!$P$4:$P$503,_calc!$E$864))=0,"",INDEX('Our policies'!$P$4:$P$503,_calc!$E$864)),IF(LEN(INDEX('Vendor COIs'!$N$4:$N$503,(_calc!$E$864-500)))=0,"",INDEX('Vendor COIs'!$N$4:$N$503,(_calc!$E$864-500)))))</f>
        <v/>
      </c>
    </row>
    <row r="863">
      <c r="A863" s="46">
        <f>IF(_calc!$E$865="","",IF(_calc!$E$865&lt;=500,IF(LEN(INDEX('Our policies'!$A$4:$A$503,_calc!$E$865))=0,"",INDEX('Our policies'!$A$4:$A$503,_calc!$E$865)),"COI – "&amp;IF(LEN(INDEX('Vendor COIs'!$A$4:$A$503,(_calc!$E$865-500)))=0,"",INDEX('Vendor COIs'!$A$4:$A$503,(_calc!$E$865-500)))&amp;" – "&amp;IF(LEN(INDEX('Vendor COIs'!$B$4:$B$503,(_calc!$E$865-500)))=0,"",INDEX('Vendor COIs'!$B$4:$B$503,(_calc!$E$865-500)))))</f>
        <v/>
      </c>
      <c r="B863" s="46">
        <f>IF(_calc!$E$865="","",IF(_calc!$E$865&lt;=500,IF(ISNUMBER(INDEX('Our policies'!$J$4:$J$503,_calc!$E$865)),TEXT(INDEX('Our policies'!$J$4:$J$503,_calc!$E$865),"yyyy-mm-dd"),""),IF(ISNUMBER(INDEX('Vendor COIs'!$H$4:$H$503,(_calc!$E$865-500))),TEXT(INDEX('Vendor COIs'!$H$4:$H$503,(_calc!$E$865-500)),"yyyy-mm-dd"),"")))</f>
        <v/>
      </c>
      <c r="C863" s="46">
        <f>IF(_calc!$E$865="","",IF(_calc!$E$865&lt;=500,"Insurance","Certificate of insurance"))</f>
        <v/>
      </c>
      <c r="D863" s="46">
        <f>IF(_calc!$E$865="","",IF(_calc!$E$865&lt;=500,IF(ISNUMBER(INDEX('Our policies'!$I$4:$I$503,_calc!$E$865)),TEXT(INDEX('Our policies'!$I$4:$I$503,_calc!$E$865),"yyyy-mm-dd"),""),""))</f>
        <v/>
      </c>
      <c r="E863" s="46">
        <f>IF(_calc!$E$865="","",IF(_calc!$E$865&lt;=500,IF(LEN(INDEX('Our policies'!$Q$4:$Q$503,_calc!$E$865))=0,"",INDEX('Our policies'!$Q$4:$Q$503,_calc!$E$865)),"Medium"))</f>
        <v/>
      </c>
      <c r="F863" s="46">
        <f>IF(_calc!$E$865="","",IF(_calc!$E$865&lt;=500,TRIM(IF(LEN(IF(LEN(INDEX('Our policies'!$B$4:$B$503,_calc!$E$865))=0,"",INDEX('Our policies'!$B$4:$B$503,_calc!$E$865)))=0,"","Cover: "&amp;IF(LEN(INDEX('Our policies'!$B$4:$B$503,_calc!$E$865))=0,"",INDEX('Our policies'!$B$4:$B$503,_calc!$E$865))&amp;". ")&amp;IF(LEN(IF(LEN(INDEX('Our policies'!$C$4:$C$503,_calc!$E$865))=0,"",INDEX('Our policies'!$C$4:$C$503,_calc!$E$865)))=0,"","Insurer: "&amp;IF(LEN(INDEX('Our policies'!$C$4:$C$503,_calc!$E$865))=0,"",INDEX('Our policies'!$C$4:$C$503,_calc!$E$865))&amp;". ")&amp;IF(LEN(IF(LEN(INDEX('Our policies'!$D$4:$D$503,_calc!$E$865))=0,"",INDEX('Our policies'!$D$4:$D$503,_calc!$E$865)))=0,"","Broker: "&amp;IF(LEN(INDEX('Our policies'!$D$4:$D$503,_calc!$E$865))=0,"",INDEX('Our policies'!$D$4:$D$503,_calc!$E$865))&amp;". ")&amp;IF(LEN(IF(LEN(INDEX('Our policies'!$E$4:$E$503,_calc!$E$865))=0,"",INDEX('Our policies'!$E$4:$E$503,_calc!$E$865)))=0,"","Policy no.: "&amp;IF(LEN(INDEX('Our policies'!$E$4:$E$503,_calc!$E$865))=0,"",INDEX('Our policies'!$E$4:$E$503,_calc!$E$865))&amp;". ")&amp;IF(LEN(IF(LEN(INDEX('Our policies'!$S$4:$S$503,_calc!$E$865))=0,"",INDEX('Our policies'!$S$4:$S$503,_calc!$E$865)))=0,"",IF(LEN(INDEX('Our policies'!$S$4:$S$503,_calc!$E$865))=0,"",INDEX('Our policies'!$S$4:$S$503,_calc!$E$865)))),TRIM(IF(LEN(IF(LEN(INDEX('Vendor COIs'!$C$4:$C$503,(_calc!$E$865-500)))=0,"",INDEX('Vendor COIs'!$C$4:$C$503,(_calc!$E$865-500))))=0,"","Insurer: "&amp;IF(LEN(INDEX('Vendor COIs'!$C$4:$C$503,(_calc!$E$865-500)))=0,"",INDEX('Vendor COIs'!$C$4:$C$503,(_calc!$E$865-500)))&amp;". ")&amp;IF(LEN(IF(LEN(INDEX('Vendor COIs'!$D$4:$D$503,(_calc!$E$865-500)))=0,"",INDEX('Vendor COIs'!$D$4:$D$503,(_calc!$E$865-500))))=0,"","Policy no.: "&amp;IF(LEN(INDEX('Vendor COIs'!$D$4:$D$503,(_calc!$E$865-500)))=0,"",INDEX('Vendor COIs'!$D$4:$D$503,(_calc!$E$865-500)))&amp;". ")&amp;IF(LEN(IF(LEN(INDEX('Vendor COIs'!$F$4:$F$503,(_calc!$E$865-500)))=0,"",INDEX('Vendor COIs'!$F$4:$F$503,(_calc!$E$865-500))))=0,"","Meets minimum: "&amp;IF(LEN(INDEX('Vendor COIs'!$F$4:$F$503,(_calc!$E$865-500)))=0,"",INDEX('Vendor COIs'!$F$4:$F$503,(_calc!$E$865-500)))&amp;". ")&amp;IF(LEN(IF(LEN(INDEX('Vendor COIs'!$G$4:$G$503,(_calc!$E$865-500)))=0,"",INDEX('Vendor COIs'!$G$4:$G$503,(_calc!$E$865-500))))=0,"","Additional insured: "&amp;IF(LEN(INDEX('Vendor COIs'!$G$4:$G$503,(_calc!$E$865-500)))=0,"",INDEX('Vendor COIs'!$G$4:$G$503,(_calc!$E$865-500)))&amp;". ")&amp;IF(LEN(IF(LEN(INDEX('Vendor COIs'!$M$4:$M$503,(_calc!$E$865-500)))=0,"",INDEX('Vendor COIs'!$M$4:$M$503,(_calc!$E$865-500))))=0,"","Vendor contact: "&amp;IF(LEN(INDEX('Vendor COIs'!$M$4:$M$503,(_calc!$E$865-500)))=0,"",INDEX('Vendor COIs'!$M$4:$M$503,(_calc!$E$865-500)))&amp;". ")&amp;IF(LEN(IF(LEN(INDEX('Vendor COIs'!$P$4:$P$503,(_calc!$E$865-500)))=0,"",INDEX('Vendor COIs'!$P$4:$P$503,(_calc!$E$865-500))))=0,"",IF(LEN(INDEX('Vendor COIs'!$P$4:$P$503,(_calc!$E$865-500)))=0,"",INDEX('Vendor COIs'!$P$4:$P$503,(_calc!$E$865-500)))))))</f>
        <v/>
      </c>
      <c r="G863" s="46">
        <f>IF(_calc!$E$865="","",IF(_calc!$E$865&lt;=500,IF(LEN(INDEX('Our policies'!$R$4:$R$503,_calc!$E$865))=0,"",INDEX('Our policies'!$R$4:$R$503,_calc!$E$865)),IF(LEN(INDEX('Vendor COIs'!$O$4:$O$503,(_calc!$E$865-500)))=0,"",INDEX('Vendor COIs'!$O$4:$O$503,(_calc!$E$865-500)))))</f>
        <v/>
      </c>
      <c r="H863" s="46">
        <f>IF(_calc!$E$865="","",IF(_calc!$E$865&lt;=500,IF(LEN(INDEX('Our policies'!$G$4:$G$503,_calc!$E$865))=0,"",INDEX('Our policies'!$G$4:$G$503,_calc!$E$865)),""))</f>
        <v/>
      </c>
      <c r="I863" s="46">
        <f>IF(_calc!$E$865="","",IF(_calc!$E$865&lt;=500,IF(LEN(INDEX('Our policies'!$H$4:$H$503,_calc!$E$865))=0,"",INDEX('Our policies'!$H$4:$H$503,_calc!$E$865)),""))</f>
        <v/>
      </c>
      <c r="K863" s="46">
        <f>IF(_calc!$E$865="","",IF(_calc!$E$865&lt;=500,IF(LEN(INDEX('Our policies'!$P$4:$P$503,_calc!$E$865))=0,"",INDEX('Our policies'!$P$4:$P$503,_calc!$E$865)),IF(LEN(INDEX('Vendor COIs'!$N$4:$N$503,(_calc!$E$865-500)))=0,"",INDEX('Vendor COIs'!$N$4:$N$503,(_calc!$E$865-500)))))</f>
        <v/>
      </c>
    </row>
    <row r="864">
      <c r="A864" s="46">
        <f>IF(_calc!$E$866="","",IF(_calc!$E$866&lt;=500,IF(LEN(INDEX('Our policies'!$A$4:$A$503,_calc!$E$866))=0,"",INDEX('Our policies'!$A$4:$A$503,_calc!$E$866)),"COI – "&amp;IF(LEN(INDEX('Vendor COIs'!$A$4:$A$503,(_calc!$E$866-500)))=0,"",INDEX('Vendor COIs'!$A$4:$A$503,(_calc!$E$866-500)))&amp;" – "&amp;IF(LEN(INDEX('Vendor COIs'!$B$4:$B$503,(_calc!$E$866-500)))=0,"",INDEX('Vendor COIs'!$B$4:$B$503,(_calc!$E$866-500)))))</f>
        <v/>
      </c>
      <c r="B864" s="46">
        <f>IF(_calc!$E$866="","",IF(_calc!$E$866&lt;=500,IF(ISNUMBER(INDEX('Our policies'!$J$4:$J$503,_calc!$E$866)),TEXT(INDEX('Our policies'!$J$4:$J$503,_calc!$E$866),"yyyy-mm-dd"),""),IF(ISNUMBER(INDEX('Vendor COIs'!$H$4:$H$503,(_calc!$E$866-500))),TEXT(INDEX('Vendor COIs'!$H$4:$H$503,(_calc!$E$866-500)),"yyyy-mm-dd"),"")))</f>
        <v/>
      </c>
      <c r="C864" s="46">
        <f>IF(_calc!$E$866="","",IF(_calc!$E$866&lt;=500,"Insurance","Certificate of insurance"))</f>
        <v/>
      </c>
      <c r="D864" s="46">
        <f>IF(_calc!$E$866="","",IF(_calc!$E$866&lt;=500,IF(ISNUMBER(INDEX('Our policies'!$I$4:$I$503,_calc!$E$866)),TEXT(INDEX('Our policies'!$I$4:$I$503,_calc!$E$866),"yyyy-mm-dd"),""),""))</f>
        <v/>
      </c>
      <c r="E864" s="46">
        <f>IF(_calc!$E$866="","",IF(_calc!$E$866&lt;=500,IF(LEN(INDEX('Our policies'!$Q$4:$Q$503,_calc!$E$866))=0,"",INDEX('Our policies'!$Q$4:$Q$503,_calc!$E$866)),"Medium"))</f>
        <v/>
      </c>
      <c r="F864" s="46">
        <f>IF(_calc!$E$866="","",IF(_calc!$E$866&lt;=500,TRIM(IF(LEN(IF(LEN(INDEX('Our policies'!$B$4:$B$503,_calc!$E$866))=0,"",INDEX('Our policies'!$B$4:$B$503,_calc!$E$866)))=0,"","Cover: "&amp;IF(LEN(INDEX('Our policies'!$B$4:$B$503,_calc!$E$866))=0,"",INDEX('Our policies'!$B$4:$B$503,_calc!$E$866))&amp;". ")&amp;IF(LEN(IF(LEN(INDEX('Our policies'!$C$4:$C$503,_calc!$E$866))=0,"",INDEX('Our policies'!$C$4:$C$503,_calc!$E$866)))=0,"","Insurer: "&amp;IF(LEN(INDEX('Our policies'!$C$4:$C$503,_calc!$E$866))=0,"",INDEX('Our policies'!$C$4:$C$503,_calc!$E$866))&amp;". ")&amp;IF(LEN(IF(LEN(INDEX('Our policies'!$D$4:$D$503,_calc!$E$866))=0,"",INDEX('Our policies'!$D$4:$D$503,_calc!$E$866)))=0,"","Broker: "&amp;IF(LEN(INDEX('Our policies'!$D$4:$D$503,_calc!$E$866))=0,"",INDEX('Our policies'!$D$4:$D$503,_calc!$E$866))&amp;". ")&amp;IF(LEN(IF(LEN(INDEX('Our policies'!$E$4:$E$503,_calc!$E$866))=0,"",INDEX('Our policies'!$E$4:$E$503,_calc!$E$866)))=0,"","Policy no.: "&amp;IF(LEN(INDEX('Our policies'!$E$4:$E$503,_calc!$E$866))=0,"",INDEX('Our policies'!$E$4:$E$503,_calc!$E$866))&amp;". ")&amp;IF(LEN(IF(LEN(INDEX('Our policies'!$S$4:$S$503,_calc!$E$866))=0,"",INDEX('Our policies'!$S$4:$S$503,_calc!$E$866)))=0,"",IF(LEN(INDEX('Our policies'!$S$4:$S$503,_calc!$E$866))=0,"",INDEX('Our policies'!$S$4:$S$503,_calc!$E$866)))),TRIM(IF(LEN(IF(LEN(INDEX('Vendor COIs'!$C$4:$C$503,(_calc!$E$866-500)))=0,"",INDEX('Vendor COIs'!$C$4:$C$503,(_calc!$E$866-500))))=0,"","Insurer: "&amp;IF(LEN(INDEX('Vendor COIs'!$C$4:$C$503,(_calc!$E$866-500)))=0,"",INDEX('Vendor COIs'!$C$4:$C$503,(_calc!$E$866-500)))&amp;". ")&amp;IF(LEN(IF(LEN(INDEX('Vendor COIs'!$D$4:$D$503,(_calc!$E$866-500)))=0,"",INDEX('Vendor COIs'!$D$4:$D$503,(_calc!$E$866-500))))=0,"","Policy no.: "&amp;IF(LEN(INDEX('Vendor COIs'!$D$4:$D$503,(_calc!$E$866-500)))=0,"",INDEX('Vendor COIs'!$D$4:$D$503,(_calc!$E$866-500)))&amp;". ")&amp;IF(LEN(IF(LEN(INDEX('Vendor COIs'!$F$4:$F$503,(_calc!$E$866-500)))=0,"",INDEX('Vendor COIs'!$F$4:$F$503,(_calc!$E$866-500))))=0,"","Meets minimum: "&amp;IF(LEN(INDEX('Vendor COIs'!$F$4:$F$503,(_calc!$E$866-500)))=0,"",INDEX('Vendor COIs'!$F$4:$F$503,(_calc!$E$866-500)))&amp;". ")&amp;IF(LEN(IF(LEN(INDEX('Vendor COIs'!$G$4:$G$503,(_calc!$E$866-500)))=0,"",INDEX('Vendor COIs'!$G$4:$G$503,(_calc!$E$866-500))))=0,"","Additional insured: "&amp;IF(LEN(INDEX('Vendor COIs'!$G$4:$G$503,(_calc!$E$866-500)))=0,"",INDEX('Vendor COIs'!$G$4:$G$503,(_calc!$E$866-500)))&amp;". ")&amp;IF(LEN(IF(LEN(INDEX('Vendor COIs'!$M$4:$M$503,(_calc!$E$866-500)))=0,"",INDEX('Vendor COIs'!$M$4:$M$503,(_calc!$E$866-500))))=0,"","Vendor contact: "&amp;IF(LEN(INDEX('Vendor COIs'!$M$4:$M$503,(_calc!$E$866-500)))=0,"",INDEX('Vendor COIs'!$M$4:$M$503,(_calc!$E$866-500)))&amp;". ")&amp;IF(LEN(IF(LEN(INDEX('Vendor COIs'!$P$4:$P$503,(_calc!$E$866-500)))=0,"",INDEX('Vendor COIs'!$P$4:$P$503,(_calc!$E$866-500))))=0,"",IF(LEN(INDEX('Vendor COIs'!$P$4:$P$503,(_calc!$E$866-500)))=0,"",INDEX('Vendor COIs'!$P$4:$P$503,(_calc!$E$866-500)))))))</f>
        <v/>
      </c>
      <c r="G864" s="46">
        <f>IF(_calc!$E$866="","",IF(_calc!$E$866&lt;=500,IF(LEN(INDEX('Our policies'!$R$4:$R$503,_calc!$E$866))=0,"",INDEX('Our policies'!$R$4:$R$503,_calc!$E$866)),IF(LEN(INDEX('Vendor COIs'!$O$4:$O$503,(_calc!$E$866-500)))=0,"",INDEX('Vendor COIs'!$O$4:$O$503,(_calc!$E$866-500)))))</f>
        <v/>
      </c>
      <c r="H864" s="46">
        <f>IF(_calc!$E$866="","",IF(_calc!$E$866&lt;=500,IF(LEN(INDEX('Our policies'!$G$4:$G$503,_calc!$E$866))=0,"",INDEX('Our policies'!$G$4:$G$503,_calc!$E$866)),""))</f>
        <v/>
      </c>
      <c r="I864" s="46">
        <f>IF(_calc!$E$866="","",IF(_calc!$E$866&lt;=500,IF(LEN(INDEX('Our policies'!$H$4:$H$503,_calc!$E$866))=0,"",INDEX('Our policies'!$H$4:$H$503,_calc!$E$866)),""))</f>
        <v/>
      </c>
      <c r="K864" s="46">
        <f>IF(_calc!$E$866="","",IF(_calc!$E$866&lt;=500,IF(LEN(INDEX('Our policies'!$P$4:$P$503,_calc!$E$866))=0,"",INDEX('Our policies'!$P$4:$P$503,_calc!$E$866)),IF(LEN(INDEX('Vendor COIs'!$N$4:$N$503,(_calc!$E$866-500)))=0,"",INDEX('Vendor COIs'!$N$4:$N$503,(_calc!$E$866-500)))))</f>
        <v/>
      </c>
    </row>
    <row r="865">
      <c r="A865" s="46">
        <f>IF(_calc!$E$867="","",IF(_calc!$E$867&lt;=500,IF(LEN(INDEX('Our policies'!$A$4:$A$503,_calc!$E$867))=0,"",INDEX('Our policies'!$A$4:$A$503,_calc!$E$867)),"COI – "&amp;IF(LEN(INDEX('Vendor COIs'!$A$4:$A$503,(_calc!$E$867-500)))=0,"",INDEX('Vendor COIs'!$A$4:$A$503,(_calc!$E$867-500)))&amp;" – "&amp;IF(LEN(INDEX('Vendor COIs'!$B$4:$B$503,(_calc!$E$867-500)))=0,"",INDEX('Vendor COIs'!$B$4:$B$503,(_calc!$E$867-500)))))</f>
        <v/>
      </c>
      <c r="B865" s="46">
        <f>IF(_calc!$E$867="","",IF(_calc!$E$867&lt;=500,IF(ISNUMBER(INDEX('Our policies'!$J$4:$J$503,_calc!$E$867)),TEXT(INDEX('Our policies'!$J$4:$J$503,_calc!$E$867),"yyyy-mm-dd"),""),IF(ISNUMBER(INDEX('Vendor COIs'!$H$4:$H$503,(_calc!$E$867-500))),TEXT(INDEX('Vendor COIs'!$H$4:$H$503,(_calc!$E$867-500)),"yyyy-mm-dd"),"")))</f>
        <v/>
      </c>
      <c r="C865" s="46">
        <f>IF(_calc!$E$867="","",IF(_calc!$E$867&lt;=500,"Insurance","Certificate of insurance"))</f>
        <v/>
      </c>
      <c r="D865" s="46">
        <f>IF(_calc!$E$867="","",IF(_calc!$E$867&lt;=500,IF(ISNUMBER(INDEX('Our policies'!$I$4:$I$503,_calc!$E$867)),TEXT(INDEX('Our policies'!$I$4:$I$503,_calc!$E$867),"yyyy-mm-dd"),""),""))</f>
        <v/>
      </c>
      <c r="E865" s="46">
        <f>IF(_calc!$E$867="","",IF(_calc!$E$867&lt;=500,IF(LEN(INDEX('Our policies'!$Q$4:$Q$503,_calc!$E$867))=0,"",INDEX('Our policies'!$Q$4:$Q$503,_calc!$E$867)),"Medium"))</f>
        <v/>
      </c>
      <c r="F865" s="46">
        <f>IF(_calc!$E$867="","",IF(_calc!$E$867&lt;=500,TRIM(IF(LEN(IF(LEN(INDEX('Our policies'!$B$4:$B$503,_calc!$E$867))=0,"",INDEX('Our policies'!$B$4:$B$503,_calc!$E$867)))=0,"","Cover: "&amp;IF(LEN(INDEX('Our policies'!$B$4:$B$503,_calc!$E$867))=0,"",INDEX('Our policies'!$B$4:$B$503,_calc!$E$867))&amp;". ")&amp;IF(LEN(IF(LEN(INDEX('Our policies'!$C$4:$C$503,_calc!$E$867))=0,"",INDEX('Our policies'!$C$4:$C$503,_calc!$E$867)))=0,"","Insurer: "&amp;IF(LEN(INDEX('Our policies'!$C$4:$C$503,_calc!$E$867))=0,"",INDEX('Our policies'!$C$4:$C$503,_calc!$E$867))&amp;". ")&amp;IF(LEN(IF(LEN(INDEX('Our policies'!$D$4:$D$503,_calc!$E$867))=0,"",INDEX('Our policies'!$D$4:$D$503,_calc!$E$867)))=0,"","Broker: "&amp;IF(LEN(INDEX('Our policies'!$D$4:$D$503,_calc!$E$867))=0,"",INDEX('Our policies'!$D$4:$D$503,_calc!$E$867))&amp;". ")&amp;IF(LEN(IF(LEN(INDEX('Our policies'!$E$4:$E$503,_calc!$E$867))=0,"",INDEX('Our policies'!$E$4:$E$503,_calc!$E$867)))=0,"","Policy no.: "&amp;IF(LEN(INDEX('Our policies'!$E$4:$E$503,_calc!$E$867))=0,"",INDEX('Our policies'!$E$4:$E$503,_calc!$E$867))&amp;". ")&amp;IF(LEN(IF(LEN(INDEX('Our policies'!$S$4:$S$503,_calc!$E$867))=0,"",INDEX('Our policies'!$S$4:$S$503,_calc!$E$867)))=0,"",IF(LEN(INDEX('Our policies'!$S$4:$S$503,_calc!$E$867))=0,"",INDEX('Our policies'!$S$4:$S$503,_calc!$E$867)))),TRIM(IF(LEN(IF(LEN(INDEX('Vendor COIs'!$C$4:$C$503,(_calc!$E$867-500)))=0,"",INDEX('Vendor COIs'!$C$4:$C$503,(_calc!$E$867-500))))=0,"","Insurer: "&amp;IF(LEN(INDEX('Vendor COIs'!$C$4:$C$503,(_calc!$E$867-500)))=0,"",INDEX('Vendor COIs'!$C$4:$C$503,(_calc!$E$867-500)))&amp;". ")&amp;IF(LEN(IF(LEN(INDEX('Vendor COIs'!$D$4:$D$503,(_calc!$E$867-500)))=0,"",INDEX('Vendor COIs'!$D$4:$D$503,(_calc!$E$867-500))))=0,"","Policy no.: "&amp;IF(LEN(INDEX('Vendor COIs'!$D$4:$D$503,(_calc!$E$867-500)))=0,"",INDEX('Vendor COIs'!$D$4:$D$503,(_calc!$E$867-500)))&amp;". ")&amp;IF(LEN(IF(LEN(INDEX('Vendor COIs'!$F$4:$F$503,(_calc!$E$867-500)))=0,"",INDEX('Vendor COIs'!$F$4:$F$503,(_calc!$E$867-500))))=0,"","Meets minimum: "&amp;IF(LEN(INDEX('Vendor COIs'!$F$4:$F$503,(_calc!$E$867-500)))=0,"",INDEX('Vendor COIs'!$F$4:$F$503,(_calc!$E$867-500)))&amp;". ")&amp;IF(LEN(IF(LEN(INDEX('Vendor COIs'!$G$4:$G$503,(_calc!$E$867-500)))=0,"",INDEX('Vendor COIs'!$G$4:$G$503,(_calc!$E$867-500))))=0,"","Additional insured: "&amp;IF(LEN(INDEX('Vendor COIs'!$G$4:$G$503,(_calc!$E$867-500)))=0,"",INDEX('Vendor COIs'!$G$4:$G$503,(_calc!$E$867-500)))&amp;". ")&amp;IF(LEN(IF(LEN(INDEX('Vendor COIs'!$M$4:$M$503,(_calc!$E$867-500)))=0,"",INDEX('Vendor COIs'!$M$4:$M$503,(_calc!$E$867-500))))=0,"","Vendor contact: "&amp;IF(LEN(INDEX('Vendor COIs'!$M$4:$M$503,(_calc!$E$867-500)))=0,"",INDEX('Vendor COIs'!$M$4:$M$503,(_calc!$E$867-500)))&amp;". ")&amp;IF(LEN(IF(LEN(INDEX('Vendor COIs'!$P$4:$P$503,(_calc!$E$867-500)))=0,"",INDEX('Vendor COIs'!$P$4:$P$503,(_calc!$E$867-500))))=0,"",IF(LEN(INDEX('Vendor COIs'!$P$4:$P$503,(_calc!$E$867-500)))=0,"",INDEX('Vendor COIs'!$P$4:$P$503,(_calc!$E$867-500)))))))</f>
        <v/>
      </c>
      <c r="G865" s="46">
        <f>IF(_calc!$E$867="","",IF(_calc!$E$867&lt;=500,IF(LEN(INDEX('Our policies'!$R$4:$R$503,_calc!$E$867))=0,"",INDEX('Our policies'!$R$4:$R$503,_calc!$E$867)),IF(LEN(INDEX('Vendor COIs'!$O$4:$O$503,(_calc!$E$867-500)))=0,"",INDEX('Vendor COIs'!$O$4:$O$503,(_calc!$E$867-500)))))</f>
        <v/>
      </c>
      <c r="H865" s="46">
        <f>IF(_calc!$E$867="","",IF(_calc!$E$867&lt;=500,IF(LEN(INDEX('Our policies'!$G$4:$G$503,_calc!$E$867))=0,"",INDEX('Our policies'!$G$4:$G$503,_calc!$E$867)),""))</f>
        <v/>
      </c>
      <c r="I865" s="46">
        <f>IF(_calc!$E$867="","",IF(_calc!$E$867&lt;=500,IF(LEN(INDEX('Our policies'!$H$4:$H$503,_calc!$E$867))=0,"",INDEX('Our policies'!$H$4:$H$503,_calc!$E$867)),""))</f>
        <v/>
      </c>
      <c r="K865" s="46">
        <f>IF(_calc!$E$867="","",IF(_calc!$E$867&lt;=500,IF(LEN(INDEX('Our policies'!$P$4:$P$503,_calc!$E$867))=0,"",INDEX('Our policies'!$P$4:$P$503,_calc!$E$867)),IF(LEN(INDEX('Vendor COIs'!$N$4:$N$503,(_calc!$E$867-500)))=0,"",INDEX('Vendor COIs'!$N$4:$N$503,(_calc!$E$867-500)))))</f>
        <v/>
      </c>
    </row>
    <row r="866">
      <c r="A866" s="46">
        <f>IF(_calc!$E$868="","",IF(_calc!$E$868&lt;=500,IF(LEN(INDEX('Our policies'!$A$4:$A$503,_calc!$E$868))=0,"",INDEX('Our policies'!$A$4:$A$503,_calc!$E$868)),"COI – "&amp;IF(LEN(INDEX('Vendor COIs'!$A$4:$A$503,(_calc!$E$868-500)))=0,"",INDEX('Vendor COIs'!$A$4:$A$503,(_calc!$E$868-500)))&amp;" – "&amp;IF(LEN(INDEX('Vendor COIs'!$B$4:$B$503,(_calc!$E$868-500)))=0,"",INDEX('Vendor COIs'!$B$4:$B$503,(_calc!$E$868-500)))))</f>
        <v/>
      </c>
      <c r="B866" s="46">
        <f>IF(_calc!$E$868="","",IF(_calc!$E$868&lt;=500,IF(ISNUMBER(INDEX('Our policies'!$J$4:$J$503,_calc!$E$868)),TEXT(INDEX('Our policies'!$J$4:$J$503,_calc!$E$868),"yyyy-mm-dd"),""),IF(ISNUMBER(INDEX('Vendor COIs'!$H$4:$H$503,(_calc!$E$868-500))),TEXT(INDEX('Vendor COIs'!$H$4:$H$503,(_calc!$E$868-500)),"yyyy-mm-dd"),"")))</f>
        <v/>
      </c>
      <c r="C866" s="46">
        <f>IF(_calc!$E$868="","",IF(_calc!$E$868&lt;=500,"Insurance","Certificate of insurance"))</f>
        <v/>
      </c>
      <c r="D866" s="46">
        <f>IF(_calc!$E$868="","",IF(_calc!$E$868&lt;=500,IF(ISNUMBER(INDEX('Our policies'!$I$4:$I$503,_calc!$E$868)),TEXT(INDEX('Our policies'!$I$4:$I$503,_calc!$E$868),"yyyy-mm-dd"),""),""))</f>
        <v/>
      </c>
      <c r="E866" s="46">
        <f>IF(_calc!$E$868="","",IF(_calc!$E$868&lt;=500,IF(LEN(INDEX('Our policies'!$Q$4:$Q$503,_calc!$E$868))=0,"",INDEX('Our policies'!$Q$4:$Q$503,_calc!$E$868)),"Medium"))</f>
        <v/>
      </c>
      <c r="F866" s="46">
        <f>IF(_calc!$E$868="","",IF(_calc!$E$868&lt;=500,TRIM(IF(LEN(IF(LEN(INDEX('Our policies'!$B$4:$B$503,_calc!$E$868))=0,"",INDEX('Our policies'!$B$4:$B$503,_calc!$E$868)))=0,"","Cover: "&amp;IF(LEN(INDEX('Our policies'!$B$4:$B$503,_calc!$E$868))=0,"",INDEX('Our policies'!$B$4:$B$503,_calc!$E$868))&amp;". ")&amp;IF(LEN(IF(LEN(INDEX('Our policies'!$C$4:$C$503,_calc!$E$868))=0,"",INDEX('Our policies'!$C$4:$C$503,_calc!$E$868)))=0,"","Insurer: "&amp;IF(LEN(INDEX('Our policies'!$C$4:$C$503,_calc!$E$868))=0,"",INDEX('Our policies'!$C$4:$C$503,_calc!$E$868))&amp;". ")&amp;IF(LEN(IF(LEN(INDEX('Our policies'!$D$4:$D$503,_calc!$E$868))=0,"",INDEX('Our policies'!$D$4:$D$503,_calc!$E$868)))=0,"","Broker: "&amp;IF(LEN(INDEX('Our policies'!$D$4:$D$503,_calc!$E$868))=0,"",INDEX('Our policies'!$D$4:$D$503,_calc!$E$868))&amp;". ")&amp;IF(LEN(IF(LEN(INDEX('Our policies'!$E$4:$E$503,_calc!$E$868))=0,"",INDEX('Our policies'!$E$4:$E$503,_calc!$E$868)))=0,"","Policy no.: "&amp;IF(LEN(INDEX('Our policies'!$E$4:$E$503,_calc!$E$868))=0,"",INDEX('Our policies'!$E$4:$E$503,_calc!$E$868))&amp;". ")&amp;IF(LEN(IF(LEN(INDEX('Our policies'!$S$4:$S$503,_calc!$E$868))=0,"",INDEX('Our policies'!$S$4:$S$503,_calc!$E$868)))=0,"",IF(LEN(INDEX('Our policies'!$S$4:$S$503,_calc!$E$868))=0,"",INDEX('Our policies'!$S$4:$S$503,_calc!$E$868)))),TRIM(IF(LEN(IF(LEN(INDEX('Vendor COIs'!$C$4:$C$503,(_calc!$E$868-500)))=0,"",INDEX('Vendor COIs'!$C$4:$C$503,(_calc!$E$868-500))))=0,"","Insurer: "&amp;IF(LEN(INDEX('Vendor COIs'!$C$4:$C$503,(_calc!$E$868-500)))=0,"",INDEX('Vendor COIs'!$C$4:$C$503,(_calc!$E$868-500)))&amp;". ")&amp;IF(LEN(IF(LEN(INDEX('Vendor COIs'!$D$4:$D$503,(_calc!$E$868-500)))=0,"",INDEX('Vendor COIs'!$D$4:$D$503,(_calc!$E$868-500))))=0,"","Policy no.: "&amp;IF(LEN(INDEX('Vendor COIs'!$D$4:$D$503,(_calc!$E$868-500)))=0,"",INDEX('Vendor COIs'!$D$4:$D$503,(_calc!$E$868-500)))&amp;". ")&amp;IF(LEN(IF(LEN(INDEX('Vendor COIs'!$F$4:$F$503,(_calc!$E$868-500)))=0,"",INDEX('Vendor COIs'!$F$4:$F$503,(_calc!$E$868-500))))=0,"","Meets minimum: "&amp;IF(LEN(INDEX('Vendor COIs'!$F$4:$F$503,(_calc!$E$868-500)))=0,"",INDEX('Vendor COIs'!$F$4:$F$503,(_calc!$E$868-500)))&amp;". ")&amp;IF(LEN(IF(LEN(INDEX('Vendor COIs'!$G$4:$G$503,(_calc!$E$868-500)))=0,"",INDEX('Vendor COIs'!$G$4:$G$503,(_calc!$E$868-500))))=0,"","Additional insured: "&amp;IF(LEN(INDEX('Vendor COIs'!$G$4:$G$503,(_calc!$E$868-500)))=0,"",INDEX('Vendor COIs'!$G$4:$G$503,(_calc!$E$868-500)))&amp;". ")&amp;IF(LEN(IF(LEN(INDEX('Vendor COIs'!$M$4:$M$503,(_calc!$E$868-500)))=0,"",INDEX('Vendor COIs'!$M$4:$M$503,(_calc!$E$868-500))))=0,"","Vendor contact: "&amp;IF(LEN(INDEX('Vendor COIs'!$M$4:$M$503,(_calc!$E$868-500)))=0,"",INDEX('Vendor COIs'!$M$4:$M$503,(_calc!$E$868-500)))&amp;". ")&amp;IF(LEN(IF(LEN(INDEX('Vendor COIs'!$P$4:$P$503,(_calc!$E$868-500)))=0,"",INDEX('Vendor COIs'!$P$4:$P$503,(_calc!$E$868-500))))=0,"",IF(LEN(INDEX('Vendor COIs'!$P$4:$P$503,(_calc!$E$868-500)))=0,"",INDEX('Vendor COIs'!$P$4:$P$503,(_calc!$E$868-500)))))))</f>
        <v/>
      </c>
      <c r="G866" s="46">
        <f>IF(_calc!$E$868="","",IF(_calc!$E$868&lt;=500,IF(LEN(INDEX('Our policies'!$R$4:$R$503,_calc!$E$868))=0,"",INDEX('Our policies'!$R$4:$R$503,_calc!$E$868)),IF(LEN(INDEX('Vendor COIs'!$O$4:$O$503,(_calc!$E$868-500)))=0,"",INDEX('Vendor COIs'!$O$4:$O$503,(_calc!$E$868-500)))))</f>
        <v/>
      </c>
      <c r="H866" s="46">
        <f>IF(_calc!$E$868="","",IF(_calc!$E$868&lt;=500,IF(LEN(INDEX('Our policies'!$G$4:$G$503,_calc!$E$868))=0,"",INDEX('Our policies'!$G$4:$G$503,_calc!$E$868)),""))</f>
        <v/>
      </c>
      <c r="I866" s="46">
        <f>IF(_calc!$E$868="","",IF(_calc!$E$868&lt;=500,IF(LEN(INDEX('Our policies'!$H$4:$H$503,_calc!$E$868))=0,"",INDEX('Our policies'!$H$4:$H$503,_calc!$E$868)),""))</f>
        <v/>
      </c>
      <c r="K866" s="46">
        <f>IF(_calc!$E$868="","",IF(_calc!$E$868&lt;=500,IF(LEN(INDEX('Our policies'!$P$4:$P$503,_calc!$E$868))=0,"",INDEX('Our policies'!$P$4:$P$503,_calc!$E$868)),IF(LEN(INDEX('Vendor COIs'!$N$4:$N$503,(_calc!$E$868-500)))=0,"",INDEX('Vendor COIs'!$N$4:$N$503,(_calc!$E$868-500)))))</f>
        <v/>
      </c>
    </row>
    <row r="867">
      <c r="A867" s="46">
        <f>IF(_calc!$E$869="","",IF(_calc!$E$869&lt;=500,IF(LEN(INDEX('Our policies'!$A$4:$A$503,_calc!$E$869))=0,"",INDEX('Our policies'!$A$4:$A$503,_calc!$E$869)),"COI – "&amp;IF(LEN(INDEX('Vendor COIs'!$A$4:$A$503,(_calc!$E$869-500)))=0,"",INDEX('Vendor COIs'!$A$4:$A$503,(_calc!$E$869-500)))&amp;" – "&amp;IF(LEN(INDEX('Vendor COIs'!$B$4:$B$503,(_calc!$E$869-500)))=0,"",INDEX('Vendor COIs'!$B$4:$B$503,(_calc!$E$869-500)))))</f>
        <v/>
      </c>
      <c r="B867" s="46">
        <f>IF(_calc!$E$869="","",IF(_calc!$E$869&lt;=500,IF(ISNUMBER(INDEX('Our policies'!$J$4:$J$503,_calc!$E$869)),TEXT(INDEX('Our policies'!$J$4:$J$503,_calc!$E$869),"yyyy-mm-dd"),""),IF(ISNUMBER(INDEX('Vendor COIs'!$H$4:$H$503,(_calc!$E$869-500))),TEXT(INDEX('Vendor COIs'!$H$4:$H$503,(_calc!$E$869-500)),"yyyy-mm-dd"),"")))</f>
        <v/>
      </c>
      <c r="C867" s="46">
        <f>IF(_calc!$E$869="","",IF(_calc!$E$869&lt;=500,"Insurance","Certificate of insurance"))</f>
        <v/>
      </c>
      <c r="D867" s="46">
        <f>IF(_calc!$E$869="","",IF(_calc!$E$869&lt;=500,IF(ISNUMBER(INDEX('Our policies'!$I$4:$I$503,_calc!$E$869)),TEXT(INDEX('Our policies'!$I$4:$I$503,_calc!$E$869),"yyyy-mm-dd"),""),""))</f>
        <v/>
      </c>
      <c r="E867" s="46">
        <f>IF(_calc!$E$869="","",IF(_calc!$E$869&lt;=500,IF(LEN(INDEX('Our policies'!$Q$4:$Q$503,_calc!$E$869))=0,"",INDEX('Our policies'!$Q$4:$Q$503,_calc!$E$869)),"Medium"))</f>
        <v/>
      </c>
      <c r="F867" s="46">
        <f>IF(_calc!$E$869="","",IF(_calc!$E$869&lt;=500,TRIM(IF(LEN(IF(LEN(INDEX('Our policies'!$B$4:$B$503,_calc!$E$869))=0,"",INDEX('Our policies'!$B$4:$B$503,_calc!$E$869)))=0,"","Cover: "&amp;IF(LEN(INDEX('Our policies'!$B$4:$B$503,_calc!$E$869))=0,"",INDEX('Our policies'!$B$4:$B$503,_calc!$E$869))&amp;". ")&amp;IF(LEN(IF(LEN(INDEX('Our policies'!$C$4:$C$503,_calc!$E$869))=0,"",INDEX('Our policies'!$C$4:$C$503,_calc!$E$869)))=0,"","Insurer: "&amp;IF(LEN(INDEX('Our policies'!$C$4:$C$503,_calc!$E$869))=0,"",INDEX('Our policies'!$C$4:$C$503,_calc!$E$869))&amp;". ")&amp;IF(LEN(IF(LEN(INDEX('Our policies'!$D$4:$D$503,_calc!$E$869))=0,"",INDEX('Our policies'!$D$4:$D$503,_calc!$E$869)))=0,"","Broker: "&amp;IF(LEN(INDEX('Our policies'!$D$4:$D$503,_calc!$E$869))=0,"",INDEX('Our policies'!$D$4:$D$503,_calc!$E$869))&amp;". ")&amp;IF(LEN(IF(LEN(INDEX('Our policies'!$E$4:$E$503,_calc!$E$869))=0,"",INDEX('Our policies'!$E$4:$E$503,_calc!$E$869)))=0,"","Policy no.: "&amp;IF(LEN(INDEX('Our policies'!$E$4:$E$503,_calc!$E$869))=0,"",INDEX('Our policies'!$E$4:$E$503,_calc!$E$869))&amp;". ")&amp;IF(LEN(IF(LEN(INDEX('Our policies'!$S$4:$S$503,_calc!$E$869))=0,"",INDEX('Our policies'!$S$4:$S$503,_calc!$E$869)))=0,"",IF(LEN(INDEX('Our policies'!$S$4:$S$503,_calc!$E$869))=0,"",INDEX('Our policies'!$S$4:$S$503,_calc!$E$869)))),TRIM(IF(LEN(IF(LEN(INDEX('Vendor COIs'!$C$4:$C$503,(_calc!$E$869-500)))=0,"",INDEX('Vendor COIs'!$C$4:$C$503,(_calc!$E$869-500))))=0,"","Insurer: "&amp;IF(LEN(INDEX('Vendor COIs'!$C$4:$C$503,(_calc!$E$869-500)))=0,"",INDEX('Vendor COIs'!$C$4:$C$503,(_calc!$E$869-500)))&amp;". ")&amp;IF(LEN(IF(LEN(INDEX('Vendor COIs'!$D$4:$D$503,(_calc!$E$869-500)))=0,"",INDEX('Vendor COIs'!$D$4:$D$503,(_calc!$E$869-500))))=0,"","Policy no.: "&amp;IF(LEN(INDEX('Vendor COIs'!$D$4:$D$503,(_calc!$E$869-500)))=0,"",INDEX('Vendor COIs'!$D$4:$D$503,(_calc!$E$869-500)))&amp;". ")&amp;IF(LEN(IF(LEN(INDEX('Vendor COIs'!$F$4:$F$503,(_calc!$E$869-500)))=0,"",INDEX('Vendor COIs'!$F$4:$F$503,(_calc!$E$869-500))))=0,"","Meets minimum: "&amp;IF(LEN(INDEX('Vendor COIs'!$F$4:$F$503,(_calc!$E$869-500)))=0,"",INDEX('Vendor COIs'!$F$4:$F$503,(_calc!$E$869-500)))&amp;". ")&amp;IF(LEN(IF(LEN(INDEX('Vendor COIs'!$G$4:$G$503,(_calc!$E$869-500)))=0,"",INDEX('Vendor COIs'!$G$4:$G$503,(_calc!$E$869-500))))=0,"","Additional insured: "&amp;IF(LEN(INDEX('Vendor COIs'!$G$4:$G$503,(_calc!$E$869-500)))=0,"",INDEX('Vendor COIs'!$G$4:$G$503,(_calc!$E$869-500)))&amp;". ")&amp;IF(LEN(IF(LEN(INDEX('Vendor COIs'!$M$4:$M$503,(_calc!$E$869-500)))=0,"",INDEX('Vendor COIs'!$M$4:$M$503,(_calc!$E$869-500))))=0,"","Vendor contact: "&amp;IF(LEN(INDEX('Vendor COIs'!$M$4:$M$503,(_calc!$E$869-500)))=0,"",INDEX('Vendor COIs'!$M$4:$M$503,(_calc!$E$869-500)))&amp;". ")&amp;IF(LEN(IF(LEN(INDEX('Vendor COIs'!$P$4:$P$503,(_calc!$E$869-500)))=0,"",INDEX('Vendor COIs'!$P$4:$P$503,(_calc!$E$869-500))))=0,"",IF(LEN(INDEX('Vendor COIs'!$P$4:$P$503,(_calc!$E$869-500)))=0,"",INDEX('Vendor COIs'!$P$4:$P$503,(_calc!$E$869-500)))))))</f>
        <v/>
      </c>
      <c r="G867" s="46">
        <f>IF(_calc!$E$869="","",IF(_calc!$E$869&lt;=500,IF(LEN(INDEX('Our policies'!$R$4:$R$503,_calc!$E$869))=0,"",INDEX('Our policies'!$R$4:$R$503,_calc!$E$869)),IF(LEN(INDEX('Vendor COIs'!$O$4:$O$503,(_calc!$E$869-500)))=0,"",INDEX('Vendor COIs'!$O$4:$O$503,(_calc!$E$869-500)))))</f>
        <v/>
      </c>
      <c r="H867" s="46">
        <f>IF(_calc!$E$869="","",IF(_calc!$E$869&lt;=500,IF(LEN(INDEX('Our policies'!$G$4:$G$503,_calc!$E$869))=0,"",INDEX('Our policies'!$G$4:$G$503,_calc!$E$869)),""))</f>
        <v/>
      </c>
      <c r="I867" s="46">
        <f>IF(_calc!$E$869="","",IF(_calc!$E$869&lt;=500,IF(LEN(INDEX('Our policies'!$H$4:$H$503,_calc!$E$869))=0,"",INDEX('Our policies'!$H$4:$H$503,_calc!$E$869)),""))</f>
        <v/>
      </c>
      <c r="K867" s="46">
        <f>IF(_calc!$E$869="","",IF(_calc!$E$869&lt;=500,IF(LEN(INDEX('Our policies'!$P$4:$P$503,_calc!$E$869))=0,"",INDEX('Our policies'!$P$4:$P$503,_calc!$E$869)),IF(LEN(INDEX('Vendor COIs'!$N$4:$N$503,(_calc!$E$869-500)))=0,"",INDEX('Vendor COIs'!$N$4:$N$503,(_calc!$E$869-500)))))</f>
        <v/>
      </c>
    </row>
    <row r="868">
      <c r="A868" s="46">
        <f>IF(_calc!$E$870="","",IF(_calc!$E$870&lt;=500,IF(LEN(INDEX('Our policies'!$A$4:$A$503,_calc!$E$870))=0,"",INDEX('Our policies'!$A$4:$A$503,_calc!$E$870)),"COI – "&amp;IF(LEN(INDEX('Vendor COIs'!$A$4:$A$503,(_calc!$E$870-500)))=0,"",INDEX('Vendor COIs'!$A$4:$A$503,(_calc!$E$870-500)))&amp;" – "&amp;IF(LEN(INDEX('Vendor COIs'!$B$4:$B$503,(_calc!$E$870-500)))=0,"",INDEX('Vendor COIs'!$B$4:$B$503,(_calc!$E$870-500)))))</f>
        <v/>
      </c>
      <c r="B868" s="46">
        <f>IF(_calc!$E$870="","",IF(_calc!$E$870&lt;=500,IF(ISNUMBER(INDEX('Our policies'!$J$4:$J$503,_calc!$E$870)),TEXT(INDEX('Our policies'!$J$4:$J$503,_calc!$E$870),"yyyy-mm-dd"),""),IF(ISNUMBER(INDEX('Vendor COIs'!$H$4:$H$503,(_calc!$E$870-500))),TEXT(INDEX('Vendor COIs'!$H$4:$H$503,(_calc!$E$870-500)),"yyyy-mm-dd"),"")))</f>
        <v/>
      </c>
      <c r="C868" s="46">
        <f>IF(_calc!$E$870="","",IF(_calc!$E$870&lt;=500,"Insurance","Certificate of insurance"))</f>
        <v/>
      </c>
      <c r="D868" s="46">
        <f>IF(_calc!$E$870="","",IF(_calc!$E$870&lt;=500,IF(ISNUMBER(INDEX('Our policies'!$I$4:$I$503,_calc!$E$870)),TEXT(INDEX('Our policies'!$I$4:$I$503,_calc!$E$870),"yyyy-mm-dd"),""),""))</f>
        <v/>
      </c>
      <c r="E868" s="46">
        <f>IF(_calc!$E$870="","",IF(_calc!$E$870&lt;=500,IF(LEN(INDEX('Our policies'!$Q$4:$Q$503,_calc!$E$870))=0,"",INDEX('Our policies'!$Q$4:$Q$503,_calc!$E$870)),"Medium"))</f>
        <v/>
      </c>
      <c r="F868" s="46">
        <f>IF(_calc!$E$870="","",IF(_calc!$E$870&lt;=500,TRIM(IF(LEN(IF(LEN(INDEX('Our policies'!$B$4:$B$503,_calc!$E$870))=0,"",INDEX('Our policies'!$B$4:$B$503,_calc!$E$870)))=0,"","Cover: "&amp;IF(LEN(INDEX('Our policies'!$B$4:$B$503,_calc!$E$870))=0,"",INDEX('Our policies'!$B$4:$B$503,_calc!$E$870))&amp;". ")&amp;IF(LEN(IF(LEN(INDEX('Our policies'!$C$4:$C$503,_calc!$E$870))=0,"",INDEX('Our policies'!$C$4:$C$503,_calc!$E$870)))=0,"","Insurer: "&amp;IF(LEN(INDEX('Our policies'!$C$4:$C$503,_calc!$E$870))=0,"",INDEX('Our policies'!$C$4:$C$503,_calc!$E$870))&amp;". ")&amp;IF(LEN(IF(LEN(INDEX('Our policies'!$D$4:$D$503,_calc!$E$870))=0,"",INDEX('Our policies'!$D$4:$D$503,_calc!$E$870)))=0,"","Broker: "&amp;IF(LEN(INDEX('Our policies'!$D$4:$D$503,_calc!$E$870))=0,"",INDEX('Our policies'!$D$4:$D$503,_calc!$E$870))&amp;". ")&amp;IF(LEN(IF(LEN(INDEX('Our policies'!$E$4:$E$503,_calc!$E$870))=0,"",INDEX('Our policies'!$E$4:$E$503,_calc!$E$870)))=0,"","Policy no.: "&amp;IF(LEN(INDEX('Our policies'!$E$4:$E$503,_calc!$E$870))=0,"",INDEX('Our policies'!$E$4:$E$503,_calc!$E$870))&amp;". ")&amp;IF(LEN(IF(LEN(INDEX('Our policies'!$S$4:$S$503,_calc!$E$870))=0,"",INDEX('Our policies'!$S$4:$S$503,_calc!$E$870)))=0,"",IF(LEN(INDEX('Our policies'!$S$4:$S$503,_calc!$E$870))=0,"",INDEX('Our policies'!$S$4:$S$503,_calc!$E$870)))),TRIM(IF(LEN(IF(LEN(INDEX('Vendor COIs'!$C$4:$C$503,(_calc!$E$870-500)))=0,"",INDEX('Vendor COIs'!$C$4:$C$503,(_calc!$E$870-500))))=0,"","Insurer: "&amp;IF(LEN(INDEX('Vendor COIs'!$C$4:$C$503,(_calc!$E$870-500)))=0,"",INDEX('Vendor COIs'!$C$4:$C$503,(_calc!$E$870-500)))&amp;". ")&amp;IF(LEN(IF(LEN(INDEX('Vendor COIs'!$D$4:$D$503,(_calc!$E$870-500)))=0,"",INDEX('Vendor COIs'!$D$4:$D$503,(_calc!$E$870-500))))=0,"","Policy no.: "&amp;IF(LEN(INDEX('Vendor COIs'!$D$4:$D$503,(_calc!$E$870-500)))=0,"",INDEX('Vendor COIs'!$D$4:$D$503,(_calc!$E$870-500)))&amp;". ")&amp;IF(LEN(IF(LEN(INDEX('Vendor COIs'!$F$4:$F$503,(_calc!$E$870-500)))=0,"",INDEX('Vendor COIs'!$F$4:$F$503,(_calc!$E$870-500))))=0,"","Meets minimum: "&amp;IF(LEN(INDEX('Vendor COIs'!$F$4:$F$503,(_calc!$E$870-500)))=0,"",INDEX('Vendor COIs'!$F$4:$F$503,(_calc!$E$870-500)))&amp;". ")&amp;IF(LEN(IF(LEN(INDEX('Vendor COIs'!$G$4:$G$503,(_calc!$E$870-500)))=0,"",INDEX('Vendor COIs'!$G$4:$G$503,(_calc!$E$870-500))))=0,"","Additional insured: "&amp;IF(LEN(INDEX('Vendor COIs'!$G$4:$G$503,(_calc!$E$870-500)))=0,"",INDEX('Vendor COIs'!$G$4:$G$503,(_calc!$E$870-500)))&amp;". ")&amp;IF(LEN(IF(LEN(INDEX('Vendor COIs'!$M$4:$M$503,(_calc!$E$870-500)))=0,"",INDEX('Vendor COIs'!$M$4:$M$503,(_calc!$E$870-500))))=0,"","Vendor contact: "&amp;IF(LEN(INDEX('Vendor COIs'!$M$4:$M$503,(_calc!$E$870-500)))=0,"",INDEX('Vendor COIs'!$M$4:$M$503,(_calc!$E$870-500)))&amp;". ")&amp;IF(LEN(IF(LEN(INDEX('Vendor COIs'!$P$4:$P$503,(_calc!$E$870-500)))=0,"",INDEX('Vendor COIs'!$P$4:$P$503,(_calc!$E$870-500))))=0,"",IF(LEN(INDEX('Vendor COIs'!$P$4:$P$503,(_calc!$E$870-500)))=0,"",INDEX('Vendor COIs'!$P$4:$P$503,(_calc!$E$870-500)))))))</f>
        <v/>
      </c>
      <c r="G868" s="46">
        <f>IF(_calc!$E$870="","",IF(_calc!$E$870&lt;=500,IF(LEN(INDEX('Our policies'!$R$4:$R$503,_calc!$E$870))=0,"",INDEX('Our policies'!$R$4:$R$503,_calc!$E$870)),IF(LEN(INDEX('Vendor COIs'!$O$4:$O$503,(_calc!$E$870-500)))=0,"",INDEX('Vendor COIs'!$O$4:$O$503,(_calc!$E$870-500)))))</f>
        <v/>
      </c>
      <c r="H868" s="46">
        <f>IF(_calc!$E$870="","",IF(_calc!$E$870&lt;=500,IF(LEN(INDEX('Our policies'!$G$4:$G$503,_calc!$E$870))=0,"",INDEX('Our policies'!$G$4:$G$503,_calc!$E$870)),""))</f>
        <v/>
      </c>
      <c r="I868" s="46">
        <f>IF(_calc!$E$870="","",IF(_calc!$E$870&lt;=500,IF(LEN(INDEX('Our policies'!$H$4:$H$503,_calc!$E$870))=0,"",INDEX('Our policies'!$H$4:$H$503,_calc!$E$870)),""))</f>
        <v/>
      </c>
      <c r="K868" s="46">
        <f>IF(_calc!$E$870="","",IF(_calc!$E$870&lt;=500,IF(LEN(INDEX('Our policies'!$P$4:$P$503,_calc!$E$870))=0,"",INDEX('Our policies'!$P$4:$P$503,_calc!$E$870)),IF(LEN(INDEX('Vendor COIs'!$N$4:$N$503,(_calc!$E$870-500)))=0,"",INDEX('Vendor COIs'!$N$4:$N$503,(_calc!$E$870-500)))))</f>
        <v/>
      </c>
    </row>
    <row r="869">
      <c r="A869" s="46">
        <f>IF(_calc!$E$871="","",IF(_calc!$E$871&lt;=500,IF(LEN(INDEX('Our policies'!$A$4:$A$503,_calc!$E$871))=0,"",INDEX('Our policies'!$A$4:$A$503,_calc!$E$871)),"COI – "&amp;IF(LEN(INDEX('Vendor COIs'!$A$4:$A$503,(_calc!$E$871-500)))=0,"",INDEX('Vendor COIs'!$A$4:$A$503,(_calc!$E$871-500)))&amp;" – "&amp;IF(LEN(INDEX('Vendor COIs'!$B$4:$B$503,(_calc!$E$871-500)))=0,"",INDEX('Vendor COIs'!$B$4:$B$503,(_calc!$E$871-500)))))</f>
        <v/>
      </c>
      <c r="B869" s="46">
        <f>IF(_calc!$E$871="","",IF(_calc!$E$871&lt;=500,IF(ISNUMBER(INDEX('Our policies'!$J$4:$J$503,_calc!$E$871)),TEXT(INDEX('Our policies'!$J$4:$J$503,_calc!$E$871),"yyyy-mm-dd"),""),IF(ISNUMBER(INDEX('Vendor COIs'!$H$4:$H$503,(_calc!$E$871-500))),TEXT(INDEX('Vendor COIs'!$H$4:$H$503,(_calc!$E$871-500)),"yyyy-mm-dd"),"")))</f>
        <v/>
      </c>
      <c r="C869" s="46">
        <f>IF(_calc!$E$871="","",IF(_calc!$E$871&lt;=500,"Insurance","Certificate of insurance"))</f>
        <v/>
      </c>
      <c r="D869" s="46">
        <f>IF(_calc!$E$871="","",IF(_calc!$E$871&lt;=500,IF(ISNUMBER(INDEX('Our policies'!$I$4:$I$503,_calc!$E$871)),TEXT(INDEX('Our policies'!$I$4:$I$503,_calc!$E$871),"yyyy-mm-dd"),""),""))</f>
        <v/>
      </c>
      <c r="E869" s="46">
        <f>IF(_calc!$E$871="","",IF(_calc!$E$871&lt;=500,IF(LEN(INDEX('Our policies'!$Q$4:$Q$503,_calc!$E$871))=0,"",INDEX('Our policies'!$Q$4:$Q$503,_calc!$E$871)),"Medium"))</f>
        <v/>
      </c>
      <c r="F869" s="46">
        <f>IF(_calc!$E$871="","",IF(_calc!$E$871&lt;=500,TRIM(IF(LEN(IF(LEN(INDEX('Our policies'!$B$4:$B$503,_calc!$E$871))=0,"",INDEX('Our policies'!$B$4:$B$503,_calc!$E$871)))=0,"","Cover: "&amp;IF(LEN(INDEX('Our policies'!$B$4:$B$503,_calc!$E$871))=0,"",INDEX('Our policies'!$B$4:$B$503,_calc!$E$871))&amp;". ")&amp;IF(LEN(IF(LEN(INDEX('Our policies'!$C$4:$C$503,_calc!$E$871))=0,"",INDEX('Our policies'!$C$4:$C$503,_calc!$E$871)))=0,"","Insurer: "&amp;IF(LEN(INDEX('Our policies'!$C$4:$C$503,_calc!$E$871))=0,"",INDEX('Our policies'!$C$4:$C$503,_calc!$E$871))&amp;". ")&amp;IF(LEN(IF(LEN(INDEX('Our policies'!$D$4:$D$503,_calc!$E$871))=0,"",INDEX('Our policies'!$D$4:$D$503,_calc!$E$871)))=0,"","Broker: "&amp;IF(LEN(INDEX('Our policies'!$D$4:$D$503,_calc!$E$871))=0,"",INDEX('Our policies'!$D$4:$D$503,_calc!$E$871))&amp;". ")&amp;IF(LEN(IF(LEN(INDEX('Our policies'!$E$4:$E$503,_calc!$E$871))=0,"",INDEX('Our policies'!$E$4:$E$503,_calc!$E$871)))=0,"","Policy no.: "&amp;IF(LEN(INDEX('Our policies'!$E$4:$E$503,_calc!$E$871))=0,"",INDEX('Our policies'!$E$4:$E$503,_calc!$E$871))&amp;". ")&amp;IF(LEN(IF(LEN(INDEX('Our policies'!$S$4:$S$503,_calc!$E$871))=0,"",INDEX('Our policies'!$S$4:$S$503,_calc!$E$871)))=0,"",IF(LEN(INDEX('Our policies'!$S$4:$S$503,_calc!$E$871))=0,"",INDEX('Our policies'!$S$4:$S$503,_calc!$E$871)))),TRIM(IF(LEN(IF(LEN(INDEX('Vendor COIs'!$C$4:$C$503,(_calc!$E$871-500)))=0,"",INDEX('Vendor COIs'!$C$4:$C$503,(_calc!$E$871-500))))=0,"","Insurer: "&amp;IF(LEN(INDEX('Vendor COIs'!$C$4:$C$503,(_calc!$E$871-500)))=0,"",INDEX('Vendor COIs'!$C$4:$C$503,(_calc!$E$871-500)))&amp;". ")&amp;IF(LEN(IF(LEN(INDEX('Vendor COIs'!$D$4:$D$503,(_calc!$E$871-500)))=0,"",INDEX('Vendor COIs'!$D$4:$D$503,(_calc!$E$871-500))))=0,"","Policy no.: "&amp;IF(LEN(INDEX('Vendor COIs'!$D$4:$D$503,(_calc!$E$871-500)))=0,"",INDEX('Vendor COIs'!$D$4:$D$503,(_calc!$E$871-500)))&amp;". ")&amp;IF(LEN(IF(LEN(INDEX('Vendor COIs'!$F$4:$F$503,(_calc!$E$871-500)))=0,"",INDEX('Vendor COIs'!$F$4:$F$503,(_calc!$E$871-500))))=0,"","Meets minimum: "&amp;IF(LEN(INDEX('Vendor COIs'!$F$4:$F$503,(_calc!$E$871-500)))=0,"",INDEX('Vendor COIs'!$F$4:$F$503,(_calc!$E$871-500)))&amp;". ")&amp;IF(LEN(IF(LEN(INDEX('Vendor COIs'!$G$4:$G$503,(_calc!$E$871-500)))=0,"",INDEX('Vendor COIs'!$G$4:$G$503,(_calc!$E$871-500))))=0,"","Additional insured: "&amp;IF(LEN(INDEX('Vendor COIs'!$G$4:$G$503,(_calc!$E$871-500)))=0,"",INDEX('Vendor COIs'!$G$4:$G$503,(_calc!$E$871-500)))&amp;". ")&amp;IF(LEN(IF(LEN(INDEX('Vendor COIs'!$M$4:$M$503,(_calc!$E$871-500)))=0,"",INDEX('Vendor COIs'!$M$4:$M$503,(_calc!$E$871-500))))=0,"","Vendor contact: "&amp;IF(LEN(INDEX('Vendor COIs'!$M$4:$M$503,(_calc!$E$871-500)))=0,"",INDEX('Vendor COIs'!$M$4:$M$503,(_calc!$E$871-500)))&amp;". ")&amp;IF(LEN(IF(LEN(INDEX('Vendor COIs'!$P$4:$P$503,(_calc!$E$871-500)))=0,"",INDEX('Vendor COIs'!$P$4:$P$503,(_calc!$E$871-500))))=0,"",IF(LEN(INDEX('Vendor COIs'!$P$4:$P$503,(_calc!$E$871-500)))=0,"",INDEX('Vendor COIs'!$P$4:$P$503,(_calc!$E$871-500)))))))</f>
        <v/>
      </c>
      <c r="G869" s="46">
        <f>IF(_calc!$E$871="","",IF(_calc!$E$871&lt;=500,IF(LEN(INDEX('Our policies'!$R$4:$R$503,_calc!$E$871))=0,"",INDEX('Our policies'!$R$4:$R$503,_calc!$E$871)),IF(LEN(INDEX('Vendor COIs'!$O$4:$O$503,(_calc!$E$871-500)))=0,"",INDEX('Vendor COIs'!$O$4:$O$503,(_calc!$E$871-500)))))</f>
        <v/>
      </c>
      <c r="H869" s="46">
        <f>IF(_calc!$E$871="","",IF(_calc!$E$871&lt;=500,IF(LEN(INDEX('Our policies'!$G$4:$G$503,_calc!$E$871))=0,"",INDEX('Our policies'!$G$4:$G$503,_calc!$E$871)),""))</f>
        <v/>
      </c>
      <c r="I869" s="46">
        <f>IF(_calc!$E$871="","",IF(_calc!$E$871&lt;=500,IF(LEN(INDEX('Our policies'!$H$4:$H$503,_calc!$E$871))=0,"",INDEX('Our policies'!$H$4:$H$503,_calc!$E$871)),""))</f>
        <v/>
      </c>
      <c r="K869" s="46">
        <f>IF(_calc!$E$871="","",IF(_calc!$E$871&lt;=500,IF(LEN(INDEX('Our policies'!$P$4:$P$503,_calc!$E$871))=0,"",INDEX('Our policies'!$P$4:$P$503,_calc!$E$871)),IF(LEN(INDEX('Vendor COIs'!$N$4:$N$503,(_calc!$E$871-500)))=0,"",INDEX('Vendor COIs'!$N$4:$N$503,(_calc!$E$871-500)))))</f>
        <v/>
      </c>
    </row>
    <row r="870">
      <c r="A870" s="46">
        <f>IF(_calc!$E$872="","",IF(_calc!$E$872&lt;=500,IF(LEN(INDEX('Our policies'!$A$4:$A$503,_calc!$E$872))=0,"",INDEX('Our policies'!$A$4:$A$503,_calc!$E$872)),"COI – "&amp;IF(LEN(INDEX('Vendor COIs'!$A$4:$A$503,(_calc!$E$872-500)))=0,"",INDEX('Vendor COIs'!$A$4:$A$503,(_calc!$E$872-500)))&amp;" – "&amp;IF(LEN(INDEX('Vendor COIs'!$B$4:$B$503,(_calc!$E$872-500)))=0,"",INDEX('Vendor COIs'!$B$4:$B$503,(_calc!$E$872-500)))))</f>
        <v/>
      </c>
      <c r="B870" s="46">
        <f>IF(_calc!$E$872="","",IF(_calc!$E$872&lt;=500,IF(ISNUMBER(INDEX('Our policies'!$J$4:$J$503,_calc!$E$872)),TEXT(INDEX('Our policies'!$J$4:$J$503,_calc!$E$872),"yyyy-mm-dd"),""),IF(ISNUMBER(INDEX('Vendor COIs'!$H$4:$H$503,(_calc!$E$872-500))),TEXT(INDEX('Vendor COIs'!$H$4:$H$503,(_calc!$E$872-500)),"yyyy-mm-dd"),"")))</f>
        <v/>
      </c>
      <c r="C870" s="46">
        <f>IF(_calc!$E$872="","",IF(_calc!$E$872&lt;=500,"Insurance","Certificate of insurance"))</f>
        <v/>
      </c>
      <c r="D870" s="46">
        <f>IF(_calc!$E$872="","",IF(_calc!$E$872&lt;=500,IF(ISNUMBER(INDEX('Our policies'!$I$4:$I$503,_calc!$E$872)),TEXT(INDEX('Our policies'!$I$4:$I$503,_calc!$E$872),"yyyy-mm-dd"),""),""))</f>
        <v/>
      </c>
      <c r="E870" s="46">
        <f>IF(_calc!$E$872="","",IF(_calc!$E$872&lt;=500,IF(LEN(INDEX('Our policies'!$Q$4:$Q$503,_calc!$E$872))=0,"",INDEX('Our policies'!$Q$4:$Q$503,_calc!$E$872)),"Medium"))</f>
        <v/>
      </c>
      <c r="F870" s="46">
        <f>IF(_calc!$E$872="","",IF(_calc!$E$872&lt;=500,TRIM(IF(LEN(IF(LEN(INDEX('Our policies'!$B$4:$B$503,_calc!$E$872))=0,"",INDEX('Our policies'!$B$4:$B$503,_calc!$E$872)))=0,"","Cover: "&amp;IF(LEN(INDEX('Our policies'!$B$4:$B$503,_calc!$E$872))=0,"",INDEX('Our policies'!$B$4:$B$503,_calc!$E$872))&amp;". ")&amp;IF(LEN(IF(LEN(INDEX('Our policies'!$C$4:$C$503,_calc!$E$872))=0,"",INDEX('Our policies'!$C$4:$C$503,_calc!$E$872)))=0,"","Insurer: "&amp;IF(LEN(INDEX('Our policies'!$C$4:$C$503,_calc!$E$872))=0,"",INDEX('Our policies'!$C$4:$C$503,_calc!$E$872))&amp;". ")&amp;IF(LEN(IF(LEN(INDEX('Our policies'!$D$4:$D$503,_calc!$E$872))=0,"",INDEX('Our policies'!$D$4:$D$503,_calc!$E$872)))=0,"","Broker: "&amp;IF(LEN(INDEX('Our policies'!$D$4:$D$503,_calc!$E$872))=0,"",INDEX('Our policies'!$D$4:$D$503,_calc!$E$872))&amp;". ")&amp;IF(LEN(IF(LEN(INDEX('Our policies'!$E$4:$E$503,_calc!$E$872))=0,"",INDEX('Our policies'!$E$4:$E$503,_calc!$E$872)))=0,"","Policy no.: "&amp;IF(LEN(INDEX('Our policies'!$E$4:$E$503,_calc!$E$872))=0,"",INDEX('Our policies'!$E$4:$E$503,_calc!$E$872))&amp;". ")&amp;IF(LEN(IF(LEN(INDEX('Our policies'!$S$4:$S$503,_calc!$E$872))=0,"",INDEX('Our policies'!$S$4:$S$503,_calc!$E$872)))=0,"",IF(LEN(INDEX('Our policies'!$S$4:$S$503,_calc!$E$872))=0,"",INDEX('Our policies'!$S$4:$S$503,_calc!$E$872)))),TRIM(IF(LEN(IF(LEN(INDEX('Vendor COIs'!$C$4:$C$503,(_calc!$E$872-500)))=0,"",INDEX('Vendor COIs'!$C$4:$C$503,(_calc!$E$872-500))))=0,"","Insurer: "&amp;IF(LEN(INDEX('Vendor COIs'!$C$4:$C$503,(_calc!$E$872-500)))=0,"",INDEX('Vendor COIs'!$C$4:$C$503,(_calc!$E$872-500)))&amp;". ")&amp;IF(LEN(IF(LEN(INDEX('Vendor COIs'!$D$4:$D$503,(_calc!$E$872-500)))=0,"",INDEX('Vendor COIs'!$D$4:$D$503,(_calc!$E$872-500))))=0,"","Policy no.: "&amp;IF(LEN(INDEX('Vendor COIs'!$D$4:$D$503,(_calc!$E$872-500)))=0,"",INDEX('Vendor COIs'!$D$4:$D$503,(_calc!$E$872-500)))&amp;". ")&amp;IF(LEN(IF(LEN(INDEX('Vendor COIs'!$F$4:$F$503,(_calc!$E$872-500)))=0,"",INDEX('Vendor COIs'!$F$4:$F$503,(_calc!$E$872-500))))=0,"","Meets minimum: "&amp;IF(LEN(INDEX('Vendor COIs'!$F$4:$F$503,(_calc!$E$872-500)))=0,"",INDEX('Vendor COIs'!$F$4:$F$503,(_calc!$E$872-500)))&amp;". ")&amp;IF(LEN(IF(LEN(INDEX('Vendor COIs'!$G$4:$G$503,(_calc!$E$872-500)))=0,"",INDEX('Vendor COIs'!$G$4:$G$503,(_calc!$E$872-500))))=0,"","Additional insured: "&amp;IF(LEN(INDEX('Vendor COIs'!$G$4:$G$503,(_calc!$E$872-500)))=0,"",INDEX('Vendor COIs'!$G$4:$G$503,(_calc!$E$872-500)))&amp;". ")&amp;IF(LEN(IF(LEN(INDEX('Vendor COIs'!$M$4:$M$503,(_calc!$E$872-500)))=0,"",INDEX('Vendor COIs'!$M$4:$M$503,(_calc!$E$872-500))))=0,"","Vendor contact: "&amp;IF(LEN(INDEX('Vendor COIs'!$M$4:$M$503,(_calc!$E$872-500)))=0,"",INDEX('Vendor COIs'!$M$4:$M$503,(_calc!$E$872-500)))&amp;". ")&amp;IF(LEN(IF(LEN(INDEX('Vendor COIs'!$P$4:$P$503,(_calc!$E$872-500)))=0,"",INDEX('Vendor COIs'!$P$4:$P$503,(_calc!$E$872-500))))=0,"",IF(LEN(INDEX('Vendor COIs'!$P$4:$P$503,(_calc!$E$872-500)))=0,"",INDEX('Vendor COIs'!$P$4:$P$503,(_calc!$E$872-500)))))))</f>
        <v/>
      </c>
      <c r="G870" s="46">
        <f>IF(_calc!$E$872="","",IF(_calc!$E$872&lt;=500,IF(LEN(INDEX('Our policies'!$R$4:$R$503,_calc!$E$872))=0,"",INDEX('Our policies'!$R$4:$R$503,_calc!$E$872)),IF(LEN(INDEX('Vendor COIs'!$O$4:$O$503,(_calc!$E$872-500)))=0,"",INDEX('Vendor COIs'!$O$4:$O$503,(_calc!$E$872-500)))))</f>
        <v/>
      </c>
      <c r="H870" s="46">
        <f>IF(_calc!$E$872="","",IF(_calc!$E$872&lt;=500,IF(LEN(INDEX('Our policies'!$G$4:$G$503,_calc!$E$872))=0,"",INDEX('Our policies'!$G$4:$G$503,_calc!$E$872)),""))</f>
        <v/>
      </c>
      <c r="I870" s="46">
        <f>IF(_calc!$E$872="","",IF(_calc!$E$872&lt;=500,IF(LEN(INDEX('Our policies'!$H$4:$H$503,_calc!$E$872))=0,"",INDEX('Our policies'!$H$4:$H$503,_calc!$E$872)),""))</f>
        <v/>
      </c>
      <c r="K870" s="46">
        <f>IF(_calc!$E$872="","",IF(_calc!$E$872&lt;=500,IF(LEN(INDEX('Our policies'!$P$4:$P$503,_calc!$E$872))=0,"",INDEX('Our policies'!$P$4:$P$503,_calc!$E$872)),IF(LEN(INDEX('Vendor COIs'!$N$4:$N$503,(_calc!$E$872-500)))=0,"",INDEX('Vendor COIs'!$N$4:$N$503,(_calc!$E$872-500)))))</f>
        <v/>
      </c>
    </row>
    <row r="871">
      <c r="A871" s="46">
        <f>IF(_calc!$E$873="","",IF(_calc!$E$873&lt;=500,IF(LEN(INDEX('Our policies'!$A$4:$A$503,_calc!$E$873))=0,"",INDEX('Our policies'!$A$4:$A$503,_calc!$E$873)),"COI – "&amp;IF(LEN(INDEX('Vendor COIs'!$A$4:$A$503,(_calc!$E$873-500)))=0,"",INDEX('Vendor COIs'!$A$4:$A$503,(_calc!$E$873-500)))&amp;" – "&amp;IF(LEN(INDEX('Vendor COIs'!$B$4:$B$503,(_calc!$E$873-500)))=0,"",INDEX('Vendor COIs'!$B$4:$B$503,(_calc!$E$873-500)))))</f>
        <v/>
      </c>
      <c r="B871" s="46">
        <f>IF(_calc!$E$873="","",IF(_calc!$E$873&lt;=500,IF(ISNUMBER(INDEX('Our policies'!$J$4:$J$503,_calc!$E$873)),TEXT(INDEX('Our policies'!$J$4:$J$503,_calc!$E$873),"yyyy-mm-dd"),""),IF(ISNUMBER(INDEX('Vendor COIs'!$H$4:$H$503,(_calc!$E$873-500))),TEXT(INDEX('Vendor COIs'!$H$4:$H$503,(_calc!$E$873-500)),"yyyy-mm-dd"),"")))</f>
        <v/>
      </c>
      <c r="C871" s="46">
        <f>IF(_calc!$E$873="","",IF(_calc!$E$873&lt;=500,"Insurance","Certificate of insurance"))</f>
        <v/>
      </c>
      <c r="D871" s="46">
        <f>IF(_calc!$E$873="","",IF(_calc!$E$873&lt;=500,IF(ISNUMBER(INDEX('Our policies'!$I$4:$I$503,_calc!$E$873)),TEXT(INDEX('Our policies'!$I$4:$I$503,_calc!$E$873),"yyyy-mm-dd"),""),""))</f>
        <v/>
      </c>
      <c r="E871" s="46">
        <f>IF(_calc!$E$873="","",IF(_calc!$E$873&lt;=500,IF(LEN(INDEX('Our policies'!$Q$4:$Q$503,_calc!$E$873))=0,"",INDEX('Our policies'!$Q$4:$Q$503,_calc!$E$873)),"Medium"))</f>
        <v/>
      </c>
      <c r="F871" s="46">
        <f>IF(_calc!$E$873="","",IF(_calc!$E$873&lt;=500,TRIM(IF(LEN(IF(LEN(INDEX('Our policies'!$B$4:$B$503,_calc!$E$873))=0,"",INDEX('Our policies'!$B$4:$B$503,_calc!$E$873)))=0,"","Cover: "&amp;IF(LEN(INDEX('Our policies'!$B$4:$B$503,_calc!$E$873))=0,"",INDEX('Our policies'!$B$4:$B$503,_calc!$E$873))&amp;". ")&amp;IF(LEN(IF(LEN(INDEX('Our policies'!$C$4:$C$503,_calc!$E$873))=0,"",INDEX('Our policies'!$C$4:$C$503,_calc!$E$873)))=0,"","Insurer: "&amp;IF(LEN(INDEX('Our policies'!$C$4:$C$503,_calc!$E$873))=0,"",INDEX('Our policies'!$C$4:$C$503,_calc!$E$873))&amp;". ")&amp;IF(LEN(IF(LEN(INDEX('Our policies'!$D$4:$D$503,_calc!$E$873))=0,"",INDEX('Our policies'!$D$4:$D$503,_calc!$E$873)))=0,"","Broker: "&amp;IF(LEN(INDEX('Our policies'!$D$4:$D$503,_calc!$E$873))=0,"",INDEX('Our policies'!$D$4:$D$503,_calc!$E$873))&amp;". ")&amp;IF(LEN(IF(LEN(INDEX('Our policies'!$E$4:$E$503,_calc!$E$873))=0,"",INDEX('Our policies'!$E$4:$E$503,_calc!$E$873)))=0,"","Policy no.: "&amp;IF(LEN(INDEX('Our policies'!$E$4:$E$503,_calc!$E$873))=0,"",INDEX('Our policies'!$E$4:$E$503,_calc!$E$873))&amp;". ")&amp;IF(LEN(IF(LEN(INDEX('Our policies'!$S$4:$S$503,_calc!$E$873))=0,"",INDEX('Our policies'!$S$4:$S$503,_calc!$E$873)))=0,"",IF(LEN(INDEX('Our policies'!$S$4:$S$503,_calc!$E$873))=0,"",INDEX('Our policies'!$S$4:$S$503,_calc!$E$873)))),TRIM(IF(LEN(IF(LEN(INDEX('Vendor COIs'!$C$4:$C$503,(_calc!$E$873-500)))=0,"",INDEX('Vendor COIs'!$C$4:$C$503,(_calc!$E$873-500))))=0,"","Insurer: "&amp;IF(LEN(INDEX('Vendor COIs'!$C$4:$C$503,(_calc!$E$873-500)))=0,"",INDEX('Vendor COIs'!$C$4:$C$503,(_calc!$E$873-500)))&amp;". ")&amp;IF(LEN(IF(LEN(INDEX('Vendor COIs'!$D$4:$D$503,(_calc!$E$873-500)))=0,"",INDEX('Vendor COIs'!$D$4:$D$503,(_calc!$E$873-500))))=0,"","Policy no.: "&amp;IF(LEN(INDEX('Vendor COIs'!$D$4:$D$503,(_calc!$E$873-500)))=0,"",INDEX('Vendor COIs'!$D$4:$D$503,(_calc!$E$873-500)))&amp;". ")&amp;IF(LEN(IF(LEN(INDEX('Vendor COIs'!$F$4:$F$503,(_calc!$E$873-500)))=0,"",INDEX('Vendor COIs'!$F$4:$F$503,(_calc!$E$873-500))))=0,"","Meets minimum: "&amp;IF(LEN(INDEX('Vendor COIs'!$F$4:$F$503,(_calc!$E$873-500)))=0,"",INDEX('Vendor COIs'!$F$4:$F$503,(_calc!$E$873-500)))&amp;". ")&amp;IF(LEN(IF(LEN(INDEX('Vendor COIs'!$G$4:$G$503,(_calc!$E$873-500)))=0,"",INDEX('Vendor COIs'!$G$4:$G$503,(_calc!$E$873-500))))=0,"","Additional insured: "&amp;IF(LEN(INDEX('Vendor COIs'!$G$4:$G$503,(_calc!$E$873-500)))=0,"",INDEX('Vendor COIs'!$G$4:$G$503,(_calc!$E$873-500)))&amp;". ")&amp;IF(LEN(IF(LEN(INDEX('Vendor COIs'!$M$4:$M$503,(_calc!$E$873-500)))=0,"",INDEX('Vendor COIs'!$M$4:$M$503,(_calc!$E$873-500))))=0,"","Vendor contact: "&amp;IF(LEN(INDEX('Vendor COIs'!$M$4:$M$503,(_calc!$E$873-500)))=0,"",INDEX('Vendor COIs'!$M$4:$M$503,(_calc!$E$873-500)))&amp;". ")&amp;IF(LEN(IF(LEN(INDEX('Vendor COIs'!$P$4:$P$503,(_calc!$E$873-500)))=0,"",INDEX('Vendor COIs'!$P$4:$P$503,(_calc!$E$873-500))))=0,"",IF(LEN(INDEX('Vendor COIs'!$P$4:$P$503,(_calc!$E$873-500)))=0,"",INDEX('Vendor COIs'!$P$4:$P$503,(_calc!$E$873-500)))))))</f>
        <v/>
      </c>
      <c r="G871" s="46">
        <f>IF(_calc!$E$873="","",IF(_calc!$E$873&lt;=500,IF(LEN(INDEX('Our policies'!$R$4:$R$503,_calc!$E$873))=0,"",INDEX('Our policies'!$R$4:$R$503,_calc!$E$873)),IF(LEN(INDEX('Vendor COIs'!$O$4:$O$503,(_calc!$E$873-500)))=0,"",INDEX('Vendor COIs'!$O$4:$O$503,(_calc!$E$873-500)))))</f>
        <v/>
      </c>
      <c r="H871" s="46">
        <f>IF(_calc!$E$873="","",IF(_calc!$E$873&lt;=500,IF(LEN(INDEX('Our policies'!$G$4:$G$503,_calc!$E$873))=0,"",INDEX('Our policies'!$G$4:$G$503,_calc!$E$873)),""))</f>
        <v/>
      </c>
      <c r="I871" s="46">
        <f>IF(_calc!$E$873="","",IF(_calc!$E$873&lt;=500,IF(LEN(INDEX('Our policies'!$H$4:$H$503,_calc!$E$873))=0,"",INDEX('Our policies'!$H$4:$H$503,_calc!$E$873)),""))</f>
        <v/>
      </c>
      <c r="K871" s="46">
        <f>IF(_calc!$E$873="","",IF(_calc!$E$873&lt;=500,IF(LEN(INDEX('Our policies'!$P$4:$P$503,_calc!$E$873))=0,"",INDEX('Our policies'!$P$4:$P$503,_calc!$E$873)),IF(LEN(INDEX('Vendor COIs'!$N$4:$N$503,(_calc!$E$873-500)))=0,"",INDEX('Vendor COIs'!$N$4:$N$503,(_calc!$E$873-500)))))</f>
        <v/>
      </c>
    </row>
    <row r="872">
      <c r="A872" s="46">
        <f>IF(_calc!$E$874="","",IF(_calc!$E$874&lt;=500,IF(LEN(INDEX('Our policies'!$A$4:$A$503,_calc!$E$874))=0,"",INDEX('Our policies'!$A$4:$A$503,_calc!$E$874)),"COI – "&amp;IF(LEN(INDEX('Vendor COIs'!$A$4:$A$503,(_calc!$E$874-500)))=0,"",INDEX('Vendor COIs'!$A$4:$A$503,(_calc!$E$874-500)))&amp;" – "&amp;IF(LEN(INDEX('Vendor COIs'!$B$4:$B$503,(_calc!$E$874-500)))=0,"",INDEX('Vendor COIs'!$B$4:$B$503,(_calc!$E$874-500)))))</f>
        <v/>
      </c>
      <c r="B872" s="46">
        <f>IF(_calc!$E$874="","",IF(_calc!$E$874&lt;=500,IF(ISNUMBER(INDEX('Our policies'!$J$4:$J$503,_calc!$E$874)),TEXT(INDEX('Our policies'!$J$4:$J$503,_calc!$E$874),"yyyy-mm-dd"),""),IF(ISNUMBER(INDEX('Vendor COIs'!$H$4:$H$503,(_calc!$E$874-500))),TEXT(INDEX('Vendor COIs'!$H$4:$H$503,(_calc!$E$874-500)),"yyyy-mm-dd"),"")))</f>
        <v/>
      </c>
      <c r="C872" s="46">
        <f>IF(_calc!$E$874="","",IF(_calc!$E$874&lt;=500,"Insurance","Certificate of insurance"))</f>
        <v/>
      </c>
      <c r="D872" s="46">
        <f>IF(_calc!$E$874="","",IF(_calc!$E$874&lt;=500,IF(ISNUMBER(INDEX('Our policies'!$I$4:$I$503,_calc!$E$874)),TEXT(INDEX('Our policies'!$I$4:$I$503,_calc!$E$874),"yyyy-mm-dd"),""),""))</f>
        <v/>
      </c>
      <c r="E872" s="46">
        <f>IF(_calc!$E$874="","",IF(_calc!$E$874&lt;=500,IF(LEN(INDEX('Our policies'!$Q$4:$Q$503,_calc!$E$874))=0,"",INDEX('Our policies'!$Q$4:$Q$503,_calc!$E$874)),"Medium"))</f>
        <v/>
      </c>
      <c r="F872" s="46">
        <f>IF(_calc!$E$874="","",IF(_calc!$E$874&lt;=500,TRIM(IF(LEN(IF(LEN(INDEX('Our policies'!$B$4:$B$503,_calc!$E$874))=0,"",INDEX('Our policies'!$B$4:$B$503,_calc!$E$874)))=0,"","Cover: "&amp;IF(LEN(INDEX('Our policies'!$B$4:$B$503,_calc!$E$874))=0,"",INDEX('Our policies'!$B$4:$B$503,_calc!$E$874))&amp;". ")&amp;IF(LEN(IF(LEN(INDEX('Our policies'!$C$4:$C$503,_calc!$E$874))=0,"",INDEX('Our policies'!$C$4:$C$503,_calc!$E$874)))=0,"","Insurer: "&amp;IF(LEN(INDEX('Our policies'!$C$4:$C$503,_calc!$E$874))=0,"",INDEX('Our policies'!$C$4:$C$503,_calc!$E$874))&amp;". ")&amp;IF(LEN(IF(LEN(INDEX('Our policies'!$D$4:$D$503,_calc!$E$874))=0,"",INDEX('Our policies'!$D$4:$D$503,_calc!$E$874)))=0,"","Broker: "&amp;IF(LEN(INDEX('Our policies'!$D$4:$D$503,_calc!$E$874))=0,"",INDEX('Our policies'!$D$4:$D$503,_calc!$E$874))&amp;". ")&amp;IF(LEN(IF(LEN(INDEX('Our policies'!$E$4:$E$503,_calc!$E$874))=0,"",INDEX('Our policies'!$E$4:$E$503,_calc!$E$874)))=0,"","Policy no.: "&amp;IF(LEN(INDEX('Our policies'!$E$4:$E$503,_calc!$E$874))=0,"",INDEX('Our policies'!$E$4:$E$503,_calc!$E$874))&amp;". ")&amp;IF(LEN(IF(LEN(INDEX('Our policies'!$S$4:$S$503,_calc!$E$874))=0,"",INDEX('Our policies'!$S$4:$S$503,_calc!$E$874)))=0,"",IF(LEN(INDEX('Our policies'!$S$4:$S$503,_calc!$E$874))=0,"",INDEX('Our policies'!$S$4:$S$503,_calc!$E$874)))),TRIM(IF(LEN(IF(LEN(INDEX('Vendor COIs'!$C$4:$C$503,(_calc!$E$874-500)))=0,"",INDEX('Vendor COIs'!$C$4:$C$503,(_calc!$E$874-500))))=0,"","Insurer: "&amp;IF(LEN(INDEX('Vendor COIs'!$C$4:$C$503,(_calc!$E$874-500)))=0,"",INDEX('Vendor COIs'!$C$4:$C$503,(_calc!$E$874-500)))&amp;". ")&amp;IF(LEN(IF(LEN(INDEX('Vendor COIs'!$D$4:$D$503,(_calc!$E$874-500)))=0,"",INDEX('Vendor COIs'!$D$4:$D$503,(_calc!$E$874-500))))=0,"","Policy no.: "&amp;IF(LEN(INDEX('Vendor COIs'!$D$4:$D$503,(_calc!$E$874-500)))=0,"",INDEX('Vendor COIs'!$D$4:$D$503,(_calc!$E$874-500)))&amp;". ")&amp;IF(LEN(IF(LEN(INDEX('Vendor COIs'!$F$4:$F$503,(_calc!$E$874-500)))=0,"",INDEX('Vendor COIs'!$F$4:$F$503,(_calc!$E$874-500))))=0,"","Meets minimum: "&amp;IF(LEN(INDEX('Vendor COIs'!$F$4:$F$503,(_calc!$E$874-500)))=0,"",INDEX('Vendor COIs'!$F$4:$F$503,(_calc!$E$874-500)))&amp;". ")&amp;IF(LEN(IF(LEN(INDEX('Vendor COIs'!$G$4:$G$503,(_calc!$E$874-500)))=0,"",INDEX('Vendor COIs'!$G$4:$G$503,(_calc!$E$874-500))))=0,"","Additional insured: "&amp;IF(LEN(INDEX('Vendor COIs'!$G$4:$G$503,(_calc!$E$874-500)))=0,"",INDEX('Vendor COIs'!$G$4:$G$503,(_calc!$E$874-500)))&amp;". ")&amp;IF(LEN(IF(LEN(INDEX('Vendor COIs'!$M$4:$M$503,(_calc!$E$874-500)))=0,"",INDEX('Vendor COIs'!$M$4:$M$503,(_calc!$E$874-500))))=0,"","Vendor contact: "&amp;IF(LEN(INDEX('Vendor COIs'!$M$4:$M$503,(_calc!$E$874-500)))=0,"",INDEX('Vendor COIs'!$M$4:$M$503,(_calc!$E$874-500)))&amp;". ")&amp;IF(LEN(IF(LEN(INDEX('Vendor COIs'!$P$4:$P$503,(_calc!$E$874-500)))=0,"",INDEX('Vendor COIs'!$P$4:$P$503,(_calc!$E$874-500))))=0,"",IF(LEN(INDEX('Vendor COIs'!$P$4:$P$503,(_calc!$E$874-500)))=0,"",INDEX('Vendor COIs'!$P$4:$P$503,(_calc!$E$874-500)))))))</f>
        <v/>
      </c>
      <c r="G872" s="46">
        <f>IF(_calc!$E$874="","",IF(_calc!$E$874&lt;=500,IF(LEN(INDEX('Our policies'!$R$4:$R$503,_calc!$E$874))=0,"",INDEX('Our policies'!$R$4:$R$503,_calc!$E$874)),IF(LEN(INDEX('Vendor COIs'!$O$4:$O$503,(_calc!$E$874-500)))=0,"",INDEX('Vendor COIs'!$O$4:$O$503,(_calc!$E$874-500)))))</f>
        <v/>
      </c>
      <c r="H872" s="46">
        <f>IF(_calc!$E$874="","",IF(_calc!$E$874&lt;=500,IF(LEN(INDEX('Our policies'!$G$4:$G$503,_calc!$E$874))=0,"",INDEX('Our policies'!$G$4:$G$503,_calc!$E$874)),""))</f>
        <v/>
      </c>
      <c r="I872" s="46">
        <f>IF(_calc!$E$874="","",IF(_calc!$E$874&lt;=500,IF(LEN(INDEX('Our policies'!$H$4:$H$503,_calc!$E$874))=0,"",INDEX('Our policies'!$H$4:$H$503,_calc!$E$874)),""))</f>
        <v/>
      </c>
      <c r="K872" s="46">
        <f>IF(_calc!$E$874="","",IF(_calc!$E$874&lt;=500,IF(LEN(INDEX('Our policies'!$P$4:$P$503,_calc!$E$874))=0,"",INDEX('Our policies'!$P$4:$P$503,_calc!$E$874)),IF(LEN(INDEX('Vendor COIs'!$N$4:$N$503,(_calc!$E$874-500)))=0,"",INDEX('Vendor COIs'!$N$4:$N$503,(_calc!$E$874-500)))))</f>
        <v/>
      </c>
    </row>
    <row r="873">
      <c r="A873" s="46">
        <f>IF(_calc!$E$875="","",IF(_calc!$E$875&lt;=500,IF(LEN(INDEX('Our policies'!$A$4:$A$503,_calc!$E$875))=0,"",INDEX('Our policies'!$A$4:$A$503,_calc!$E$875)),"COI – "&amp;IF(LEN(INDEX('Vendor COIs'!$A$4:$A$503,(_calc!$E$875-500)))=0,"",INDEX('Vendor COIs'!$A$4:$A$503,(_calc!$E$875-500)))&amp;" – "&amp;IF(LEN(INDEX('Vendor COIs'!$B$4:$B$503,(_calc!$E$875-500)))=0,"",INDEX('Vendor COIs'!$B$4:$B$503,(_calc!$E$875-500)))))</f>
        <v/>
      </c>
      <c r="B873" s="46">
        <f>IF(_calc!$E$875="","",IF(_calc!$E$875&lt;=500,IF(ISNUMBER(INDEX('Our policies'!$J$4:$J$503,_calc!$E$875)),TEXT(INDEX('Our policies'!$J$4:$J$503,_calc!$E$875),"yyyy-mm-dd"),""),IF(ISNUMBER(INDEX('Vendor COIs'!$H$4:$H$503,(_calc!$E$875-500))),TEXT(INDEX('Vendor COIs'!$H$4:$H$503,(_calc!$E$875-500)),"yyyy-mm-dd"),"")))</f>
        <v/>
      </c>
      <c r="C873" s="46">
        <f>IF(_calc!$E$875="","",IF(_calc!$E$875&lt;=500,"Insurance","Certificate of insurance"))</f>
        <v/>
      </c>
      <c r="D873" s="46">
        <f>IF(_calc!$E$875="","",IF(_calc!$E$875&lt;=500,IF(ISNUMBER(INDEX('Our policies'!$I$4:$I$503,_calc!$E$875)),TEXT(INDEX('Our policies'!$I$4:$I$503,_calc!$E$875),"yyyy-mm-dd"),""),""))</f>
        <v/>
      </c>
      <c r="E873" s="46">
        <f>IF(_calc!$E$875="","",IF(_calc!$E$875&lt;=500,IF(LEN(INDEX('Our policies'!$Q$4:$Q$503,_calc!$E$875))=0,"",INDEX('Our policies'!$Q$4:$Q$503,_calc!$E$875)),"Medium"))</f>
        <v/>
      </c>
      <c r="F873" s="46">
        <f>IF(_calc!$E$875="","",IF(_calc!$E$875&lt;=500,TRIM(IF(LEN(IF(LEN(INDEX('Our policies'!$B$4:$B$503,_calc!$E$875))=0,"",INDEX('Our policies'!$B$4:$B$503,_calc!$E$875)))=0,"","Cover: "&amp;IF(LEN(INDEX('Our policies'!$B$4:$B$503,_calc!$E$875))=0,"",INDEX('Our policies'!$B$4:$B$503,_calc!$E$875))&amp;". ")&amp;IF(LEN(IF(LEN(INDEX('Our policies'!$C$4:$C$503,_calc!$E$875))=0,"",INDEX('Our policies'!$C$4:$C$503,_calc!$E$875)))=0,"","Insurer: "&amp;IF(LEN(INDEX('Our policies'!$C$4:$C$503,_calc!$E$875))=0,"",INDEX('Our policies'!$C$4:$C$503,_calc!$E$875))&amp;". ")&amp;IF(LEN(IF(LEN(INDEX('Our policies'!$D$4:$D$503,_calc!$E$875))=0,"",INDEX('Our policies'!$D$4:$D$503,_calc!$E$875)))=0,"","Broker: "&amp;IF(LEN(INDEX('Our policies'!$D$4:$D$503,_calc!$E$875))=0,"",INDEX('Our policies'!$D$4:$D$503,_calc!$E$875))&amp;". ")&amp;IF(LEN(IF(LEN(INDEX('Our policies'!$E$4:$E$503,_calc!$E$875))=0,"",INDEX('Our policies'!$E$4:$E$503,_calc!$E$875)))=0,"","Policy no.: "&amp;IF(LEN(INDEX('Our policies'!$E$4:$E$503,_calc!$E$875))=0,"",INDEX('Our policies'!$E$4:$E$503,_calc!$E$875))&amp;". ")&amp;IF(LEN(IF(LEN(INDEX('Our policies'!$S$4:$S$503,_calc!$E$875))=0,"",INDEX('Our policies'!$S$4:$S$503,_calc!$E$875)))=0,"",IF(LEN(INDEX('Our policies'!$S$4:$S$503,_calc!$E$875))=0,"",INDEX('Our policies'!$S$4:$S$503,_calc!$E$875)))),TRIM(IF(LEN(IF(LEN(INDEX('Vendor COIs'!$C$4:$C$503,(_calc!$E$875-500)))=0,"",INDEX('Vendor COIs'!$C$4:$C$503,(_calc!$E$875-500))))=0,"","Insurer: "&amp;IF(LEN(INDEX('Vendor COIs'!$C$4:$C$503,(_calc!$E$875-500)))=0,"",INDEX('Vendor COIs'!$C$4:$C$503,(_calc!$E$875-500)))&amp;". ")&amp;IF(LEN(IF(LEN(INDEX('Vendor COIs'!$D$4:$D$503,(_calc!$E$875-500)))=0,"",INDEX('Vendor COIs'!$D$4:$D$503,(_calc!$E$875-500))))=0,"","Policy no.: "&amp;IF(LEN(INDEX('Vendor COIs'!$D$4:$D$503,(_calc!$E$875-500)))=0,"",INDEX('Vendor COIs'!$D$4:$D$503,(_calc!$E$875-500)))&amp;". ")&amp;IF(LEN(IF(LEN(INDEX('Vendor COIs'!$F$4:$F$503,(_calc!$E$875-500)))=0,"",INDEX('Vendor COIs'!$F$4:$F$503,(_calc!$E$875-500))))=0,"","Meets minimum: "&amp;IF(LEN(INDEX('Vendor COIs'!$F$4:$F$503,(_calc!$E$875-500)))=0,"",INDEX('Vendor COIs'!$F$4:$F$503,(_calc!$E$875-500)))&amp;". ")&amp;IF(LEN(IF(LEN(INDEX('Vendor COIs'!$G$4:$G$503,(_calc!$E$875-500)))=0,"",INDEX('Vendor COIs'!$G$4:$G$503,(_calc!$E$875-500))))=0,"","Additional insured: "&amp;IF(LEN(INDEX('Vendor COIs'!$G$4:$G$503,(_calc!$E$875-500)))=0,"",INDEX('Vendor COIs'!$G$4:$G$503,(_calc!$E$875-500)))&amp;". ")&amp;IF(LEN(IF(LEN(INDEX('Vendor COIs'!$M$4:$M$503,(_calc!$E$875-500)))=0,"",INDEX('Vendor COIs'!$M$4:$M$503,(_calc!$E$875-500))))=0,"","Vendor contact: "&amp;IF(LEN(INDEX('Vendor COIs'!$M$4:$M$503,(_calc!$E$875-500)))=0,"",INDEX('Vendor COIs'!$M$4:$M$503,(_calc!$E$875-500)))&amp;". ")&amp;IF(LEN(IF(LEN(INDEX('Vendor COIs'!$P$4:$P$503,(_calc!$E$875-500)))=0,"",INDEX('Vendor COIs'!$P$4:$P$503,(_calc!$E$875-500))))=0,"",IF(LEN(INDEX('Vendor COIs'!$P$4:$P$503,(_calc!$E$875-500)))=0,"",INDEX('Vendor COIs'!$P$4:$P$503,(_calc!$E$875-500)))))))</f>
        <v/>
      </c>
      <c r="G873" s="46">
        <f>IF(_calc!$E$875="","",IF(_calc!$E$875&lt;=500,IF(LEN(INDEX('Our policies'!$R$4:$R$503,_calc!$E$875))=0,"",INDEX('Our policies'!$R$4:$R$503,_calc!$E$875)),IF(LEN(INDEX('Vendor COIs'!$O$4:$O$503,(_calc!$E$875-500)))=0,"",INDEX('Vendor COIs'!$O$4:$O$503,(_calc!$E$875-500)))))</f>
        <v/>
      </c>
      <c r="H873" s="46">
        <f>IF(_calc!$E$875="","",IF(_calc!$E$875&lt;=500,IF(LEN(INDEX('Our policies'!$G$4:$G$503,_calc!$E$875))=0,"",INDEX('Our policies'!$G$4:$G$503,_calc!$E$875)),""))</f>
        <v/>
      </c>
      <c r="I873" s="46">
        <f>IF(_calc!$E$875="","",IF(_calc!$E$875&lt;=500,IF(LEN(INDEX('Our policies'!$H$4:$H$503,_calc!$E$875))=0,"",INDEX('Our policies'!$H$4:$H$503,_calc!$E$875)),""))</f>
        <v/>
      </c>
      <c r="K873" s="46">
        <f>IF(_calc!$E$875="","",IF(_calc!$E$875&lt;=500,IF(LEN(INDEX('Our policies'!$P$4:$P$503,_calc!$E$875))=0,"",INDEX('Our policies'!$P$4:$P$503,_calc!$E$875)),IF(LEN(INDEX('Vendor COIs'!$N$4:$N$503,(_calc!$E$875-500)))=0,"",INDEX('Vendor COIs'!$N$4:$N$503,(_calc!$E$875-500)))))</f>
        <v/>
      </c>
    </row>
    <row r="874">
      <c r="A874" s="46">
        <f>IF(_calc!$E$876="","",IF(_calc!$E$876&lt;=500,IF(LEN(INDEX('Our policies'!$A$4:$A$503,_calc!$E$876))=0,"",INDEX('Our policies'!$A$4:$A$503,_calc!$E$876)),"COI – "&amp;IF(LEN(INDEX('Vendor COIs'!$A$4:$A$503,(_calc!$E$876-500)))=0,"",INDEX('Vendor COIs'!$A$4:$A$503,(_calc!$E$876-500)))&amp;" – "&amp;IF(LEN(INDEX('Vendor COIs'!$B$4:$B$503,(_calc!$E$876-500)))=0,"",INDEX('Vendor COIs'!$B$4:$B$503,(_calc!$E$876-500)))))</f>
        <v/>
      </c>
      <c r="B874" s="46">
        <f>IF(_calc!$E$876="","",IF(_calc!$E$876&lt;=500,IF(ISNUMBER(INDEX('Our policies'!$J$4:$J$503,_calc!$E$876)),TEXT(INDEX('Our policies'!$J$4:$J$503,_calc!$E$876),"yyyy-mm-dd"),""),IF(ISNUMBER(INDEX('Vendor COIs'!$H$4:$H$503,(_calc!$E$876-500))),TEXT(INDEX('Vendor COIs'!$H$4:$H$503,(_calc!$E$876-500)),"yyyy-mm-dd"),"")))</f>
        <v/>
      </c>
      <c r="C874" s="46">
        <f>IF(_calc!$E$876="","",IF(_calc!$E$876&lt;=500,"Insurance","Certificate of insurance"))</f>
        <v/>
      </c>
      <c r="D874" s="46">
        <f>IF(_calc!$E$876="","",IF(_calc!$E$876&lt;=500,IF(ISNUMBER(INDEX('Our policies'!$I$4:$I$503,_calc!$E$876)),TEXT(INDEX('Our policies'!$I$4:$I$503,_calc!$E$876),"yyyy-mm-dd"),""),""))</f>
        <v/>
      </c>
      <c r="E874" s="46">
        <f>IF(_calc!$E$876="","",IF(_calc!$E$876&lt;=500,IF(LEN(INDEX('Our policies'!$Q$4:$Q$503,_calc!$E$876))=0,"",INDEX('Our policies'!$Q$4:$Q$503,_calc!$E$876)),"Medium"))</f>
        <v/>
      </c>
      <c r="F874" s="46">
        <f>IF(_calc!$E$876="","",IF(_calc!$E$876&lt;=500,TRIM(IF(LEN(IF(LEN(INDEX('Our policies'!$B$4:$B$503,_calc!$E$876))=0,"",INDEX('Our policies'!$B$4:$B$503,_calc!$E$876)))=0,"","Cover: "&amp;IF(LEN(INDEX('Our policies'!$B$4:$B$503,_calc!$E$876))=0,"",INDEX('Our policies'!$B$4:$B$503,_calc!$E$876))&amp;". ")&amp;IF(LEN(IF(LEN(INDEX('Our policies'!$C$4:$C$503,_calc!$E$876))=0,"",INDEX('Our policies'!$C$4:$C$503,_calc!$E$876)))=0,"","Insurer: "&amp;IF(LEN(INDEX('Our policies'!$C$4:$C$503,_calc!$E$876))=0,"",INDEX('Our policies'!$C$4:$C$503,_calc!$E$876))&amp;". ")&amp;IF(LEN(IF(LEN(INDEX('Our policies'!$D$4:$D$503,_calc!$E$876))=0,"",INDEX('Our policies'!$D$4:$D$503,_calc!$E$876)))=0,"","Broker: "&amp;IF(LEN(INDEX('Our policies'!$D$4:$D$503,_calc!$E$876))=0,"",INDEX('Our policies'!$D$4:$D$503,_calc!$E$876))&amp;". ")&amp;IF(LEN(IF(LEN(INDEX('Our policies'!$E$4:$E$503,_calc!$E$876))=0,"",INDEX('Our policies'!$E$4:$E$503,_calc!$E$876)))=0,"","Policy no.: "&amp;IF(LEN(INDEX('Our policies'!$E$4:$E$503,_calc!$E$876))=0,"",INDEX('Our policies'!$E$4:$E$503,_calc!$E$876))&amp;". ")&amp;IF(LEN(IF(LEN(INDEX('Our policies'!$S$4:$S$503,_calc!$E$876))=0,"",INDEX('Our policies'!$S$4:$S$503,_calc!$E$876)))=0,"",IF(LEN(INDEX('Our policies'!$S$4:$S$503,_calc!$E$876))=0,"",INDEX('Our policies'!$S$4:$S$503,_calc!$E$876)))),TRIM(IF(LEN(IF(LEN(INDEX('Vendor COIs'!$C$4:$C$503,(_calc!$E$876-500)))=0,"",INDEX('Vendor COIs'!$C$4:$C$503,(_calc!$E$876-500))))=0,"","Insurer: "&amp;IF(LEN(INDEX('Vendor COIs'!$C$4:$C$503,(_calc!$E$876-500)))=0,"",INDEX('Vendor COIs'!$C$4:$C$503,(_calc!$E$876-500)))&amp;". ")&amp;IF(LEN(IF(LEN(INDEX('Vendor COIs'!$D$4:$D$503,(_calc!$E$876-500)))=0,"",INDEX('Vendor COIs'!$D$4:$D$503,(_calc!$E$876-500))))=0,"","Policy no.: "&amp;IF(LEN(INDEX('Vendor COIs'!$D$4:$D$503,(_calc!$E$876-500)))=0,"",INDEX('Vendor COIs'!$D$4:$D$503,(_calc!$E$876-500)))&amp;". ")&amp;IF(LEN(IF(LEN(INDEX('Vendor COIs'!$F$4:$F$503,(_calc!$E$876-500)))=0,"",INDEX('Vendor COIs'!$F$4:$F$503,(_calc!$E$876-500))))=0,"","Meets minimum: "&amp;IF(LEN(INDEX('Vendor COIs'!$F$4:$F$503,(_calc!$E$876-500)))=0,"",INDEX('Vendor COIs'!$F$4:$F$503,(_calc!$E$876-500)))&amp;". ")&amp;IF(LEN(IF(LEN(INDEX('Vendor COIs'!$G$4:$G$503,(_calc!$E$876-500)))=0,"",INDEX('Vendor COIs'!$G$4:$G$503,(_calc!$E$876-500))))=0,"","Additional insured: "&amp;IF(LEN(INDEX('Vendor COIs'!$G$4:$G$503,(_calc!$E$876-500)))=0,"",INDEX('Vendor COIs'!$G$4:$G$503,(_calc!$E$876-500)))&amp;". ")&amp;IF(LEN(IF(LEN(INDEX('Vendor COIs'!$M$4:$M$503,(_calc!$E$876-500)))=0,"",INDEX('Vendor COIs'!$M$4:$M$503,(_calc!$E$876-500))))=0,"","Vendor contact: "&amp;IF(LEN(INDEX('Vendor COIs'!$M$4:$M$503,(_calc!$E$876-500)))=0,"",INDEX('Vendor COIs'!$M$4:$M$503,(_calc!$E$876-500)))&amp;". ")&amp;IF(LEN(IF(LEN(INDEX('Vendor COIs'!$P$4:$P$503,(_calc!$E$876-500)))=0,"",INDEX('Vendor COIs'!$P$4:$P$503,(_calc!$E$876-500))))=0,"",IF(LEN(INDEX('Vendor COIs'!$P$4:$P$503,(_calc!$E$876-500)))=0,"",INDEX('Vendor COIs'!$P$4:$P$503,(_calc!$E$876-500)))))))</f>
        <v/>
      </c>
      <c r="G874" s="46">
        <f>IF(_calc!$E$876="","",IF(_calc!$E$876&lt;=500,IF(LEN(INDEX('Our policies'!$R$4:$R$503,_calc!$E$876))=0,"",INDEX('Our policies'!$R$4:$R$503,_calc!$E$876)),IF(LEN(INDEX('Vendor COIs'!$O$4:$O$503,(_calc!$E$876-500)))=0,"",INDEX('Vendor COIs'!$O$4:$O$503,(_calc!$E$876-500)))))</f>
        <v/>
      </c>
      <c r="H874" s="46">
        <f>IF(_calc!$E$876="","",IF(_calc!$E$876&lt;=500,IF(LEN(INDEX('Our policies'!$G$4:$G$503,_calc!$E$876))=0,"",INDEX('Our policies'!$G$4:$G$503,_calc!$E$876)),""))</f>
        <v/>
      </c>
      <c r="I874" s="46">
        <f>IF(_calc!$E$876="","",IF(_calc!$E$876&lt;=500,IF(LEN(INDEX('Our policies'!$H$4:$H$503,_calc!$E$876))=0,"",INDEX('Our policies'!$H$4:$H$503,_calc!$E$876)),""))</f>
        <v/>
      </c>
      <c r="K874" s="46">
        <f>IF(_calc!$E$876="","",IF(_calc!$E$876&lt;=500,IF(LEN(INDEX('Our policies'!$P$4:$P$503,_calc!$E$876))=0,"",INDEX('Our policies'!$P$4:$P$503,_calc!$E$876)),IF(LEN(INDEX('Vendor COIs'!$N$4:$N$503,(_calc!$E$876-500)))=0,"",INDEX('Vendor COIs'!$N$4:$N$503,(_calc!$E$876-500)))))</f>
        <v/>
      </c>
    </row>
    <row r="875">
      <c r="A875" s="46">
        <f>IF(_calc!$E$877="","",IF(_calc!$E$877&lt;=500,IF(LEN(INDEX('Our policies'!$A$4:$A$503,_calc!$E$877))=0,"",INDEX('Our policies'!$A$4:$A$503,_calc!$E$877)),"COI – "&amp;IF(LEN(INDEX('Vendor COIs'!$A$4:$A$503,(_calc!$E$877-500)))=0,"",INDEX('Vendor COIs'!$A$4:$A$503,(_calc!$E$877-500)))&amp;" – "&amp;IF(LEN(INDEX('Vendor COIs'!$B$4:$B$503,(_calc!$E$877-500)))=0,"",INDEX('Vendor COIs'!$B$4:$B$503,(_calc!$E$877-500)))))</f>
        <v/>
      </c>
      <c r="B875" s="46">
        <f>IF(_calc!$E$877="","",IF(_calc!$E$877&lt;=500,IF(ISNUMBER(INDEX('Our policies'!$J$4:$J$503,_calc!$E$877)),TEXT(INDEX('Our policies'!$J$4:$J$503,_calc!$E$877),"yyyy-mm-dd"),""),IF(ISNUMBER(INDEX('Vendor COIs'!$H$4:$H$503,(_calc!$E$877-500))),TEXT(INDEX('Vendor COIs'!$H$4:$H$503,(_calc!$E$877-500)),"yyyy-mm-dd"),"")))</f>
        <v/>
      </c>
      <c r="C875" s="46">
        <f>IF(_calc!$E$877="","",IF(_calc!$E$877&lt;=500,"Insurance","Certificate of insurance"))</f>
        <v/>
      </c>
      <c r="D875" s="46">
        <f>IF(_calc!$E$877="","",IF(_calc!$E$877&lt;=500,IF(ISNUMBER(INDEX('Our policies'!$I$4:$I$503,_calc!$E$877)),TEXT(INDEX('Our policies'!$I$4:$I$503,_calc!$E$877),"yyyy-mm-dd"),""),""))</f>
        <v/>
      </c>
      <c r="E875" s="46">
        <f>IF(_calc!$E$877="","",IF(_calc!$E$877&lt;=500,IF(LEN(INDEX('Our policies'!$Q$4:$Q$503,_calc!$E$877))=0,"",INDEX('Our policies'!$Q$4:$Q$503,_calc!$E$877)),"Medium"))</f>
        <v/>
      </c>
      <c r="F875" s="46">
        <f>IF(_calc!$E$877="","",IF(_calc!$E$877&lt;=500,TRIM(IF(LEN(IF(LEN(INDEX('Our policies'!$B$4:$B$503,_calc!$E$877))=0,"",INDEX('Our policies'!$B$4:$B$503,_calc!$E$877)))=0,"","Cover: "&amp;IF(LEN(INDEX('Our policies'!$B$4:$B$503,_calc!$E$877))=0,"",INDEX('Our policies'!$B$4:$B$503,_calc!$E$877))&amp;". ")&amp;IF(LEN(IF(LEN(INDEX('Our policies'!$C$4:$C$503,_calc!$E$877))=0,"",INDEX('Our policies'!$C$4:$C$503,_calc!$E$877)))=0,"","Insurer: "&amp;IF(LEN(INDEX('Our policies'!$C$4:$C$503,_calc!$E$877))=0,"",INDEX('Our policies'!$C$4:$C$503,_calc!$E$877))&amp;". ")&amp;IF(LEN(IF(LEN(INDEX('Our policies'!$D$4:$D$503,_calc!$E$877))=0,"",INDEX('Our policies'!$D$4:$D$503,_calc!$E$877)))=0,"","Broker: "&amp;IF(LEN(INDEX('Our policies'!$D$4:$D$503,_calc!$E$877))=0,"",INDEX('Our policies'!$D$4:$D$503,_calc!$E$877))&amp;". ")&amp;IF(LEN(IF(LEN(INDEX('Our policies'!$E$4:$E$503,_calc!$E$877))=0,"",INDEX('Our policies'!$E$4:$E$503,_calc!$E$877)))=0,"","Policy no.: "&amp;IF(LEN(INDEX('Our policies'!$E$4:$E$503,_calc!$E$877))=0,"",INDEX('Our policies'!$E$4:$E$503,_calc!$E$877))&amp;". ")&amp;IF(LEN(IF(LEN(INDEX('Our policies'!$S$4:$S$503,_calc!$E$877))=0,"",INDEX('Our policies'!$S$4:$S$503,_calc!$E$877)))=0,"",IF(LEN(INDEX('Our policies'!$S$4:$S$503,_calc!$E$877))=0,"",INDEX('Our policies'!$S$4:$S$503,_calc!$E$877)))),TRIM(IF(LEN(IF(LEN(INDEX('Vendor COIs'!$C$4:$C$503,(_calc!$E$877-500)))=0,"",INDEX('Vendor COIs'!$C$4:$C$503,(_calc!$E$877-500))))=0,"","Insurer: "&amp;IF(LEN(INDEX('Vendor COIs'!$C$4:$C$503,(_calc!$E$877-500)))=0,"",INDEX('Vendor COIs'!$C$4:$C$503,(_calc!$E$877-500)))&amp;". ")&amp;IF(LEN(IF(LEN(INDEX('Vendor COIs'!$D$4:$D$503,(_calc!$E$877-500)))=0,"",INDEX('Vendor COIs'!$D$4:$D$503,(_calc!$E$877-500))))=0,"","Policy no.: "&amp;IF(LEN(INDEX('Vendor COIs'!$D$4:$D$503,(_calc!$E$877-500)))=0,"",INDEX('Vendor COIs'!$D$4:$D$503,(_calc!$E$877-500)))&amp;". ")&amp;IF(LEN(IF(LEN(INDEX('Vendor COIs'!$F$4:$F$503,(_calc!$E$877-500)))=0,"",INDEX('Vendor COIs'!$F$4:$F$503,(_calc!$E$877-500))))=0,"","Meets minimum: "&amp;IF(LEN(INDEX('Vendor COIs'!$F$4:$F$503,(_calc!$E$877-500)))=0,"",INDEX('Vendor COIs'!$F$4:$F$503,(_calc!$E$877-500)))&amp;". ")&amp;IF(LEN(IF(LEN(INDEX('Vendor COIs'!$G$4:$G$503,(_calc!$E$877-500)))=0,"",INDEX('Vendor COIs'!$G$4:$G$503,(_calc!$E$877-500))))=0,"","Additional insured: "&amp;IF(LEN(INDEX('Vendor COIs'!$G$4:$G$503,(_calc!$E$877-500)))=0,"",INDEX('Vendor COIs'!$G$4:$G$503,(_calc!$E$877-500)))&amp;". ")&amp;IF(LEN(IF(LEN(INDEX('Vendor COIs'!$M$4:$M$503,(_calc!$E$877-500)))=0,"",INDEX('Vendor COIs'!$M$4:$M$503,(_calc!$E$877-500))))=0,"","Vendor contact: "&amp;IF(LEN(INDEX('Vendor COIs'!$M$4:$M$503,(_calc!$E$877-500)))=0,"",INDEX('Vendor COIs'!$M$4:$M$503,(_calc!$E$877-500)))&amp;". ")&amp;IF(LEN(IF(LEN(INDEX('Vendor COIs'!$P$4:$P$503,(_calc!$E$877-500)))=0,"",INDEX('Vendor COIs'!$P$4:$P$503,(_calc!$E$877-500))))=0,"",IF(LEN(INDEX('Vendor COIs'!$P$4:$P$503,(_calc!$E$877-500)))=0,"",INDEX('Vendor COIs'!$P$4:$P$503,(_calc!$E$877-500)))))))</f>
        <v/>
      </c>
      <c r="G875" s="46">
        <f>IF(_calc!$E$877="","",IF(_calc!$E$877&lt;=500,IF(LEN(INDEX('Our policies'!$R$4:$R$503,_calc!$E$877))=0,"",INDEX('Our policies'!$R$4:$R$503,_calc!$E$877)),IF(LEN(INDEX('Vendor COIs'!$O$4:$O$503,(_calc!$E$877-500)))=0,"",INDEX('Vendor COIs'!$O$4:$O$503,(_calc!$E$877-500)))))</f>
        <v/>
      </c>
      <c r="H875" s="46">
        <f>IF(_calc!$E$877="","",IF(_calc!$E$877&lt;=500,IF(LEN(INDEX('Our policies'!$G$4:$G$503,_calc!$E$877))=0,"",INDEX('Our policies'!$G$4:$G$503,_calc!$E$877)),""))</f>
        <v/>
      </c>
      <c r="I875" s="46">
        <f>IF(_calc!$E$877="","",IF(_calc!$E$877&lt;=500,IF(LEN(INDEX('Our policies'!$H$4:$H$503,_calc!$E$877))=0,"",INDEX('Our policies'!$H$4:$H$503,_calc!$E$877)),""))</f>
        <v/>
      </c>
      <c r="K875" s="46">
        <f>IF(_calc!$E$877="","",IF(_calc!$E$877&lt;=500,IF(LEN(INDEX('Our policies'!$P$4:$P$503,_calc!$E$877))=0,"",INDEX('Our policies'!$P$4:$P$503,_calc!$E$877)),IF(LEN(INDEX('Vendor COIs'!$N$4:$N$503,(_calc!$E$877-500)))=0,"",INDEX('Vendor COIs'!$N$4:$N$503,(_calc!$E$877-500)))))</f>
        <v/>
      </c>
    </row>
    <row r="876">
      <c r="A876" s="46">
        <f>IF(_calc!$E$878="","",IF(_calc!$E$878&lt;=500,IF(LEN(INDEX('Our policies'!$A$4:$A$503,_calc!$E$878))=0,"",INDEX('Our policies'!$A$4:$A$503,_calc!$E$878)),"COI – "&amp;IF(LEN(INDEX('Vendor COIs'!$A$4:$A$503,(_calc!$E$878-500)))=0,"",INDEX('Vendor COIs'!$A$4:$A$503,(_calc!$E$878-500)))&amp;" – "&amp;IF(LEN(INDEX('Vendor COIs'!$B$4:$B$503,(_calc!$E$878-500)))=0,"",INDEX('Vendor COIs'!$B$4:$B$503,(_calc!$E$878-500)))))</f>
        <v/>
      </c>
      <c r="B876" s="46">
        <f>IF(_calc!$E$878="","",IF(_calc!$E$878&lt;=500,IF(ISNUMBER(INDEX('Our policies'!$J$4:$J$503,_calc!$E$878)),TEXT(INDEX('Our policies'!$J$4:$J$503,_calc!$E$878),"yyyy-mm-dd"),""),IF(ISNUMBER(INDEX('Vendor COIs'!$H$4:$H$503,(_calc!$E$878-500))),TEXT(INDEX('Vendor COIs'!$H$4:$H$503,(_calc!$E$878-500)),"yyyy-mm-dd"),"")))</f>
        <v/>
      </c>
      <c r="C876" s="46">
        <f>IF(_calc!$E$878="","",IF(_calc!$E$878&lt;=500,"Insurance","Certificate of insurance"))</f>
        <v/>
      </c>
      <c r="D876" s="46">
        <f>IF(_calc!$E$878="","",IF(_calc!$E$878&lt;=500,IF(ISNUMBER(INDEX('Our policies'!$I$4:$I$503,_calc!$E$878)),TEXT(INDEX('Our policies'!$I$4:$I$503,_calc!$E$878),"yyyy-mm-dd"),""),""))</f>
        <v/>
      </c>
      <c r="E876" s="46">
        <f>IF(_calc!$E$878="","",IF(_calc!$E$878&lt;=500,IF(LEN(INDEX('Our policies'!$Q$4:$Q$503,_calc!$E$878))=0,"",INDEX('Our policies'!$Q$4:$Q$503,_calc!$E$878)),"Medium"))</f>
        <v/>
      </c>
      <c r="F876" s="46">
        <f>IF(_calc!$E$878="","",IF(_calc!$E$878&lt;=500,TRIM(IF(LEN(IF(LEN(INDEX('Our policies'!$B$4:$B$503,_calc!$E$878))=0,"",INDEX('Our policies'!$B$4:$B$503,_calc!$E$878)))=0,"","Cover: "&amp;IF(LEN(INDEX('Our policies'!$B$4:$B$503,_calc!$E$878))=0,"",INDEX('Our policies'!$B$4:$B$503,_calc!$E$878))&amp;". ")&amp;IF(LEN(IF(LEN(INDEX('Our policies'!$C$4:$C$503,_calc!$E$878))=0,"",INDEX('Our policies'!$C$4:$C$503,_calc!$E$878)))=0,"","Insurer: "&amp;IF(LEN(INDEX('Our policies'!$C$4:$C$503,_calc!$E$878))=0,"",INDEX('Our policies'!$C$4:$C$503,_calc!$E$878))&amp;". ")&amp;IF(LEN(IF(LEN(INDEX('Our policies'!$D$4:$D$503,_calc!$E$878))=0,"",INDEX('Our policies'!$D$4:$D$503,_calc!$E$878)))=0,"","Broker: "&amp;IF(LEN(INDEX('Our policies'!$D$4:$D$503,_calc!$E$878))=0,"",INDEX('Our policies'!$D$4:$D$503,_calc!$E$878))&amp;". ")&amp;IF(LEN(IF(LEN(INDEX('Our policies'!$E$4:$E$503,_calc!$E$878))=0,"",INDEX('Our policies'!$E$4:$E$503,_calc!$E$878)))=0,"","Policy no.: "&amp;IF(LEN(INDEX('Our policies'!$E$4:$E$503,_calc!$E$878))=0,"",INDEX('Our policies'!$E$4:$E$503,_calc!$E$878))&amp;". ")&amp;IF(LEN(IF(LEN(INDEX('Our policies'!$S$4:$S$503,_calc!$E$878))=0,"",INDEX('Our policies'!$S$4:$S$503,_calc!$E$878)))=0,"",IF(LEN(INDEX('Our policies'!$S$4:$S$503,_calc!$E$878))=0,"",INDEX('Our policies'!$S$4:$S$503,_calc!$E$878)))),TRIM(IF(LEN(IF(LEN(INDEX('Vendor COIs'!$C$4:$C$503,(_calc!$E$878-500)))=0,"",INDEX('Vendor COIs'!$C$4:$C$503,(_calc!$E$878-500))))=0,"","Insurer: "&amp;IF(LEN(INDEX('Vendor COIs'!$C$4:$C$503,(_calc!$E$878-500)))=0,"",INDEX('Vendor COIs'!$C$4:$C$503,(_calc!$E$878-500)))&amp;". ")&amp;IF(LEN(IF(LEN(INDEX('Vendor COIs'!$D$4:$D$503,(_calc!$E$878-500)))=0,"",INDEX('Vendor COIs'!$D$4:$D$503,(_calc!$E$878-500))))=0,"","Policy no.: "&amp;IF(LEN(INDEX('Vendor COIs'!$D$4:$D$503,(_calc!$E$878-500)))=0,"",INDEX('Vendor COIs'!$D$4:$D$503,(_calc!$E$878-500)))&amp;". ")&amp;IF(LEN(IF(LEN(INDEX('Vendor COIs'!$F$4:$F$503,(_calc!$E$878-500)))=0,"",INDEX('Vendor COIs'!$F$4:$F$503,(_calc!$E$878-500))))=0,"","Meets minimum: "&amp;IF(LEN(INDEX('Vendor COIs'!$F$4:$F$503,(_calc!$E$878-500)))=0,"",INDEX('Vendor COIs'!$F$4:$F$503,(_calc!$E$878-500)))&amp;". ")&amp;IF(LEN(IF(LEN(INDEX('Vendor COIs'!$G$4:$G$503,(_calc!$E$878-500)))=0,"",INDEX('Vendor COIs'!$G$4:$G$503,(_calc!$E$878-500))))=0,"","Additional insured: "&amp;IF(LEN(INDEX('Vendor COIs'!$G$4:$G$503,(_calc!$E$878-500)))=0,"",INDEX('Vendor COIs'!$G$4:$G$503,(_calc!$E$878-500)))&amp;". ")&amp;IF(LEN(IF(LEN(INDEX('Vendor COIs'!$M$4:$M$503,(_calc!$E$878-500)))=0,"",INDEX('Vendor COIs'!$M$4:$M$503,(_calc!$E$878-500))))=0,"","Vendor contact: "&amp;IF(LEN(INDEX('Vendor COIs'!$M$4:$M$503,(_calc!$E$878-500)))=0,"",INDEX('Vendor COIs'!$M$4:$M$503,(_calc!$E$878-500)))&amp;". ")&amp;IF(LEN(IF(LEN(INDEX('Vendor COIs'!$P$4:$P$503,(_calc!$E$878-500)))=0,"",INDEX('Vendor COIs'!$P$4:$P$503,(_calc!$E$878-500))))=0,"",IF(LEN(INDEX('Vendor COIs'!$P$4:$P$503,(_calc!$E$878-500)))=0,"",INDEX('Vendor COIs'!$P$4:$P$503,(_calc!$E$878-500)))))))</f>
        <v/>
      </c>
      <c r="G876" s="46">
        <f>IF(_calc!$E$878="","",IF(_calc!$E$878&lt;=500,IF(LEN(INDEX('Our policies'!$R$4:$R$503,_calc!$E$878))=0,"",INDEX('Our policies'!$R$4:$R$503,_calc!$E$878)),IF(LEN(INDEX('Vendor COIs'!$O$4:$O$503,(_calc!$E$878-500)))=0,"",INDEX('Vendor COIs'!$O$4:$O$503,(_calc!$E$878-500)))))</f>
        <v/>
      </c>
      <c r="H876" s="46">
        <f>IF(_calc!$E$878="","",IF(_calc!$E$878&lt;=500,IF(LEN(INDEX('Our policies'!$G$4:$G$503,_calc!$E$878))=0,"",INDEX('Our policies'!$G$4:$G$503,_calc!$E$878)),""))</f>
        <v/>
      </c>
      <c r="I876" s="46">
        <f>IF(_calc!$E$878="","",IF(_calc!$E$878&lt;=500,IF(LEN(INDEX('Our policies'!$H$4:$H$503,_calc!$E$878))=0,"",INDEX('Our policies'!$H$4:$H$503,_calc!$E$878)),""))</f>
        <v/>
      </c>
      <c r="K876" s="46">
        <f>IF(_calc!$E$878="","",IF(_calc!$E$878&lt;=500,IF(LEN(INDEX('Our policies'!$P$4:$P$503,_calc!$E$878))=0,"",INDEX('Our policies'!$P$4:$P$503,_calc!$E$878)),IF(LEN(INDEX('Vendor COIs'!$N$4:$N$503,(_calc!$E$878-500)))=0,"",INDEX('Vendor COIs'!$N$4:$N$503,(_calc!$E$878-500)))))</f>
        <v/>
      </c>
    </row>
    <row r="877">
      <c r="A877" s="46">
        <f>IF(_calc!$E$879="","",IF(_calc!$E$879&lt;=500,IF(LEN(INDEX('Our policies'!$A$4:$A$503,_calc!$E$879))=0,"",INDEX('Our policies'!$A$4:$A$503,_calc!$E$879)),"COI – "&amp;IF(LEN(INDEX('Vendor COIs'!$A$4:$A$503,(_calc!$E$879-500)))=0,"",INDEX('Vendor COIs'!$A$4:$A$503,(_calc!$E$879-500)))&amp;" – "&amp;IF(LEN(INDEX('Vendor COIs'!$B$4:$B$503,(_calc!$E$879-500)))=0,"",INDEX('Vendor COIs'!$B$4:$B$503,(_calc!$E$879-500)))))</f>
        <v/>
      </c>
      <c r="B877" s="46">
        <f>IF(_calc!$E$879="","",IF(_calc!$E$879&lt;=500,IF(ISNUMBER(INDEX('Our policies'!$J$4:$J$503,_calc!$E$879)),TEXT(INDEX('Our policies'!$J$4:$J$503,_calc!$E$879),"yyyy-mm-dd"),""),IF(ISNUMBER(INDEX('Vendor COIs'!$H$4:$H$503,(_calc!$E$879-500))),TEXT(INDEX('Vendor COIs'!$H$4:$H$503,(_calc!$E$879-500)),"yyyy-mm-dd"),"")))</f>
        <v/>
      </c>
      <c r="C877" s="46">
        <f>IF(_calc!$E$879="","",IF(_calc!$E$879&lt;=500,"Insurance","Certificate of insurance"))</f>
        <v/>
      </c>
      <c r="D877" s="46">
        <f>IF(_calc!$E$879="","",IF(_calc!$E$879&lt;=500,IF(ISNUMBER(INDEX('Our policies'!$I$4:$I$503,_calc!$E$879)),TEXT(INDEX('Our policies'!$I$4:$I$503,_calc!$E$879),"yyyy-mm-dd"),""),""))</f>
        <v/>
      </c>
      <c r="E877" s="46">
        <f>IF(_calc!$E$879="","",IF(_calc!$E$879&lt;=500,IF(LEN(INDEX('Our policies'!$Q$4:$Q$503,_calc!$E$879))=0,"",INDEX('Our policies'!$Q$4:$Q$503,_calc!$E$879)),"Medium"))</f>
        <v/>
      </c>
      <c r="F877" s="46">
        <f>IF(_calc!$E$879="","",IF(_calc!$E$879&lt;=500,TRIM(IF(LEN(IF(LEN(INDEX('Our policies'!$B$4:$B$503,_calc!$E$879))=0,"",INDEX('Our policies'!$B$4:$B$503,_calc!$E$879)))=0,"","Cover: "&amp;IF(LEN(INDEX('Our policies'!$B$4:$B$503,_calc!$E$879))=0,"",INDEX('Our policies'!$B$4:$B$503,_calc!$E$879))&amp;". ")&amp;IF(LEN(IF(LEN(INDEX('Our policies'!$C$4:$C$503,_calc!$E$879))=0,"",INDEX('Our policies'!$C$4:$C$503,_calc!$E$879)))=0,"","Insurer: "&amp;IF(LEN(INDEX('Our policies'!$C$4:$C$503,_calc!$E$879))=0,"",INDEX('Our policies'!$C$4:$C$503,_calc!$E$879))&amp;". ")&amp;IF(LEN(IF(LEN(INDEX('Our policies'!$D$4:$D$503,_calc!$E$879))=0,"",INDEX('Our policies'!$D$4:$D$503,_calc!$E$879)))=0,"","Broker: "&amp;IF(LEN(INDEX('Our policies'!$D$4:$D$503,_calc!$E$879))=0,"",INDEX('Our policies'!$D$4:$D$503,_calc!$E$879))&amp;". ")&amp;IF(LEN(IF(LEN(INDEX('Our policies'!$E$4:$E$503,_calc!$E$879))=0,"",INDEX('Our policies'!$E$4:$E$503,_calc!$E$879)))=0,"","Policy no.: "&amp;IF(LEN(INDEX('Our policies'!$E$4:$E$503,_calc!$E$879))=0,"",INDEX('Our policies'!$E$4:$E$503,_calc!$E$879))&amp;". ")&amp;IF(LEN(IF(LEN(INDEX('Our policies'!$S$4:$S$503,_calc!$E$879))=0,"",INDEX('Our policies'!$S$4:$S$503,_calc!$E$879)))=0,"",IF(LEN(INDEX('Our policies'!$S$4:$S$503,_calc!$E$879))=0,"",INDEX('Our policies'!$S$4:$S$503,_calc!$E$879)))),TRIM(IF(LEN(IF(LEN(INDEX('Vendor COIs'!$C$4:$C$503,(_calc!$E$879-500)))=0,"",INDEX('Vendor COIs'!$C$4:$C$503,(_calc!$E$879-500))))=0,"","Insurer: "&amp;IF(LEN(INDEX('Vendor COIs'!$C$4:$C$503,(_calc!$E$879-500)))=0,"",INDEX('Vendor COIs'!$C$4:$C$503,(_calc!$E$879-500)))&amp;". ")&amp;IF(LEN(IF(LEN(INDEX('Vendor COIs'!$D$4:$D$503,(_calc!$E$879-500)))=0,"",INDEX('Vendor COIs'!$D$4:$D$503,(_calc!$E$879-500))))=0,"","Policy no.: "&amp;IF(LEN(INDEX('Vendor COIs'!$D$4:$D$503,(_calc!$E$879-500)))=0,"",INDEX('Vendor COIs'!$D$4:$D$503,(_calc!$E$879-500)))&amp;". ")&amp;IF(LEN(IF(LEN(INDEX('Vendor COIs'!$F$4:$F$503,(_calc!$E$879-500)))=0,"",INDEX('Vendor COIs'!$F$4:$F$503,(_calc!$E$879-500))))=0,"","Meets minimum: "&amp;IF(LEN(INDEX('Vendor COIs'!$F$4:$F$503,(_calc!$E$879-500)))=0,"",INDEX('Vendor COIs'!$F$4:$F$503,(_calc!$E$879-500)))&amp;". ")&amp;IF(LEN(IF(LEN(INDEX('Vendor COIs'!$G$4:$G$503,(_calc!$E$879-500)))=0,"",INDEX('Vendor COIs'!$G$4:$G$503,(_calc!$E$879-500))))=0,"","Additional insured: "&amp;IF(LEN(INDEX('Vendor COIs'!$G$4:$G$503,(_calc!$E$879-500)))=0,"",INDEX('Vendor COIs'!$G$4:$G$503,(_calc!$E$879-500)))&amp;". ")&amp;IF(LEN(IF(LEN(INDEX('Vendor COIs'!$M$4:$M$503,(_calc!$E$879-500)))=0,"",INDEX('Vendor COIs'!$M$4:$M$503,(_calc!$E$879-500))))=0,"","Vendor contact: "&amp;IF(LEN(INDEX('Vendor COIs'!$M$4:$M$503,(_calc!$E$879-500)))=0,"",INDEX('Vendor COIs'!$M$4:$M$503,(_calc!$E$879-500)))&amp;". ")&amp;IF(LEN(IF(LEN(INDEX('Vendor COIs'!$P$4:$P$503,(_calc!$E$879-500)))=0,"",INDEX('Vendor COIs'!$P$4:$P$503,(_calc!$E$879-500))))=0,"",IF(LEN(INDEX('Vendor COIs'!$P$4:$P$503,(_calc!$E$879-500)))=0,"",INDEX('Vendor COIs'!$P$4:$P$503,(_calc!$E$879-500)))))))</f>
        <v/>
      </c>
      <c r="G877" s="46">
        <f>IF(_calc!$E$879="","",IF(_calc!$E$879&lt;=500,IF(LEN(INDEX('Our policies'!$R$4:$R$503,_calc!$E$879))=0,"",INDEX('Our policies'!$R$4:$R$503,_calc!$E$879)),IF(LEN(INDEX('Vendor COIs'!$O$4:$O$503,(_calc!$E$879-500)))=0,"",INDEX('Vendor COIs'!$O$4:$O$503,(_calc!$E$879-500)))))</f>
        <v/>
      </c>
      <c r="H877" s="46">
        <f>IF(_calc!$E$879="","",IF(_calc!$E$879&lt;=500,IF(LEN(INDEX('Our policies'!$G$4:$G$503,_calc!$E$879))=0,"",INDEX('Our policies'!$G$4:$G$503,_calc!$E$879)),""))</f>
        <v/>
      </c>
      <c r="I877" s="46">
        <f>IF(_calc!$E$879="","",IF(_calc!$E$879&lt;=500,IF(LEN(INDEX('Our policies'!$H$4:$H$503,_calc!$E$879))=0,"",INDEX('Our policies'!$H$4:$H$503,_calc!$E$879)),""))</f>
        <v/>
      </c>
      <c r="K877" s="46">
        <f>IF(_calc!$E$879="","",IF(_calc!$E$879&lt;=500,IF(LEN(INDEX('Our policies'!$P$4:$P$503,_calc!$E$879))=0,"",INDEX('Our policies'!$P$4:$P$503,_calc!$E$879)),IF(LEN(INDEX('Vendor COIs'!$N$4:$N$503,(_calc!$E$879-500)))=0,"",INDEX('Vendor COIs'!$N$4:$N$503,(_calc!$E$879-500)))))</f>
        <v/>
      </c>
    </row>
    <row r="878">
      <c r="A878" s="46">
        <f>IF(_calc!$E$880="","",IF(_calc!$E$880&lt;=500,IF(LEN(INDEX('Our policies'!$A$4:$A$503,_calc!$E$880))=0,"",INDEX('Our policies'!$A$4:$A$503,_calc!$E$880)),"COI – "&amp;IF(LEN(INDEX('Vendor COIs'!$A$4:$A$503,(_calc!$E$880-500)))=0,"",INDEX('Vendor COIs'!$A$4:$A$503,(_calc!$E$880-500)))&amp;" – "&amp;IF(LEN(INDEX('Vendor COIs'!$B$4:$B$503,(_calc!$E$880-500)))=0,"",INDEX('Vendor COIs'!$B$4:$B$503,(_calc!$E$880-500)))))</f>
        <v/>
      </c>
      <c r="B878" s="46">
        <f>IF(_calc!$E$880="","",IF(_calc!$E$880&lt;=500,IF(ISNUMBER(INDEX('Our policies'!$J$4:$J$503,_calc!$E$880)),TEXT(INDEX('Our policies'!$J$4:$J$503,_calc!$E$880),"yyyy-mm-dd"),""),IF(ISNUMBER(INDEX('Vendor COIs'!$H$4:$H$503,(_calc!$E$880-500))),TEXT(INDEX('Vendor COIs'!$H$4:$H$503,(_calc!$E$880-500)),"yyyy-mm-dd"),"")))</f>
        <v/>
      </c>
      <c r="C878" s="46">
        <f>IF(_calc!$E$880="","",IF(_calc!$E$880&lt;=500,"Insurance","Certificate of insurance"))</f>
        <v/>
      </c>
      <c r="D878" s="46">
        <f>IF(_calc!$E$880="","",IF(_calc!$E$880&lt;=500,IF(ISNUMBER(INDEX('Our policies'!$I$4:$I$503,_calc!$E$880)),TEXT(INDEX('Our policies'!$I$4:$I$503,_calc!$E$880),"yyyy-mm-dd"),""),""))</f>
        <v/>
      </c>
      <c r="E878" s="46">
        <f>IF(_calc!$E$880="","",IF(_calc!$E$880&lt;=500,IF(LEN(INDEX('Our policies'!$Q$4:$Q$503,_calc!$E$880))=0,"",INDEX('Our policies'!$Q$4:$Q$503,_calc!$E$880)),"Medium"))</f>
        <v/>
      </c>
      <c r="F878" s="46">
        <f>IF(_calc!$E$880="","",IF(_calc!$E$880&lt;=500,TRIM(IF(LEN(IF(LEN(INDEX('Our policies'!$B$4:$B$503,_calc!$E$880))=0,"",INDEX('Our policies'!$B$4:$B$503,_calc!$E$880)))=0,"","Cover: "&amp;IF(LEN(INDEX('Our policies'!$B$4:$B$503,_calc!$E$880))=0,"",INDEX('Our policies'!$B$4:$B$503,_calc!$E$880))&amp;". ")&amp;IF(LEN(IF(LEN(INDEX('Our policies'!$C$4:$C$503,_calc!$E$880))=0,"",INDEX('Our policies'!$C$4:$C$503,_calc!$E$880)))=0,"","Insurer: "&amp;IF(LEN(INDEX('Our policies'!$C$4:$C$503,_calc!$E$880))=0,"",INDEX('Our policies'!$C$4:$C$503,_calc!$E$880))&amp;". ")&amp;IF(LEN(IF(LEN(INDEX('Our policies'!$D$4:$D$503,_calc!$E$880))=0,"",INDEX('Our policies'!$D$4:$D$503,_calc!$E$880)))=0,"","Broker: "&amp;IF(LEN(INDEX('Our policies'!$D$4:$D$503,_calc!$E$880))=0,"",INDEX('Our policies'!$D$4:$D$503,_calc!$E$880))&amp;". ")&amp;IF(LEN(IF(LEN(INDEX('Our policies'!$E$4:$E$503,_calc!$E$880))=0,"",INDEX('Our policies'!$E$4:$E$503,_calc!$E$880)))=0,"","Policy no.: "&amp;IF(LEN(INDEX('Our policies'!$E$4:$E$503,_calc!$E$880))=0,"",INDEX('Our policies'!$E$4:$E$503,_calc!$E$880))&amp;". ")&amp;IF(LEN(IF(LEN(INDEX('Our policies'!$S$4:$S$503,_calc!$E$880))=0,"",INDEX('Our policies'!$S$4:$S$503,_calc!$E$880)))=0,"",IF(LEN(INDEX('Our policies'!$S$4:$S$503,_calc!$E$880))=0,"",INDEX('Our policies'!$S$4:$S$503,_calc!$E$880)))),TRIM(IF(LEN(IF(LEN(INDEX('Vendor COIs'!$C$4:$C$503,(_calc!$E$880-500)))=0,"",INDEX('Vendor COIs'!$C$4:$C$503,(_calc!$E$880-500))))=0,"","Insurer: "&amp;IF(LEN(INDEX('Vendor COIs'!$C$4:$C$503,(_calc!$E$880-500)))=0,"",INDEX('Vendor COIs'!$C$4:$C$503,(_calc!$E$880-500)))&amp;". ")&amp;IF(LEN(IF(LEN(INDEX('Vendor COIs'!$D$4:$D$503,(_calc!$E$880-500)))=0,"",INDEX('Vendor COIs'!$D$4:$D$503,(_calc!$E$880-500))))=0,"","Policy no.: "&amp;IF(LEN(INDEX('Vendor COIs'!$D$4:$D$503,(_calc!$E$880-500)))=0,"",INDEX('Vendor COIs'!$D$4:$D$503,(_calc!$E$880-500)))&amp;". ")&amp;IF(LEN(IF(LEN(INDEX('Vendor COIs'!$F$4:$F$503,(_calc!$E$880-500)))=0,"",INDEX('Vendor COIs'!$F$4:$F$503,(_calc!$E$880-500))))=0,"","Meets minimum: "&amp;IF(LEN(INDEX('Vendor COIs'!$F$4:$F$503,(_calc!$E$880-500)))=0,"",INDEX('Vendor COIs'!$F$4:$F$503,(_calc!$E$880-500)))&amp;". ")&amp;IF(LEN(IF(LEN(INDEX('Vendor COIs'!$G$4:$G$503,(_calc!$E$880-500)))=0,"",INDEX('Vendor COIs'!$G$4:$G$503,(_calc!$E$880-500))))=0,"","Additional insured: "&amp;IF(LEN(INDEX('Vendor COIs'!$G$4:$G$503,(_calc!$E$880-500)))=0,"",INDEX('Vendor COIs'!$G$4:$G$503,(_calc!$E$880-500)))&amp;". ")&amp;IF(LEN(IF(LEN(INDEX('Vendor COIs'!$M$4:$M$503,(_calc!$E$880-500)))=0,"",INDEX('Vendor COIs'!$M$4:$M$503,(_calc!$E$880-500))))=0,"","Vendor contact: "&amp;IF(LEN(INDEX('Vendor COIs'!$M$4:$M$503,(_calc!$E$880-500)))=0,"",INDEX('Vendor COIs'!$M$4:$M$503,(_calc!$E$880-500)))&amp;". ")&amp;IF(LEN(IF(LEN(INDEX('Vendor COIs'!$P$4:$P$503,(_calc!$E$880-500)))=0,"",INDEX('Vendor COIs'!$P$4:$P$503,(_calc!$E$880-500))))=0,"",IF(LEN(INDEX('Vendor COIs'!$P$4:$P$503,(_calc!$E$880-500)))=0,"",INDEX('Vendor COIs'!$P$4:$P$503,(_calc!$E$880-500)))))))</f>
        <v/>
      </c>
      <c r="G878" s="46">
        <f>IF(_calc!$E$880="","",IF(_calc!$E$880&lt;=500,IF(LEN(INDEX('Our policies'!$R$4:$R$503,_calc!$E$880))=0,"",INDEX('Our policies'!$R$4:$R$503,_calc!$E$880)),IF(LEN(INDEX('Vendor COIs'!$O$4:$O$503,(_calc!$E$880-500)))=0,"",INDEX('Vendor COIs'!$O$4:$O$503,(_calc!$E$880-500)))))</f>
        <v/>
      </c>
      <c r="H878" s="46">
        <f>IF(_calc!$E$880="","",IF(_calc!$E$880&lt;=500,IF(LEN(INDEX('Our policies'!$G$4:$G$503,_calc!$E$880))=0,"",INDEX('Our policies'!$G$4:$G$503,_calc!$E$880)),""))</f>
        <v/>
      </c>
      <c r="I878" s="46">
        <f>IF(_calc!$E$880="","",IF(_calc!$E$880&lt;=500,IF(LEN(INDEX('Our policies'!$H$4:$H$503,_calc!$E$880))=0,"",INDEX('Our policies'!$H$4:$H$503,_calc!$E$880)),""))</f>
        <v/>
      </c>
      <c r="K878" s="46">
        <f>IF(_calc!$E$880="","",IF(_calc!$E$880&lt;=500,IF(LEN(INDEX('Our policies'!$P$4:$P$503,_calc!$E$880))=0,"",INDEX('Our policies'!$P$4:$P$503,_calc!$E$880)),IF(LEN(INDEX('Vendor COIs'!$N$4:$N$503,(_calc!$E$880-500)))=0,"",INDEX('Vendor COIs'!$N$4:$N$503,(_calc!$E$880-500)))))</f>
        <v/>
      </c>
    </row>
    <row r="879">
      <c r="A879" s="46">
        <f>IF(_calc!$E$881="","",IF(_calc!$E$881&lt;=500,IF(LEN(INDEX('Our policies'!$A$4:$A$503,_calc!$E$881))=0,"",INDEX('Our policies'!$A$4:$A$503,_calc!$E$881)),"COI – "&amp;IF(LEN(INDEX('Vendor COIs'!$A$4:$A$503,(_calc!$E$881-500)))=0,"",INDEX('Vendor COIs'!$A$4:$A$503,(_calc!$E$881-500)))&amp;" – "&amp;IF(LEN(INDEX('Vendor COIs'!$B$4:$B$503,(_calc!$E$881-500)))=0,"",INDEX('Vendor COIs'!$B$4:$B$503,(_calc!$E$881-500)))))</f>
        <v/>
      </c>
      <c r="B879" s="46">
        <f>IF(_calc!$E$881="","",IF(_calc!$E$881&lt;=500,IF(ISNUMBER(INDEX('Our policies'!$J$4:$J$503,_calc!$E$881)),TEXT(INDEX('Our policies'!$J$4:$J$503,_calc!$E$881),"yyyy-mm-dd"),""),IF(ISNUMBER(INDEX('Vendor COIs'!$H$4:$H$503,(_calc!$E$881-500))),TEXT(INDEX('Vendor COIs'!$H$4:$H$503,(_calc!$E$881-500)),"yyyy-mm-dd"),"")))</f>
        <v/>
      </c>
      <c r="C879" s="46">
        <f>IF(_calc!$E$881="","",IF(_calc!$E$881&lt;=500,"Insurance","Certificate of insurance"))</f>
        <v/>
      </c>
      <c r="D879" s="46">
        <f>IF(_calc!$E$881="","",IF(_calc!$E$881&lt;=500,IF(ISNUMBER(INDEX('Our policies'!$I$4:$I$503,_calc!$E$881)),TEXT(INDEX('Our policies'!$I$4:$I$503,_calc!$E$881),"yyyy-mm-dd"),""),""))</f>
        <v/>
      </c>
      <c r="E879" s="46">
        <f>IF(_calc!$E$881="","",IF(_calc!$E$881&lt;=500,IF(LEN(INDEX('Our policies'!$Q$4:$Q$503,_calc!$E$881))=0,"",INDEX('Our policies'!$Q$4:$Q$503,_calc!$E$881)),"Medium"))</f>
        <v/>
      </c>
      <c r="F879" s="46">
        <f>IF(_calc!$E$881="","",IF(_calc!$E$881&lt;=500,TRIM(IF(LEN(IF(LEN(INDEX('Our policies'!$B$4:$B$503,_calc!$E$881))=0,"",INDEX('Our policies'!$B$4:$B$503,_calc!$E$881)))=0,"","Cover: "&amp;IF(LEN(INDEX('Our policies'!$B$4:$B$503,_calc!$E$881))=0,"",INDEX('Our policies'!$B$4:$B$503,_calc!$E$881))&amp;". ")&amp;IF(LEN(IF(LEN(INDEX('Our policies'!$C$4:$C$503,_calc!$E$881))=0,"",INDEX('Our policies'!$C$4:$C$503,_calc!$E$881)))=0,"","Insurer: "&amp;IF(LEN(INDEX('Our policies'!$C$4:$C$503,_calc!$E$881))=0,"",INDEX('Our policies'!$C$4:$C$503,_calc!$E$881))&amp;". ")&amp;IF(LEN(IF(LEN(INDEX('Our policies'!$D$4:$D$503,_calc!$E$881))=0,"",INDEX('Our policies'!$D$4:$D$503,_calc!$E$881)))=0,"","Broker: "&amp;IF(LEN(INDEX('Our policies'!$D$4:$D$503,_calc!$E$881))=0,"",INDEX('Our policies'!$D$4:$D$503,_calc!$E$881))&amp;". ")&amp;IF(LEN(IF(LEN(INDEX('Our policies'!$E$4:$E$503,_calc!$E$881))=0,"",INDEX('Our policies'!$E$4:$E$503,_calc!$E$881)))=0,"","Policy no.: "&amp;IF(LEN(INDEX('Our policies'!$E$4:$E$503,_calc!$E$881))=0,"",INDEX('Our policies'!$E$4:$E$503,_calc!$E$881))&amp;". ")&amp;IF(LEN(IF(LEN(INDEX('Our policies'!$S$4:$S$503,_calc!$E$881))=0,"",INDEX('Our policies'!$S$4:$S$503,_calc!$E$881)))=0,"",IF(LEN(INDEX('Our policies'!$S$4:$S$503,_calc!$E$881))=0,"",INDEX('Our policies'!$S$4:$S$503,_calc!$E$881)))),TRIM(IF(LEN(IF(LEN(INDEX('Vendor COIs'!$C$4:$C$503,(_calc!$E$881-500)))=0,"",INDEX('Vendor COIs'!$C$4:$C$503,(_calc!$E$881-500))))=0,"","Insurer: "&amp;IF(LEN(INDEX('Vendor COIs'!$C$4:$C$503,(_calc!$E$881-500)))=0,"",INDEX('Vendor COIs'!$C$4:$C$503,(_calc!$E$881-500)))&amp;". ")&amp;IF(LEN(IF(LEN(INDEX('Vendor COIs'!$D$4:$D$503,(_calc!$E$881-500)))=0,"",INDEX('Vendor COIs'!$D$4:$D$503,(_calc!$E$881-500))))=0,"","Policy no.: "&amp;IF(LEN(INDEX('Vendor COIs'!$D$4:$D$503,(_calc!$E$881-500)))=0,"",INDEX('Vendor COIs'!$D$4:$D$503,(_calc!$E$881-500)))&amp;". ")&amp;IF(LEN(IF(LEN(INDEX('Vendor COIs'!$F$4:$F$503,(_calc!$E$881-500)))=0,"",INDEX('Vendor COIs'!$F$4:$F$503,(_calc!$E$881-500))))=0,"","Meets minimum: "&amp;IF(LEN(INDEX('Vendor COIs'!$F$4:$F$503,(_calc!$E$881-500)))=0,"",INDEX('Vendor COIs'!$F$4:$F$503,(_calc!$E$881-500)))&amp;". ")&amp;IF(LEN(IF(LEN(INDEX('Vendor COIs'!$G$4:$G$503,(_calc!$E$881-500)))=0,"",INDEX('Vendor COIs'!$G$4:$G$503,(_calc!$E$881-500))))=0,"","Additional insured: "&amp;IF(LEN(INDEX('Vendor COIs'!$G$4:$G$503,(_calc!$E$881-500)))=0,"",INDEX('Vendor COIs'!$G$4:$G$503,(_calc!$E$881-500)))&amp;". ")&amp;IF(LEN(IF(LEN(INDEX('Vendor COIs'!$M$4:$M$503,(_calc!$E$881-500)))=0,"",INDEX('Vendor COIs'!$M$4:$M$503,(_calc!$E$881-500))))=0,"","Vendor contact: "&amp;IF(LEN(INDEX('Vendor COIs'!$M$4:$M$503,(_calc!$E$881-500)))=0,"",INDEX('Vendor COIs'!$M$4:$M$503,(_calc!$E$881-500)))&amp;". ")&amp;IF(LEN(IF(LEN(INDEX('Vendor COIs'!$P$4:$P$503,(_calc!$E$881-500)))=0,"",INDEX('Vendor COIs'!$P$4:$P$503,(_calc!$E$881-500))))=0,"",IF(LEN(INDEX('Vendor COIs'!$P$4:$P$503,(_calc!$E$881-500)))=0,"",INDEX('Vendor COIs'!$P$4:$P$503,(_calc!$E$881-500)))))))</f>
        <v/>
      </c>
      <c r="G879" s="46">
        <f>IF(_calc!$E$881="","",IF(_calc!$E$881&lt;=500,IF(LEN(INDEX('Our policies'!$R$4:$R$503,_calc!$E$881))=0,"",INDEX('Our policies'!$R$4:$R$503,_calc!$E$881)),IF(LEN(INDEX('Vendor COIs'!$O$4:$O$503,(_calc!$E$881-500)))=0,"",INDEX('Vendor COIs'!$O$4:$O$503,(_calc!$E$881-500)))))</f>
        <v/>
      </c>
      <c r="H879" s="46">
        <f>IF(_calc!$E$881="","",IF(_calc!$E$881&lt;=500,IF(LEN(INDEX('Our policies'!$G$4:$G$503,_calc!$E$881))=0,"",INDEX('Our policies'!$G$4:$G$503,_calc!$E$881)),""))</f>
        <v/>
      </c>
      <c r="I879" s="46">
        <f>IF(_calc!$E$881="","",IF(_calc!$E$881&lt;=500,IF(LEN(INDEX('Our policies'!$H$4:$H$503,_calc!$E$881))=0,"",INDEX('Our policies'!$H$4:$H$503,_calc!$E$881)),""))</f>
        <v/>
      </c>
      <c r="K879" s="46">
        <f>IF(_calc!$E$881="","",IF(_calc!$E$881&lt;=500,IF(LEN(INDEX('Our policies'!$P$4:$P$503,_calc!$E$881))=0,"",INDEX('Our policies'!$P$4:$P$503,_calc!$E$881)),IF(LEN(INDEX('Vendor COIs'!$N$4:$N$503,(_calc!$E$881-500)))=0,"",INDEX('Vendor COIs'!$N$4:$N$503,(_calc!$E$881-500)))))</f>
        <v/>
      </c>
    </row>
    <row r="880">
      <c r="A880" s="46">
        <f>IF(_calc!$E$882="","",IF(_calc!$E$882&lt;=500,IF(LEN(INDEX('Our policies'!$A$4:$A$503,_calc!$E$882))=0,"",INDEX('Our policies'!$A$4:$A$503,_calc!$E$882)),"COI – "&amp;IF(LEN(INDEX('Vendor COIs'!$A$4:$A$503,(_calc!$E$882-500)))=0,"",INDEX('Vendor COIs'!$A$4:$A$503,(_calc!$E$882-500)))&amp;" – "&amp;IF(LEN(INDEX('Vendor COIs'!$B$4:$B$503,(_calc!$E$882-500)))=0,"",INDEX('Vendor COIs'!$B$4:$B$503,(_calc!$E$882-500)))))</f>
        <v/>
      </c>
      <c r="B880" s="46">
        <f>IF(_calc!$E$882="","",IF(_calc!$E$882&lt;=500,IF(ISNUMBER(INDEX('Our policies'!$J$4:$J$503,_calc!$E$882)),TEXT(INDEX('Our policies'!$J$4:$J$503,_calc!$E$882),"yyyy-mm-dd"),""),IF(ISNUMBER(INDEX('Vendor COIs'!$H$4:$H$503,(_calc!$E$882-500))),TEXT(INDEX('Vendor COIs'!$H$4:$H$503,(_calc!$E$882-500)),"yyyy-mm-dd"),"")))</f>
        <v/>
      </c>
      <c r="C880" s="46">
        <f>IF(_calc!$E$882="","",IF(_calc!$E$882&lt;=500,"Insurance","Certificate of insurance"))</f>
        <v/>
      </c>
      <c r="D880" s="46">
        <f>IF(_calc!$E$882="","",IF(_calc!$E$882&lt;=500,IF(ISNUMBER(INDEX('Our policies'!$I$4:$I$503,_calc!$E$882)),TEXT(INDEX('Our policies'!$I$4:$I$503,_calc!$E$882),"yyyy-mm-dd"),""),""))</f>
        <v/>
      </c>
      <c r="E880" s="46">
        <f>IF(_calc!$E$882="","",IF(_calc!$E$882&lt;=500,IF(LEN(INDEX('Our policies'!$Q$4:$Q$503,_calc!$E$882))=0,"",INDEX('Our policies'!$Q$4:$Q$503,_calc!$E$882)),"Medium"))</f>
        <v/>
      </c>
      <c r="F880" s="46">
        <f>IF(_calc!$E$882="","",IF(_calc!$E$882&lt;=500,TRIM(IF(LEN(IF(LEN(INDEX('Our policies'!$B$4:$B$503,_calc!$E$882))=0,"",INDEX('Our policies'!$B$4:$B$503,_calc!$E$882)))=0,"","Cover: "&amp;IF(LEN(INDEX('Our policies'!$B$4:$B$503,_calc!$E$882))=0,"",INDEX('Our policies'!$B$4:$B$503,_calc!$E$882))&amp;". ")&amp;IF(LEN(IF(LEN(INDEX('Our policies'!$C$4:$C$503,_calc!$E$882))=0,"",INDEX('Our policies'!$C$4:$C$503,_calc!$E$882)))=0,"","Insurer: "&amp;IF(LEN(INDEX('Our policies'!$C$4:$C$503,_calc!$E$882))=0,"",INDEX('Our policies'!$C$4:$C$503,_calc!$E$882))&amp;". ")&amp;IF(LEN(IF(LEN(INDEX('Our policies'!$D$4:$D$503,_calc!$E$882))=0,"",INDEX('Our policies'!$D$4:$D$503,_calc!$E$882)))=0,"","Broker: "&amp;IF(LEN(INDEX('Our policies'!$D$4:$D$503,_calc!$E$882))=0,"",INDEX('Our policies'!$D$4:$D$503,_calc!$E$882))&amp;". ")&amp;IF(LEN(IF(LEN(INDEX('Our policies'!$E$4:$E$503,_calc!$E$882))=0,"",INDEX('Our policies'!$E$4:$E$503,_calc!$E$882)))=0,"","Policy no.: "&amp;IF(LEN(INDEX('Our policies'!$E$4:$E$503,_calc!$E$882))=0,"",INDEX('Our policies'!$E$4:$E$503,_calc!$E$882))&amp;". ")&amp;IF(LEN(IF(LEN(INDEX('Our policies'!$S$4:$S$503,_calc!$E$882))=0,"",INDEX('Our policies'!$S$4:$S$503,_calc!$E$882)))=0,"",IF(LEN(INDEX('Our policies'!$S$4:$S$503,_calc!$E$882))=0,"",INDEX('Our policies'!$S$4:$S$503,_calc!$E$882)))),TRIM(IF(LEN(IF(LEN(INDEX('Vendor COIs'!$C$4:$C$503,(_calc!$E$882-500)))=0,"",INDEX('Vendor COIs'!$C$4:$C$503,(_calc!$E$882-500))))=0,"","Insurer: "&amp;IF(LEN(INDEX('Vendor COIs'!$C$4:$C$503,(_calc!$E$882-500)))=0,"",INDEX('Vendor COIs'!$C$4:$C$503,(_calc!$E$882-500)))&amp;". ")&amp;IF(LEN(IF(LEN(INDEX('Vendor COIs'!$D$4:$D$503,(_calc!$E$882-500)))=0,"",INDEX('Vendor COIs'!$D$4:$D$503,(_calc!$E$882-500))))=0,"","Policy no.: "&amp;IF(LEN(INDEX('Vendor COIs'!$D$4:$D$503,(_calc!$E$882-500)))=0,"",INDEX('Vendor COIs'!$D$4:$D$503,(_calc!$E$882-500)))&amp;". ")&amp;IF(LEN(IF(LEN(INDEX('Vendor COIs'!$F$4:$F$503,(_calc!$E$882-500)))=0,"",INDEX('Vendor COIs'!$F$4:$F$503,(_calc!$E$882-500))))=0,"","Meets minimum: "&amp;IF(LEN(INDEX('Vendor COIs'!$F$4:$F$503,(_calc!$E$882-500)))=0,"",INDEX('Vendor COIs'!$F$4:$F$503,(_calc!$E$882-500)))&amp;". ")&amp;IF(LEN(IF(LEN(INDEX('Vendor COIs'!$G$4:$G$503,(_calc!$E$882-500)))=0,"",INDEX('Vendor COIs'!$G$4:$G$503,(_calc!$E$882-500))))=0,"","Additional insured: "&amp;IF(LEN(INDEX('Vendor COIs'!$G$4:$G$503,(_calc!$E$882-500)))=0,"",INDEX('Vendor COIs'!$G$4:$G$503,(_calc!$E$882-500)))&amp;". ")&amp;IF(LEN(IF(LEN(INDEX('Vendor COIs'!$M$4:$M$503,(_calc!$E$882-500)))=0,"",INDEX('Vendor COIs'!$M$4:$M$503,(_calc!$E$882-500))))=0,"","Vendor contact: "&amp;IF(LEN(INDEX('Vendor COIs'!$M$4:$M$503,(_calc!$E$882-500)))=0,"",INDEX('Vendor COIs'!$M$4:$M$503,(_calc!$E$882-500)))&amp;". ")&amp;IF(LEN(IF(LEN(INDEX('Vendor COIs'!$P$4:$P$503,(_calc!$E$882-500)))=0,"",INDEX('Vendor COIs'!$P$4:$P$503,(_calc!$E$882-500))))=0,"",IF(LEN(INDEX('Vendor COIs'!$P$4:$P$503,(_calc!$E$882-500)))=0,"",INDEX('Vendor COIs'!$P$4:$P$503,(_calc!$E$882-500)))))))</f>
        <v/>
      </c>
      <c r="G880" s="46">
        <f>IF(_calc!$E$882="","",IF(_calc!$E$882&lt;=500,IF(LEN(INDEX('Our policies'!$R$4:$R$503,_calc!$E$882))=0,"",INDEX('Our policies'!$R$4:$R$503,_calc!$E$882)),IF(LEN(INDEX('Vendor COIs'!$O$4:$O$503,(_calc!$E$882-500)))=0,"",INDEX('Vendor COIs'!$O$4:$O$503,(_calc!$E$882-500)))))</f>
        <v/>
      </c>
      <c r="H880" s="46">
        <f>IF(_calc!$E$882="","",IF(_calc!$E$882&lt;=500,IF(LEN(INDEX('Our policies'!$G$4:$G$503,_calc!$E$882))=0,"",INDEX('Our policies'!$G$4:$G$503,_calc!$E$882)),""))</f>
        <v/>
      </c>
      <c r="I880" s="46">
        <f>IF(_calc!$E$882="","",IF(_calc!$E$882&lt;=500,IF(LEN(INDEX('Our policies'!$H$4:$H$503,_calc!$E$882))=0,"",INDEX('Our policies'!$H$4:$H$503,_calc!$E$882)),""))</f>
        <v/>
      </c>
      <c r="K880" s="46">
        <f>IF(_calc!$E$882="","",IF(_calc!$E$882&lt;=500,IF(LEN(INDEX('Our policies'!$P$4:$P$503,_calc!$E$882))=0,"",INDEX('Our policies'!$P$4:$P$503,_calc!$E$882)),IF(LEN(INDEX('Vendor COIs'!$N$4:$N$503,(_calc!$E$882-500)))=0,"",INDEX('Vendor COIs'!$N$4:$N$503,(_calc!$E$882-500)))))</f>
        <v/>
      </c>
    </row>
    <row r="881">
      <c r="A881" s="46">
        <f>IF(_calc!$E$883="","",IF(_calc!$E$883&lt;=500,IF(LEN(INDEX('Our policies'!$A$4:$A$503,_calc!$E$883))=0,"",INDEX('Our policies'!$A$4:$A$503,_calc!$E$883)),"COI – "&amp;IF(LEN(INDEX('Vendor COIs'!$A$4:$A$503,(_calc!$E$883-500)))=0,"",INDEX('Vendor COIs'!$A$4:$A$503,(_calc!$E$883-500)))&amp;" – "&amp;IF(LEN(INDEX('Vendor COIs'!$B$4:$B$503,(_calc!$E$883-500)))=0,"",INDEX('Vendor COIs'!$B$4:$B$503,(_calc!$E$883-500)))))</f>
        <v/>
      </c>
      <c r="B881" s="46">
        <f>IF(_calc!$E$883="","",IF(_calc!$E$883&lt;=500,IF(ISNUMBER(INDEX('Our policies'!$J$4:$J$503,_calc!$E$883)),TEXT(INDEX('Our policies'!$J$4:$J$503,_calc!$E$883),"yyyy-mm-dd"),""),IF(ISNUMBER(INDEX('Vendor COIs'!$H$4:$H$503,(_calc!$E$883-500))),TEXT(INDEX('Vendor COIs'!$H$4:$H$503,(_calc!$E$883-500)),"yyyy-mm-dd"),"")))</f>
        <v/>
      </c>
      <c r="C881" s="46">
        <f>IF(_calc!$E$883="","",IF(_calc!$E$883&lt;=500,"Insurance","Certificate of insurance"))</f>
        <v/>
      </c>
      <c r="D881" s="46">
        <f>IF(_calc!$E$883="","",IF(_calc!$E$883&lt;=500,IF(ISNUMBER(INDEX('Our policies'!$I$4:$I$503,_calc!$E$883)),TEXT(INDEX('Our policies'!$I$4:$I$503,_calc!$E$883),"yyyy-mm-dd"),""),""))</f>
        <v/>
      </c>
      <c r="E881" s="46">
        <f>IF(_calc!$E$883="","",IF(_calc!$E$883&lt;=500,IF(LEN(INDEX('Our policies'!$Q$4:$Q$503,_calc!$E$883))=0,"",INDEX('Our policies'!$Q$4:$Q$503,_calc!$E$883)),"Medium"))</f>
        <v/>
      </c>
      <c r="F881" s="46">
        <f>IF(_calc!$E$883="","",IF(_calc!$E$883&lt;=500,TRIM(IF(LEN(IF(LEN(INDEX('Our policies'!$B$4:$B$503,_calc!$E$883))=0,"",INDEX('Our policies'!$B$4:$B$503,_calc!$E$883)))=0,"","Cover: "&amp;IF(LEN(INDEX('Our policies'!$B$4:$B$503,_calc!$E$883))=0,"",INDEX('Our policies'!$B$4:$B$503,_calc!$E$883))&amp;". ")&amp;IF(LEN(IF(LEN(INDEX('Our policies'!$C$4:$C$503,_calc!$E$883))=0,"",INDEX('Our policies'!$C$4:$C$503,_calc!$E$883)))=0,"","Insurer: "&amp;IF(LEN(INDEX('Our policies'!$C$4:$C$503,_calc!$E$883))=0,"",INDEX('Our policies'!$C$4:$C$503,_calc!$E$883))&amp;". ")&amp;IF(LEN(IF(LEN(INDEX('Our policies'!$D$4:$D$503,_calc!$E$883))=0,"",INDEX('Our policies'!$D$4:$D$503,_calc!$E$883)))=0,"","Broker: "&amp;IF(LEN(INDEX('Our policies'!$D$4:$D$503,_calc!$E$883))=0,"",INDEX('Our policies'!$D$4:$D$503,_calc!$E$883))&amp;". ")&amp;IF(LEN(IF(LEN(INDEX('Our policies'!$E$4:$E$503,_calc!$E$883))=0,"",INDEX('Our policies'!$E$4:$E$503,_calc!$E$883)))=0,"","Policy no.: "&amp;IF(LEN(INDEX('Our policies'!$E$4:$E$503,_calc!$E$883))=0,"",INDEX('Our policies'!$E$4:$E$503,_calc!$E$883))&amp;". ")&amp;IF(LEN(IF(LEN(INDEX('Our policies'!$S$4:$S$503,_calc!$E$883))=0,"",INDEX('Our policies'!$S$4:$S$503,_calc!$E$883)))=0,"",IF(LEN(INDEX('Our policies'!$S$4:$S$503,_calc!$E$883))=0,"",INDEX('Our policies'!$S$4:$S$503,_calc!$E$883)))),TRIM(IF(LEN(IF(LEN(INDEX('Vendor COIs'!$C$4:$C$503,(_calc!$E$883-500)))=0,"",INDEX('Vendor COIs'!$C$4:$C$503,(_calc!$E$883-500))))=0,"","Insurer: "&amp;IF(LEN(INDEX('Vendor COIs'!$C$4:$C$503,(_calc!$E$883-500)))=0,"",INDEX('Vendor COIs'!$C$4:$C$503,(_calc!$E$883-500)))&amp;". ")&amp;IF(LEN(IF(LEN(INDEX('Vendor COIs'!$D$4:$D$503,(_calc!$E$883-500)))=0,"",INDEX('Vendor COIs'!$D$4:$D$503,(_calc!$E$883-500))))=0,"","Policy no.: "&amp;IF(LEN(INDEX('Vendor COIs'!$D$4:$D$503,(_calc!$E$883-500)))=0,"",INDEX('Vendor COIs'!$D$4:$D$503,(_calc!$E$883-500)))&amp;". ")&amp;IF(LEN(IF(LEN(INDEX('Vendor COIs'!$F$4:$F$503,(_calc!$E$883-500)))=0,"",INDEX('Vendor COIs'!$F$4:$F$503,(_calc!$E$883-500))))=0,"","Meets minimum: "&amp;IF(LEN(INDEX('Vendor COIs'!$F$4:$F$503,(_calc!$E$883-500)))=0,"",INDEX('Vendor COIs'!$F$4:$F$503,(_calc!$E$883-500)))&amp;". ")&amp;IF(LEN(IF(LEN(INDEX('Vendor COIs'!$G$4:$G$503,(_calc!$E$883-500)))=0,"",INDEX('Vendor COIs'!$G$4:$G$503,(_calc!$E$883-500))))=0,"","Additional insured: "&amp;IF(LEN(INDEX('Vendor COIs'!$G$4:$G$503,(_calc!$E$883-500)))=0,"",INDEX('Vendor COIs'!$G$4:$G$503,(_calc!$E$883-500)))&amp;". ")&amp;IF(LEN(IF(LEN(INDEX('Vendor COIs'!$M$4:$M$503,(_calc!$E$883-500)))=0,"",INDEX('Vendor COIs'!$M$4:$M$503,(_calc!$E$883-500))))=0,"","Vendor contact: "&amp;IF(LEN(INDEX('Vendor COIs'!$M$4:$M$503,(_calc!$E$883-500)))=0,"",INDEX('Vendor COIs'!$M$4:$M$503,(_calc!$E$883-500)))&amp;". ")&amp;IF(LEN(IF(LEN(INDEX('Vendor COIs'!$P$4:$P$503,(_calc!$E$883-500)))=0,"",INDEX('Vendor COIs'!$P$4:$P$503,(_calc!$E$883-500))))=0,"",IF(LEN(INDEX('Vendor COIs'!$P$4:$P$503,(_calc!$E$883-500)))=0,"",INDEX('Vendor COIs'!$P$4:$P$503,(_calc!$E$883-500)))))))</f>
        <v/>
      </c>
      <c r="G881" s="46">
        <f>IF(_calc!$E$883="","",IF(_calc!$E$883&lt;=500,IF(LEN(INDEX('Our policies'!$R$4:$R$503,_calc!$E$883))=0,"",INDEX('Our policies'!$R$4:$R$503,_calc!$E$883)),IF(LEN(INDEX('Vendor COIs'!$O$4:$O$503,(_calc!$E$883-500)))=0,"",INDEX('Vendor COIs'!$O$4:$O$503,(_calc!$E$883-500)))))</f>
        <v/>
      </c>
      <c r="H881" s="46">
        <f>IF(_calc!$E$883="","",IF(_calc!$E$883&lt;=500,IF(LEN(INDEX('Our policies'!$G$4:$G$503,_calc!$E$883))=0,"",INDEX('Our policies'!$G$4:$G$503,_calc!$E$883)),""))</f>
        <v/>
      </c>
      <c r="I881" s="46">
        <f>IF(_calc!$E$883="","",IF(_calc!$E$883&lt;=500,IF(LEN(INDEX('Our policies'!$H$4:$H$503,_calc!$E$883))=0,"",INDEX('Our policies'!$H$4:$H$503,_calc!$E$883)),""))</f>
        <v/>
      </c>
      <c r="K881" s="46">
        <f>IF(_calc!$E$883="","",IF(_calc!$E$883&lt;=500,IF(LEN(INDEX('Our policies'!$P$4:$P$503,_calc!$E$883))=0,"",INDEX('Our policies'!$P$4:$P$503,_calc!$E$883)),IF(LEN(INDEX('Vendor COIs'!$N$4:$N$503,(_calc!$E$883-500)))=0,"",INDEX('Vendor COIs'!$N$4:$N$503,(_calc!$E$883-500)))))</f>
        <v/>
      </c>
    </row>
    <row r="882">
      <c r="A882" s="46">
        <f>IF(_calc!$E$884="","",IF(_calc!$E$884&lt;=500,IF(LEN(INDEX('Our policies'!$A$4:$A$503,_calc!$E$884))=0,"",INDEX('Our policies'!$A$4:$A$503,_calc!$E$884)),"COI – "&amp;IF(LEN(INDEX('Vendor COIs'!$A$4:$A$503,(_calc!$E$884-500)))=0,"",INDEX('Vendor COIs'!$A$4:$A$503,(_calc!$E$884-500)))&amp;" – "&amp;IF(LEN(INDEX('Vendor COIs'!$B$4:$B$503,(_calc!$E$884-500)))=0,"",INDEX('Vendor COIs'!$B$4:$B$503,(_calc!$E$884-500)))))</f>
        <v/>
      </c>
      <c r="B882" s="46">
        <f>IF(_calc!$E$884="","",IF(_calc!$E$884&lt;=500,IF(ISNUMBER(INDEX('Our policies'!$J$4:$J$503,_calc!$E$884)),TEXT(INDEX('Our policies'!$J$4:$J$503,_calc!$E$884),"yyyy-mm-dd"),""),IF(ISNUMBER(INDEX('Vendor COIs'!$H$4:$H$503,(_calc!$E$884-500))),TEXT(INDEX('Vendor COIs'!$H$4:$H$503,(_calc!$E$884-500)),"yyyy-mm-dd"),"")))</f>
        <v/>
      </c>
      <c r="C882" s="46">
        <f>IF(_calc!$E$884="","",IF(_calc!$E$884&lt;=500,"Insurance","Certificate of insurance"))</f>
        <v/>
      </c>
      <c r="D882" s="46">
        <f>IF(_calc!$E$884="","",IF(_calc!$E$884&lt;=500,IF(ISNUMBER(INDEX('Our policies'!$I$4:$I$503,_calc!$E$884)),TEXT(INDEX('Our policies'!$I$4:$I$503,_calc!$E$884),"yyyy-mm-dd"),""),""))</f>
        <v/>
      </c>
      <c r="E882" s="46">
        <f>IF(_calc!$E$884="","",IF(_calc!$E$884&lt;=500,IF(LEN(INDEX('Our policies'!$Q$4:$Q$503,_calc!$E$884))=0,"",INDEX('Our policies'!$Q$4:$Q$503,_calc!$E$884)),"Medium"))</f>
        <v/>
      </c>
      <c r="F882" s="46">
        <f>IF(_calc!$E$884="","",IF(_calc!$E$884&lt;=500,TRIM(IF(LEN(IF(LEN(INDEX('Our policies'!$B$4:$B$503,_calc!$E$884))=0,"",INDEX('Our policies'!$B$4:$B$503,_calc!$E$884)))=0,"","Cover: "&amp;IF(LEN(INDEX('Our policies'!$B$4:$B$503,_calc!$E$884))=0,"",INDEX('Our policies'!$B$4:$B$503,_calc!$E$884))&amp;". ")&amp;IF(LEN(IF(LEN(INDEX('Our policies'!$C$4:$C$503,_calc!$E$884))=0,"",INDEX('Our policies'!$C$4:$C$503,_calc!$E$884)))=0,"","Insurer: "&amp;IF(LEN(INDEX('Our policies'!$C$4:$C$503,_calc!$E$884))=0,"",INDEX('Our policies'!$C$4:$C$503,_calc!$E$884))&amp;". ")&amp;IF(LEN(IF(LEN(INDEX('Our policies'!$D$4:$D$503,_calc!$E$884))=0,"",INDEX('Our policies'!$D$4:$D$503,_calc!$E$884)))=0,"","Broker: "&amp;IF(LEN(INDEX('Our policies'!$D$4:$D$503,_calc!$E$884))=0,"",INDEX('Our policies'!$D$4:$D$503,_calc!$E$884))&amp;". ")&amp;IF(LEN(IF(LEN(INDEX('Our policies'!$E$4:$E$503,_calc!$E$884))=0,"",INDEX('Our policies'!$E$4:$E$503,_calc!$E$884)))=0,"","Policy no.: "&amp;IF(LEN(INDEX('Our policies'!$E$4:$E$503,_calc!$E$884))=0,"",INDEX('Our policies'!$E$4:$E$503,_calc!$E$884))&amp;". ")&amp;IF(LEN(IF(LEN(INDEX('Our policies'!$S$4:$S$503,_calc!$E$884))=0,"",INDEX('Our policies'!$S$4:$S$503,_calc!$E$884)))=0,"",IF(LEN(INDEX('Our policies'!$S$4:$S$503,_calc!$E$884))=0,"",INDEX('Our policies'!$S$4:$S$503,_calc!$E$884)))),TRIM(IF(LEN(IF(LEN(INDEX('Vendor COIs'!$C$4:$C$503,(_calc!$E$884-500)))=0,"",INDEX('Vendor COIs'!$C$4:$C$503,(_calc!$E$884-500))))=0,"","Insurer: "&amp;IF(LEN(INDEX('Vendor COIs'!$C$4:$C$503,(_calc!$E$884-500)))=0,"",INDEX('Vendor COIs'!$C$4:$C$503,(_calc!$E$884-500)))&amp;". ")&amp;IF(LEN(IF(LEN(INDEX('Vendor COIs'!$D$4:$D$503,(_calc!$E$884-500)))=0,"",INDEX('Vendor COIs'!$D$4:$D$503,(_calc!$E$884-500))))=0,"","Policy no.: "&amp;IF(LEN(INDEX('Vendor COIs'!$D$4:$D$503,(_calc!$E$884-500)))=0,"",INDEX('Vendor COIs'!$D$4:$D$503,(_calc!$E$884-500)))&amp;". ")&amp;IF(LEN(IF(LEN(INDEX('Vendor COIs'!$F$4:$F$503,(_calc!$E$884-500)))=0,"",INDEX('Vendor COIs'!$F$4:$F$503,(_calc!$E$884-500))))=0,"","Meets minimum: "&amp;IF(LEN(INDEX('Vendor COIs'!$F$4:$F$503,(_calc!$E$884-500)))=0,"",INDEX('Vendor COIs'!$F$4:$F$503,(_calc!$E$884-500)))&amp;". ")&amp;IF(LEN(IF(LEN(INDEX('Vendor COIs'!$G$4:$G$503,(_calc!$E$884-500)))=0,"",INDEX('Vendor COIs'!$G$4:$G$503,(_calc!$E$884-500))))=0,"","Additional insured: "&amp;IF(LEN(INDEX('Vendor COIs'!$G$4:$G$503,(_calc!$E$884-500)))=0,"",INDEX('Vendor COIs'!$G$4:$G$503,(_calc!$E$884-500)))&amp;". ")&amp;IF(LEN(IF(LEN(INDEX('Vendor COIs'!$M$4:$M$503,(_calc!$E$884-500)))=0,"",INDEX('Vendor COIs'!$M$4:$M$503,(_calc!$E$884-500))))=0,"","Vendor contact: "&amp;IF(LEN(INDEX('Vendor COIs'!$M$4:$M$503,(_calc!$E$884-500)))=0,"",INDEX('Vendor COIs'!$M$4:$M$503,(_calc!$E$884-500)))&amp;". ")&amp;IF(LEN(IF(LEN(INDEX('Vendor COIs'!$P$4:$P$503,(_calc!$E$884-500)))=0,"",INDEX('Vendor COIs'!$P$4:$P$503,(_calc!$E$884-500))))=0,"",IF(LEN(INDEX('Vendor COIs'!$P$4:$P$503,(_calc!$E$884-500)))=0,"",INDEX('Vendor COIs'!$P$4:$P$503,(_calc!$E$884-500)))))))</f>
        <v/>
      </c>
      <c r="G882" s="46">
        <f>IF(_calc!$E$884="","",IF(_calc!$E$884&lt;=500,IF(LEN(INDEX('Our policies'!$R$4:$R$503,_calc!$E$884))=0,"",INDEX('Our policies'!$R$4:$R$503,_calc!$E$884)),IF(LEN(INDEX('Vendor COIs'!$O$4:$O$503,(_calc!$E$884-500)))=0,"",INDEX('Vendor COIs'!$O$4:$O$503,(_calc!$E$884-500)))))</f>
        <v/>
      </c>
      <c r="H882" s="46">
        <f>IF(_calc!$E$884="","",IF(_calc!$E$884&lt;=500,IF(LEN(INDEX('Our policies'!$G$4:$G$503,_calc!$E$884))=0,"",INDEX('Our policies'!$G$4:$G$503,_calc!$E$884)),""))</f>
        <v/>
      </c>
      <c r="I882" s="46">
        <f>IF(_calc!$E$884="","",IF(_calc!$E$884&lt;=500,IF(LEN(INDEX('Our policies'!$H$4:$H$503,_calc!$E$884))=0,"",INDEX('Our policies'!$H$4:$H$503,_calc!$E$884)),""))</f>
        <v/>
      </c>
      <c r="K882" s="46">
        <f>IF(_calc!$E$884="","",IF(_calc!$E$884&lt;=500,IF(LEN(INDEX('Our policies'!$P$4:$P$503,_calc!$E$884))=0,"",INDEX('Our policies'!$P$4:$P$503,_calc!$E$884)),IF(LEN(INDEX('Vendor COIs'!$N$4:$N$503,(_calc!$E$884-500)))=0,"",INDEX('Vendor COIs'!$N$4:$N$503,(_calc!$E$884-500)))))</f>
        <v/>
      </c>
    </row>
    <row r="883">
      <c r="A883" s="46">
        <f>IF(_calc!$E$885="","",IF(_calc!$E$885&lt;=500,IF(LEN(INDEX('Our policies'!$A$4:$A$503,_calc!$E$885))=0,"",INDEX('Our policies'!$A$4:$A$503,_calc!$E$885)),"COI – "&amp;IF(LEN(INDEX('Vendor COIs'!$A$4:$A$503,(_calc!$E$885-500)))=0,"",INDEX('Vendor COIs'!$A$4:$A$503,(_calc!$E$885-500)))&amp;" – "&amp;IF(LEN(INDEX('Vendor COIs'!$B$4:$B$503,(_calc!$E$885-500)))=0,"",INDEX('Vendor COIs'!$B$4:$B$503,(_calc!$E$885-500)))))</f>
        <v/>
      </c>
      <c r="B883" s="46">
        <f>IF(_calc!$E$885="","",IF(_calc!$E$885&lt;=500,IF(ISNUMBER(INDEX('Our policies'!$J$4:$J$503,_calc!$E$885)),TEXT(INDEX('Our policies'!$J$4:$J$503,_calc!$E$885),"yyyy-mm-dd"),""),IF(ISNUMBER(INDEX('Vendor COIs'!$H$4:$H$503,(_calc!$E$885-500))),TEXT(INDEX('Vendor COIs'!$H$4:$H$503,(_calc!$E$885-500)),"yyyy-mm-dd"),"")))</f>
        <v/>
      </c>
      <c r="C883" s="46">
        <f>IF(_calc!$E$885="","",IF(_calc!$E$885&lt;=500,"Insurance","Certificate of insurance"))</f>
        <v/>
      </c>
      <c r="D883" s="46">
        <f>IF(_calc!$E$885="","",IF(_calc!$E$885&lt;=500,IF(ISNUMBER(INDEX('Our policies'!$I$4:$I$503,_calc!$E$885)),TEXT(INDEX('Our policies'!$I$4:$I$503,_calc!$E$885),"yyyy-mm-dd"),""),""))</f>
        <v/>
      </c>
      <c r="E883" s="46">
        <f>IF(_calc!$E$885="","",IF(_calc!$E$885&lt;=500,IF(LEN(INDEX('Our policies'!$Q$4:$Q$503,_calc!$E$885))=0,"",INDEX('Our policies'!$Q$4:$Q$503,_calc!$E$885)),"Medium"))</f>
        <v/>
      </c>
      <c r="F883" s="46">
        <f>IF(_calc!$E$885="","",IF(_calc!$E$885&lt;=500,TRIM(IF(LEN(IF(LEN(INDEX('Our policies'!$B$4:$B$503,_calc!$E$885))=0,"",INDEX('Our policies'!$B$4:$B$503,_calc!$E$885)))=0,"","Cover: "&amp;IF(LEN(INDEX('Our policies'!$B$4:$B$503,_calc!$E$885))=0,"",INDEX('Our policies'!$B$4:$B$503,_calc!$E$885))&amp;". ")&amp;IF(LEN(IF(LEN(INDEX('Our policies'!$C$4:$C$503,_calc!$E$885))=0,"",INDEX('Our policies'!$C$4:$C$503,_calc!$E$885)))=0,"","Insurer: "&amp;IF(LEN(INDEX('Our policies'!$C$4:$C$503,_calc!$E$885))=0,"",INDEX('Our policies'!$C$4:$C$503,_calc!$E$885))&amp;". ")&amp;IF(LEN(IF(LEN(INDEX('Our policies'!$D$4:$D$503,_calc!$E$885))=0,"",INDEX('Our policies'!$D$4:$D$503,_calc!$E$885)))=0,"","Broker: "&amp;IF(LEN(INDEX('Our policies'!$D$4:$D$503,_calc!$E$885))=0,"",INDEX('Our policies'!$D$4:$D$503,_calc!$E$885))&amp;". ")&amp;IF(LEN(IF(LEN(INDEX('Our policies'!$E$4:$E$503,_calc!$E$885))=0,"",INDEX('Our policies'!$E$4:$E$503,_calc!$E$885)))=0,"","Policy no.: "&amp;IF(LEN(INDEX('Our policies'!$E$4:$E$503,_calc!$E$885))=0,"",INDEX('Our policies'!$E$4:$E$503,_calc!$E$885))&amp;". ")&amp;IF(LEN(IF(LEN(INDEX('Our policies'!$S$4:$S$503,_calc!$E$885))=0,"",INDEX('Our policies'!$S$4:$S$503,_calc!$E$885)))=0,"",IF(LEN(INDEX('Our policies'!$S$4:$S$503,_calc!$E$885))=0,"",INDEX('Our policies'!$S$4:$S$503,_calc!$E$885)))),TRIM(IF(LEN(IF(LEN(INDEX('Vendor COIs'!$C$4:$C$503,(_calc!$E$885-500)))=0,"",INDEX('Vendor COIs'!$C$4:$C$503,(_calc!$E$885-500))))=0,"","Insurer: "&amp;IF(LEN(INDEX('Vendor COIs'!$C$4:$C$503,(_calc!$E$885-500)))=0,"",INDEX('Vendor COIs'!$C$4:$C$503,(_calc!$E$885-500)))&amp;". ")&amp;IF(LEN(IF(LEN(INDEX('Vendor COIs'!$D$4:$D$503,(_calc!$E$885-500)))=0,"",INDEX('Vendor COIs'!$D$4:$D$503,(_calc!$E$885-500))))=0,"","Policy no.: "&amp;IF(LEN(INDEX('Vendor COIs'!$D$4:$D$503,(_calc!$E$885-500)))=0,"",INDEX('Vendor COIs'!$D$4:$D$503,(_calc!$E$885-500)))&amp;". ")&amp;IF(LEN(IF(LEN(INDEX('Vendor COIs'!$F$4:$F$503,(_calc!$E$885-500)))=0,"",INDEX('Vendor COIs'!$F$4:$F$503,(_calc!$E$885-500))))=0,"","Meets minimum: "&amp;IF(LEN(INDEX('Vendor COIs'!$F$4:$F$503,(_calc!$E$885-500)))=0,"",INDEX('Vendor COIs'!$F$4:$F$503,(_calc!$E$885-500)))&amp;". ")&amp;IF(LEN(IF(LEN(INDEX('Vendor COIs'!$G$4:$G$503,(_calc!$E$885-500)))=0,"",INDEX('Vendor COIs'!$G$4:$G$503,(_calc!$E$885-500))))=0,"","Additional insured: "&amp;IF(LEN(INDEX('Vendor COIs'!$G$4:$G$503,(_calc!$E$885-500)))=0,"",INDEX('Vendor COIs'!$G$4:$G$503,(_calc!$E$885-500)))&amp;". ")&amp;IF(LEN(IF(LEN(INDEX('Vendor COIs'!$M$4:$M$503,(_calc!$E$885-500)))=0,"",INDEX('Vendor COIs'!$M$4:$M$503,(_calc!$E$885-500))))=0,"","Vendor contact: "&amp;IF(LEN(INDEX('Vendor COIs'!$M$4:$M$503,(_calc!$E$885-500)))=0,"",INDEX('Vendor COIs'!$M$4:$M$503,(_calc!$E$885-500)))&amp;". ")&amp;IF(LEN(IF(LEN(INDEX('Vendor COIs'!$P$4:$P$503,(_calc!$E$885-500)))=0,"",INDEX('Vendor COIs'!$P$4:$P$503,(_calc!$E$885-500))))=0,"",IF(LEN(INDEX('Vendor COIs'!$P$4:$P$503,(_calc!$E$885-500)))=0,"",INDEX('Vendor COIs'!$P$4:$P$503,(_calc!$E$885-500)))))))</f>
        <v/>
      </c>
      <c r="G883" s="46">
        <f>IF(_calc!$E$885="","",IF(_calc!$E$885&lt;=500,IF(LEN(INDEX('Our policies'!$R$4:$R$503,_calc!$E$885))=0,"",INDEX('Our policies'!$R$4:$R$503,_calc!$E$885)),IF(LEN(INDEX('Vendor COIs'!$O$4:$O$503,(_calc!$E$885-500)))=0,"",INDEX('Vendor COIs'!$O$4:$O$503,(_calc!$E$885-500)))))</f>
        <v/>
      </c>
      <c r="H883" s="46">
        <f>IF(_calc!$E$885="","",IF(_calc!$E$885&lt;=500,IF(LEN(INDEX('Our policies'!$G$4:$G$503,_calc!$E$885))=0,"",INDEX('Our policies'!$G$4:$G$503,_calc!$E$885)),""))</f>
        <v/>
      </c>
      <c r="I883" s="46">
        <f>IF(_calc!$E$885="","",IF(_calc!$E$885&lt;=500,IF(LEN(INDEX('Our policies'!$H$4:$H$503,_calc!$E$885))=0,"",INDEX('Our policies'!$H$4:$H$503,_calc!$E$885)),""))</f>
        <v/>
      </c>
      <c r="K883" s="46">
        <f>IF(_calc!$E$885="","",IF(_calc!$E$885&lt;=500,IF(LEN(INDEX('Our policies'!$P$4:$P$503,_calc!$E$885))=0,"",INDEX('Our policies'!$P$4:$P$503,_calc!$E$885)),IF(LEN(INDEX('Vendor COIs'!$N$4:$N$503,(_calc!$E$885-500)))=0,"",INDEX('Vendor COIs'!$N$4:$N$503,(_calc!$E$885-500)))))</f>
        <v/>
      </c>
    </row>
    <row r="884">
      <c r="A884" s="46">
        <f>IF(_calc!$E$886="","",IF(_calc!$E$886&lt;=500,IF(LEN(INDEX('Our policies'!$A$4:$A$503,_calc!$E$886))=0,"",INDEX('Our policies'!$A$4:$A$503,_calc!$E$886)),"COI – "&amp;IF(LEN(INDEX('Vendor COIs'!$A$4:$A$503,(_calc!$E$886-500)))=0,"",INDEX('Vendor COIs'!$A$4:$A$503,(_calc!$E$886-500)))&amp;" – "&amp;IF(LEN(INDEX('Vendor COIs'!$B$4:$B$503,(_calc!$E$886-500)))=0,"",INDEX('Vendor COIs'!$B$4:$B$503,(_calc!$E$886-500)))))</f>
        <v/>
      </c>
      <c r="B884" s="46">
        <f>IF(_calc!$E$886="","",IF(_calc!$E$886&lt;=500,IF(ISNUMBER(INDEX('Our policies'!$J$4:$J$503,_calc!$E$886)),TEXT(INDEX('Our policies'!$J$4:$J$503,_calc!$E$886),"yyyy-mm-dd"),""),IF(ISNUMBER(INDEX('Vendor COIs'!$H$4:$H$503,(_calc!$E$886-500))),TEXT(INDEX('Vendor COIs'!$H$4:$H$503,(_calc!$E$886-500)),"yyyy-mm-dd"),"")))</f>
        <v/>
      </c>
      <c r="C884" s="46">
        <f>IF(_calc!$E$886="","",IF(_calc!$E$886&lt;=500,"Insurance","Certificate of insurance"))</f>
        <v/>
      </c>
      <c r="D884" s="46">
        <f>IF(_calc!$E$886="","",IF(_calc!$E$886&lt;=500,IF(ISNUMBER(INDEX('Our policies'!$I$4:$I$503,_calc!$E$886)),TEXT(INDEX('Our policies'!$I$4:$I$503,_calc!$E$886),"yyyy-mm-dd"),""),""))</f>
        <v/>
      </c>
      <c r="E884" s="46">
        <f>IF(_calc!$E$886="","",IF(_calc!$E$886&lt;=500,IF(LEN(INDEX('Our policies'!$Q$4:$Q$503,_calc!$E$886))=0,"",INDEX('Our policies'!$Q$4:$Q$503,_calc!$E$886)),"Medium"))</f>
        <v/>
      </c>
      <c r="F884" s="46">
        <f>IF(_calc!$E$886="","",IF(_calc!$E$886&lt;=500,TRIM(IF(LEN(IF(LEN(INDEX('Our policies'!$B$4:$B$503,_calc!$E$886))=0,"",INDEX('Our policies'!$B$4:$B$503,_calc!$E$886)))=0,"","Cover: "&amp;IF(LEN(INDEX('Our policies'!$B$4:$B$503,_calc!$E$886))=0,"",INDEX('Our policies'!$B$4:$B$503,_calc!$E$886))&amp;". ")&amp;IF(LEN(IF(LEN(INDEX('Our policies'!$C$4:$C$503,_calc!$E$886))=0,"",INDEX('Our policies'!$C$4:$C$503,_calc!$E$886)))=0,"","Insurer: "&amp;IF(LEN(INDEX('Our policies'!$C$4:$C$503,_calc!$E$886))=0,"",INDEX('Our policies'!$C$4:$C$503,_calc!$E$886))&amp;". ")&amp;IF(LEN(IF(LEN(INDEX('Our policies'!$D$4:$D$503,_calc!$E$886))=0,"",INDEX('Our policies'!$D$4:$D$503,_calc!$E$886)))=0,"","Broker: "&amp;IF(LEN(INDEX('Our policies'!$D$4:$D$503,_calc!$E$886))=0,"",INDEX('Our policies'!$D$4:$D$503,_calc!$E$886))&amp;". ")&amp;IF(LEN(IF(LEN(INDEX('Our policies'!$E$4:$E$503,_calc!$E$886))=0,"",INDEX('Our policies'!$E$4:$E$503,_calc!$E$886)))=0,"","Policy no.: "&amp;IF(LEN(INDEX('Our policies'!$E$4:$E$503,_calc!$E$886))=0,"",INDEX('Our policies'!$E$4:$E$503,_calc!$E$886))&amp;". ")&amp;IF(LEN(IF(LEN(INDEX('Our policies'!$S$4:$S$503,_calc!$E$886))=0,"",INDEX('Our policies'!$S$4:$S$503,_calc!$E$886)))=0,"",IF(LEN(INDEX('Our policies'!$S$4:$S$503,_calc!$E$886))=0,"",INDEX('Our policies'!$S$4:$S$503,_calc!$E$886)))),TRIM(IF(LEN(IF(LEN(INDEX('Vendor COIs'!$C$4:$C$503,(_calc!$E$886-500)))=0,"",INDEX('Vendor COIs'!$C$4:$C$503,(_calc!$E$886-500))))=0,"","Insurer: "&amp;IF(LEN(INDEX('Vendor COIs'!$C$4:$C$503,(_calc!$E$886-500)))=0,"",INDEX('Vendor COIs'!$C$4:$C$503,(_calc!$E$886-500)))&amp;". ")&amp;IF(LEN(IF(LEN(INDEX('Vendor COIs'!$D$4:$D$503,(_calc!$E$886-500)))=0,"",INDEX('Vendor COIs'!$D$4:$D$503,(_calc!$E$886-500))))=0,"","Policy no.: "&amp;IF(LEN(INDEX('Vendor COIs'!$D$4:$D$503,(_calc!$E$886-500)))=0,"",INDEX('Vendor COIs'!$D$4:$D$503,(_calc!$E$886-500)))&amp;". ")&amp;IF(LEN(IF(LEN(INDEX('Vendor COIs'!$F$4:$F$503,(_calc!$E$886-500)))=0,"",INDEX('Vendor COIs'!$F$4:$F$503,(_calc!$E$886-500))))=0,"","Meets minimum: "&amp;IF(LEN(INDEX('Vendor COIs'!$F$4:$F$503,(_calc!$E$886-500)))=0,"",INDEX('Vendor COIs'!$F$4:$F$503,(_calc!$E$886-500)))&amp;". ")&amp;IF(LEN(IF(LEN(INDEX('Vendor COIs'!$G$4:$G$503,(_calc!$E$886-500)))=0,"",INDEX('Vendor COIs'!$G$4:$G$503,(_calc!$E$886-500))))=0,"","Additional insured: "&amp;IF(LEN(INDEX('Vendor COIs'!$G$4:$G$503,(_calc!$E$886-500)))=0,"",INDEX('Vendor COIs'!$G$4:$G$503,(_calc!$E$886-500)))&amp;". ")&amp;IF(LEN(IF(LEN(INDEX('Vendor COIs'!$M$4:$M$503,(_calc!$E$886-500)))=0,"",INDEX('Vendor COIs'!$M$4:$M$503,(_calc!$E$886-500))))=0,"","Vendor contact: "&amp;IF(LEN(INDEX('Vendor COIs'!$M$4:$M$503,(_calc!$E$886-500)))=0,"",INDEX('Vendor COIs'!$M$4:$M$503,(_calc!$E$886-500)))&amp;". ")&amp;IF(LEN(IF(LEN(INDEX('Vendor COIs'!$P$4:$P$503,(_calc!$E$886-500)))=0,"",INDEX('Vendor COIs'!$P$4:$P$503,(_calc!$E$886-500))))=0,"",IF(LEN(INDEX('Vendor COIs'!$P$4:$P$503,(_calc!$E$886-500)))=0,"",INDEX('Vendor COIs'!$P$4:$P$503,(_calc!$E$886-500)))))))</f>
        <v/>
      </c>
      <c r="G884" s="46">
        <f>IF(_calc!$E$886="","",IF(_calc!$E$886&lt;=500,IF(LEN(INDEX('Our policies'!$R$4:$R$503,_calc!$E$886))=0,"",INDEX('Our policies'!$R$4:$R$503,_calc!$E$886)),IF(LEN(INDEX('Vendor COIs'!$O$4:$O$503,(_calc!$E$886-500)))=0,"",INDEX('Vendor COIs'!$O$4:$O$503,(_calc!$E$886-500)))))</f>
        <v/>
      </c>
      <c r="H884" s="46">
        <f>IF(_calc!$E$886="","",IF(_calc!$E$886&lt;=500,IF(LEN(INDEX('Our policies'!$G$4:$G$503,_calc!$E$886))=0,"",INDEX('Our policies'!$G$4:$G$503,_calc!$E$886)),""))</f>
        <v/>
      </c>
      <c r="I884" s="46">
        <f>IF(_calc!$E$886="","",IF(_calc!$E$886&lt;=500,IF(LEN(INDEX('Our policies'!$H$4:$H$503,_calc!$E$886))=0,"",INDEX('Our policies'!$H$4:$H$503,_calc!$E$886)),""))</f>
        <v/>
      </c>
      <c r="K884" s="46">
        <f>IF(_calc!$E$886="","",IF(_calc!$E$886&lt;=500,IF(LEN(INDEX('Our policies'!$P$4:$P$503,_calc!$E$886))=0,"",INDEX('Our policies'!$P$4:$P$503,_calc!$E$886)),IF(LEN(INDEX('Vendor COIs'!$N$4:$N$503,(_calc!$E$886-500)))=0,"",INDEX('Vendor COIs'!$N$4:$N$503,(_calc!$E$886-500)))))</f>
        <v/>
      </c>
    </row>
    <row r="885">
      <c r="A885" s="46">
        <f>IF(_calc!$E$887="","",IF(_calc!$E$887&lt;=500,IF(LEN(INDEX('Our policies'!$A$4:$A$503,_calc!$E$887))=0,"",INDEX('Our policies'!$A$4:$A$503,_calc!$E$887)),"COI – "&amp;IF(LEN(INDEX('Vendor COIs'!$A$4:$A$503,(_calc!$E$887-500)))=0,"",INDEX('Vendor COIs'!$A$4:$A$503,(_calc!$E$887-500)))&amp;" – "&amp;IF(LEN(INDEX('Vendor COIs'!$B$4:$B$503,(_calc!$E$887-500)))=0,"",INDEX('Vendor COIs'!$B$4:$B$503,(_calc!$E$887-500)))))</f>
        <v/>
      </c>
      <c r="B885" s="46">
        <f>IF(_calc!$E$887="","",IF(_calc!$E$887&lt;=500,IF(ISNUMBER(INDEX('Our policies'!$J$4:$J$503,_calc!$E$887)),TEXT(INDEX('Our policies'!$J$4:$J$503,_calc!$E$887),"yyyy-mm-dd"),""),IF(ISNUMBER(INDEX('Vendor COIs'!$H$4:$H$503,(_calc!$E$887-500))),TEXT(INDEX('Vendor COIs'!$H$4:$H$503,(_calc!$E$887-500)),"yyyy-mm-dd"),"")))</f>
        <v/>
      </c>
      <c r="C885" s="46">
        <f>IF(_calc!$E$887="","",IF(_calc!$E$887&lt;=500,"Insurance","Certificate of insurance"))</f>
        <v/>
      </c>
      <c r="D885" s="46">
        <f>IF(_calc!$E$887="","",IF(_calc!$E$887&lt;=500,IF(ISNUMBER(INDEX('Our policies'!$I$4:$I$503,_calc!$E$887)),TEXT(INDEX('Our policies'!$I$4:$I$503,_calc!$E$887),"yyyy-mm-dd"),""),""))</f>
        <v/>
      </c>
      <c r="E885" s="46">
        <f>IF(_calc!$E$887="","",IF(_calc!$E$887&lt;=500,IF(LEN(INDEX('Our policies'!$Q$4:$Q$503,_calc!$E$887))=0,"",INDEX('Our policies'!$Q$4:$Q$503,_calc!$E$887)),"Medium"))</f>
        <v/>
      </c>
      <c r="F885" s="46">
        <f>IF(_calc!$E$887="","",IF(_calc!$E$887&lt;=500,TRIM(IF(LEN(IF(LEN(INDEX('Our policies'!$B$4:$B$503,_calc!$E$887))=0,"",INDEX('Our policies'!$B$4:$B$503,_calc!$E$887)))=0,"","Cover: "&amp;IF(LEN(INDEX('Our policies'!$B$4:$B$503,_calc!$E$887))=0,"",INDEX('Our policies'!$B$4:$B$503,_calc!$E$887))&amp;". ")&amp;IF(LEN(IF(LEN(INDEX('Our policies'!$C$4:$C$503,_calc!$E$887))=0,"",INDEX('Our policies'!$C$4:$C$503,_calc!$E$887)))=0,"","Insurer: "&amp;IF(LEN(INDEX('Our policies'!$C$4:$C$503,_calc!$E$887))=0,"",INDEX('Our policies'!$C$4:$C$503,_calc!$E$887))&amp;". ")&amp;IF(LEN(IF(LEN(INDEX('Our policies'!$D$4:$D$503,_calc!$E$887))=0,"",INDEX('Our policies'!$D$4:$D$503,_calc!$E$887)))=0,"","Broker: "&amp;IF(LEN(INDEX('Our policies'!$D$4:$D$503,_calc!$E$887))=0,"",INDEX('Our policies'!$D$4:$D$503,_calc!$E$887))&amp;". ")&amp;IF(LEN(IF(LEN(INDEX('Our policies'!$E$4:$E$503,_calc!$E$887))=0,"",INDEX('Our policies'!$E$4:$E$503,_calc!$E$887)))=0,"","Policy no.: "&amp;IF(LEN(INDEX('Our policies'!$E$4:$E$503,_calc!$E$887))=0,"",INDEX('Our policies'!$E$4:$E$503,_calc!$E$887))&amp;". ")&amp;IF(LEN(IF(LEN(INDEX('Our policies'!$S$4:$S$503,_calc!$E$887))=0,"",INDEX('Our policies'!$S$4:$S$503,_calc!$E$887)))=0,"",IF(LEN(INDEX('Our policies'!$S$4:$S$503,_calc!$E$887))=0,"",INDEX('Our policies'!$S$4:$S$503,_calc!$E$887)))),TRIM(IF(LEN(IF(LEN(INDEX('Vendor COIs'!$C$4:$C$503,(_calc!$E$887-500)))=0,"",INDEX('Vendor COIs'!$C$4:$C$503,(_calc!$E$887-500))))=0,"","Insurer: "&amp;IF(LEN(INDEX('Vendor COIs'!$C$4:$C$503,(_calc!$E$887-500)))=0,"",INDEX('Vendor COIs'!$C$4:$C$503,(_calc!$E$887-500)))&amp;". ")&amp;IF(LEN(IF(LEN(INDEX('Vendor COIs'!$D$4:$D$503,(_calc!$E$887-500)))=0,"",INDEX('Vendor COIs'!$D$4:$D$503,(_calc!$E$887-500))))=0,"","Policy no.: "&amp;IF(LEN(INDEX('Vendor COIs'!$D$4:$D$503,(_calc!$E$887-500)))=0,"",INDEX('Vendor COIs'!$D$4:$D$503,(_calc!$E$887-500)))&amp;". ")&amp;IF(LEN(IF(LEN(INDEX('Vendor COIs'!$F$4:$F$503,(_calc!$E$887-500)))=0,"",INDEX('Vendor COIs'!$F$4:$F$503,(_calc!$E$887-500))))=0,"","Meets minimum: "&amp;IF(LEN(INDEX('Vendor COIs'!$F$4:$F$503,(_calc!$E$887-500)))=0,"",INDEX('Vendor COIs'!$F$4:$F$503,(_calc!$E$887-500)))&amp;". ")&amp;IF(LEN(IF(LEN(INDEX('Vendor COIs'!$G$4:$G$503,(_calc!$E$887-500)))=0,"",INDEX('Vendor COIs'!$G$4:$G$503,(_calc!$E$887-500))))=0,"","Additional insured: "&amp;IF(LEN(INDEX('Vendor COIs'!$G$4:$G$503,(_calc!$E$887-500)))=0,"",INDEX('Vendor COIs'!$G$4:$G$503,(_calc!$E$887-500)))&amp;". ")&amp;IF(LEN(IF(LEN(INDEX('Vendor COIs'!$M$4:$M$503,(_calc!$E$887-500)))=0,"",INDEX('Vendor COIs'!$M$4:$M$503,(_calc!$E$887-500))))=0,"","Vendor contact: "&amp;IF(LEN(INDEX('Vendor COIs'!$M$4:$M$503,(_calc!$E$887-500)))=0,"",INDEX('Vendor COIs'!$M$4:$M$503,(_calc!$E$887-500)))&amp;". ")&amp;IF(LEN(IF(LEN(INDEX('Vendor COIs'!$P$4:$P$503,(_calc!$E$887-500)))=0,"",INDEX('Vendor COIs'!$P$4:$P$503,(_calc!$E$887-500))))=0,"",IF(LEN(INDEX('Vendor COIs'!$P$4:$P$503,(_calc!$E$887-500)))=0,"",INDEX('Vendor COIs'!$P$4:$P$503,(_calc!$E$887-500)))))))</f>
        <v/>
      </c>
      <c r="G885" s="46">
        <f>IF(_calc!$E$887="","",IF(_calc!$E$887&lt;=500,IF(LEN(INDEX('Our policies'!$R$4:$R$503,_calc!$E$887))=0,"",INDEX('Our policies'!$R$4:$R$503,_calc!$E$887)),IF(LEN(INDEX('Vendor COIs'!$O$4:$O$503,(_calc!$E$887-500)))=0,"",INDEX('Vendor COIs'!$O$4:$O$503,(_calc!$E$887-500)))))</f>
        <v/>
      </c>
      <c r="H885" s="46">
        <f>IF(_calc!$E$887="","",IF(_calc!$E$887&lt;=500,IF(LEN(INDEX('Our policies'!$G$4:$G$503,_calc!$E$887))=0,"",INDEX('Our policies'!$G$4:$G$503,_calc!$E$887)),""))</f>
        <v/>
      </c>
      <c r="I885" s="46">
        <f>IF(_calc!$E$887="","",IF(_calc!$E$887&lt;=500,IF(LEN(INDEX('Our policies'!$H$4:$H$503,_calc!$E$887))=0,"",INDEX('Our policies'!$H$4:$H$503,_calc!$E$887)),""))</f>
        <v/>
      </c>
      <c r="K885" s="46">
        <f>IF(_calc!$E$887="","",IF(_calc!$E$887&lt;=500,IF(LEN(INDEX('Our policies'!$P$4:$P$503,_calc!$E$887))=0,"",INDEX('Our policies'!$P$4:$P$503,_calc!$E$887)),IF(LEN(INDEX('Vendor COIs'!$N$4:$N$503,(_calc!$E$887-500)))=0,"",INDEX('Vendor COIs'!$N$4:$N$503,(_calc!$E$887-500)))))</f>
        <v/>
      </c>
    </row>
    <row r="886">
      <c r="A886" s="46">
        <f>IF(_calc!$E$888="","",IF(_calc!$E$888&lt;=500,IF(LEN(INDEX('Our policies'!$A$4:$A$503,_calc!$E$888))=0,"",INDEX('Our policies'!$A$4:$A$503,_calc!$E$888)),"COI – "&amp;IF(LEN(INDEX('Vendor COIs'!$A$4:$A$503,(_calc!$E$888-500)))=0,"",INDEX('Vendor COIs'!$A$4:$A$503,(_calc!$E$888-500)))&amp;" – "&amp;IF(LEN(INDEX('Vendor COIs'!$B$4:$B$503,(_calc!$E$888-500)))=0,"",INDEX('Vendor COIs'!$B$4:$B$503,(_calc!$E$888-500)))))</f>
        <v/>
      </c>
      <c r="B886" s="46">
        <f>IF(_calc!$E$888="","",IF(_calc!$E$888&lt;=500,IF(ISNUMBER(INDEX('Our policies'!$J$4:$J$503,_calc!$E$888)),TEXT(INDEX('Our policies'!$J$4:$J$503,_calc!$E$888),"yyyy-mm-dd"),""),IF(ISNUMBER(INDEX('Vendor COIs'!$H$4:$H$503,(_calc!$E$888-500))),TEXT(INDEX('Vendor COIs'!$H$4:$H$503,(_calc!$E$888-500)),"yyyy-mm-dd"),"")))</f>
        <v/>
      </c>
      <c r="C886" s="46">
        <f>IF(_calc!$E$888="","",IF(_calc!$E$888&lt;=500,"Insurance","Certificate of insurance"))</f>
        <v/>
      </c>
      <c r="D886" s="46">
        <f>IF(_calc!$E$888="","",IF(_calc!$E$888&lt;=500,IF(ISNUMBER(INDEX('Our policies'!$I$4:$I$503,_calc!$E$888)),TEXT(INDEX('Our policies'!$I$4:$I$503,_calc!$E$888),"yyyy-mm-dd"),""),""))</f>
        <v/>
      </c>
      <c r="E886" s="46">
        <f>IF(_calc!$E$888="","",IF(_calc!$E$888&lt;=500,IF(LEN(INDEX('Our policies'!$Q$4:$Q$503,_calc!$E$888))=0,"",INDEX('Our policies'!$Q$4:$Q$503,_calc!$E$888)),"Medium"))</f>
        <v/>
      </c>
      <c r="F886" s="46">
        <f>IF(_calc!$E$888="","",IF(_calc!$E$888&lt;=500,TRIM(IF(LEN(IF(LEN(INDEX('Our policies'!$B$4:$B$503,_calc!$E$888))=0,"",INDEX('Our policies'!$B$4:$B$503,_calc!$E$888)))=0,"","Cover: "&amp;IF(LEN(INDEX('Our policies'!$B$4:$B$503,_calc!$E$888))=0,"",INDEX('Our policies'!$B$4:$B$503,_calc!$E$888))&amp;". ")&amp;IF(LEN(IF(LEN(INDEX('Our policies'!$C$4:$C$503,_calc!$E$888))=0,"",INDEX('Our policies'!$C$4:$C$503,_calc!$E$888)))=0,"","Insurer: "&amp;IF(LEN(INDEX('Our policies'!$C$4:$C$503,_calc!$E$888))=0,"",INDEX('Our policies'!$C$4:$C$503,_calc!$E$888))&amp;". ")&amp;IF(LEN(IF(LEN(INDEX('Our policies'!$D$4:$D$503,_calc!$E$888))=0,"",INDEX('Our policies'!$D$4:$D$503,_calc!$E$888)))=0,"","Broker: "&amp;IF(LEN(INDEX('Our policies'!$D$4:$D$503,_calc!$E$888))=0,"",INDEX('Our policies'!$D$4:$D$503,_calc!$E$888))&amp;". ")&amp;IF(LEN(IF(LEN(INDEX('Our policies'!$E$4:$E$503,_calc!$E$888))=0,"",INDEX('Our policies'!$E$4:$E$503,_calc!$E$888)))=0,"","Policy no.: "&amp;IF(LEN(INDEX('Our policies'!$E$4:$E$503,_calc!$E$888))=0,"",INDEX('Our policies'!$E$4:$E$503,_calc!$E$888))&amp;". ")&amp;IF(LEN(IF(LEN(INDEX('Our policies'!$S$4:$S$503,_calc!$E$888))=0,"",INDEX('Our policies'!$S$4:$S$503,_calc!$E$888)))=0,"",IF(LEN(INDEX('Our policies'!$S$4:$S$503,_calc!$E$888))=0,"",INDEX('Our policies'!$S$4:$S$503,_calc!$E$888)))),TRIM(IF(LEN(IF(LEN(INDEX('Vendor COIs'!$C$4:$C$503,(_calc!$E$888-500)))=0,"",INDEX('Vendor COIs'!$C$4:$C$503,(_calc!$E$888-500))))=0,"","Insurer: "&amp;IF(LEN(INDEX('Vendor COIs'!$C$4:$C$503,(_calc!$E$888-500)))=0,"",INDEX('Vendor COIs'!$C$4:$C$503,(_calc!$E$888-500)))&amp;". ")&amp;IF(LEN(IF(LEN(INDEX('Vendor COIs'!$D$4:$D$503,(_calc!$E$888-500)))=0,"",INDEX('Vendor COIs'!$D$4:$D$503,(_calc!$E$888-500))))=0,"","Policy no.: "&amp;IF(LEN(INDEX('Vendor COIs'!$D$4:$D$503,(_calc!$E$888-500)))=0,"",INDEX('Vendor COIs'!$D$4:$D$503,(_calc!$E$888-500)))&amp;". ")&amp;IF(LEN(IF(LEN(INDEX('Vendor COIs'!$F$4:$F$503,(_calc!$E$888-500)))=0,"",INDEX('Vendor COIs'!$F$4:$F$503,(_calc!$E$888-500))))=0,"","Meets minimum: "&amp;IF(LEN(INDEX('Vendor COIs'!$F$4:$F$503,(_calc!$E$888-500)))=0,"",INDEX('Vendor COIs'!$F$4:$F$503,(_calc!$E$888-500)))&amp;". ")&amp;IF(LEN(IF(LEN(INDEX('Vendor COIs'!$G$4:$G$503,(_calc!$E$888-500)))=0,"",INDEX('Vendor COIs'!$G$4:$G$503,(_calc!$E$888-500))))=0,"","Additional insured: "&amp;IF(LEN(INDEX('Vendor COIs'!$G$4:$G$503,(_calc!$E$888-500)))=0,"",INDEX('Vendor COIs'!$G$4:$G$503,(_calc!$E$888-500)))&amp;". ")&amp;IF(LEN(IF(LEN(INDEX('Vendor COIs'!$M$4:$M$503,(_calc!$E$888-500)))=0,"",INDEX('Vendor COIs'!$M$4:$M$503,(_calc!$E$888-500))))=0,"","Vendor contact: "&amp;IF(LEN(INDEX('Vendor COIs'!$M$4:$M$503,(_calc!$E$888-500)))=0,"",INDEX('Vendor COIs'!$M$4:$M$503,(_calc!$E$888-500)))&amp;". ")&amp;IF(LEN(IF(LEN(INDEX('Vendor COIs'!$P$4:$P$503,(_calc!$E$888-500)))=0,"",INDEX('Vendor COIs'!$P$4:$P$503,(_calc!$E$888-500))))=0,"",IF(LEN(INDEX('Vendor COIs'!$P$4:$P$503,(_calc!$E$888-500)))=0,"",INDEX('Vendor COIs'!$P$4:$P$503,(_calc!$E$888-500)))))))</f>
        <v/>
      </c>
      <c r="G886" s="46">
        <f>IF(_calc!$E$888="","",IF(_calc!$E$888&lt;=500,IF(LEN(INDEX('Our policies'!$R$4:$R$503,_calc!$E$888))=0,"",INDEX('Our policies'!$R$4:$R$503,_calc!$E$888)),IF(LEN(INDEX('Vendor COIs'!$O$4:$O$503,(_calc!$E$888-500)))=0,"",INDEX('Vendor COIs'!$O$4:$O$503,(_calc!$E$888-500)))))</f>
        <v/>
      </c>
      <c r="H886" s="46">
        <f>IF(_calc!$E$888="","",IF(_calc!$E$888&lt;=500,IF(LEN(INDEX('Our policies'!$G$4:$G$503,_calc!$E$888))=0,"",INDEX('Our policies'!$G$4:$G$503,_calc!$E$888)),""))</f>
        <v/>
      </c>
      <c r="I886" s="46">
        <f>IF(_calc!$E$888="","",IF(_calc!$E$888&lt;=500,IF(LEN(INDEX('Our policies'!$H$4:$H$503,_calc!$E$888))=0,"",INDEX('Our policies'!$H$4:$H$503,_calc!$E$888)),""))</f>
        <v/>
      </c>
      <c r="K886" s="46">
        <f>IF(_calc!$E$888="","",IF(_calc!$E$888&lt;=500,IF(LEN(INDEX('Our policies'!$P$4:$P$503,_calc!$E$888))=0,"",INDEX('Our policies'!$P$4:$P$503,_calc!$E$888)),IF(LEN(INDEX('Vendor COIs'!$N$4:$N$503,(_calc!$E$888-500)))=0,"",INDEX('Vendor COIs'!$N$4:$N$503,(_calc!$E$888-500)))))</f>
        <v/>
      </c>
    </row>
    <row r="887">
      <c r="A887" s="46">
        <f>IF(_calc!$E$889="","",IF(_calc!$E$889&lt;=500,IF(LEN(INDEX('Our policies'!$A$4:$A$503,_calc!$E$889))=0,"",INDEX('Our policies'!$A$4:$A$503,_calc!$E$889)),"COI – "&amp;IF(LEN(INDEX('Vendor COIs'!$A$4:$A$503,(_calc!$E$889-500)))=0,"",INDEX('Vendor COIs'!$A$4:$A$503,(_calc!$E$889-500)))&amp;" – "&amp;IF(LEN(INDEX('Vendor COIs'!$B$4:$B$503,(_calc!$E$889-500)))=0,"",INDEX('Vendor COIs'!$B$4:$B$503,(_calc!$E$889-500)))))</f>
        <v/>
      </c>
      <c r="B887" s="46">
        <f>IF(_calc!$E$889="","",IF(_calc!$E$889&lt;=500,IF(ISNUMBER(INDEX('Our policies'!$J$4:$J$503,_calc!$E$889)),TEXT(INDEX('Our policies'!$J$4:$J$503,_calc!$E$889),"yyyy-mm-dd"),""),IF(ISNUMBER(INDEX('Vendor COIs'!$H$4:$H$503,(_calc!$E$889-500))),TEXT(INDEX('Vendor COIs'!$H$4:$H$503,(_calc!$E$889-500)),"yyyy-mm-dd"),"")))</f>
        <v/>
      </c>
      <c r="C887" s="46">
        <f>IF(_calc!$E$889="","",IF(_calc!$E$889&lt;=500,"Insurance","Certificate of insurance"))</f>
        <v/>
      </c>
      <c r="D887" s="46">
        <f>IF(_calc!$E$889="","",IF(_calc!$E$889&lt;=500,IF(ISNUMBER(INDEX('Our policies'!$I$4:$I$503,_calc!$E$889)),TEXT(INDEX('Our policies'!$I$4:$I$503,_calc!$E$889),"yyyy-mm-dd"),""),""))</f>
        <v/>
      </c>
      <c r="E887" s="46">
        <f>IF(_calc!$E$889="","",IF(_calc!$E$889&lt;=500,IF(LEN(INDEX('Our policies'!$Q$4:$Q$503,_calc!$E$889))=0,"",INDEX('Our policies'!$Q$4:$Q$503,_calc!$E$889)),"Medium"))</f>
        <v/>
      </c>
      <c r="F887" s="46">
        <f>IF(_calc!$E$889="","",IF(_calc!$E$889&lt;=500,TRIM(IF(LEN(IF(LEN(INDEX('Our policies'!$B$4:$B$503,_calc!$E$889))=0,"",INDEX('Our policies'!$B$4:$B$503,_calc!$E$889)))=0,"","Cover: "&amp;IF(LEN(INDEX('Our policies'!$B$4:$B$503,_calc!$E$889))=0,"",INDEX('Our policies'!$B$4:$B$503,_calc!$E$889))&amp;". ")&amp;IF(LEN(IF(LEN(INDEX('Our policies'!$C$4:$C$503,_calc!$E$889))=0,"",INDEX('Our policies'!$C$4:$C$503,_calc!$E$889)))=0,"","Insurer: "&amp;IF(LEN(INDEX('Our policies'!$C$4:$C$503,_calc!$E$889))=0,"",INDEX('Our policies'!$C$4:$C$503,_calc!$E$889))&amp;". ")&amp;IF(LEN(IF(LEN(INDEX('Our policies'!$D$4:$D$503,_calc!$E$889))=0,"",INDEX('Our policies'!$D$4:$D$503,_calc!$E$889)))=0,"","Broker: "&amp;IF(LEN(INDEX('Our policies'!$D$4:$D$503,_calc!$E$889))=0,"",INDEX('Our policies'!$D$4:$D$503,_calc!$E$889))&amp;". ")&amp;IF(LEN(IF(LEN(INDEX('Our policies'!$E$4:$E$503,_calc!$E$889))=0,"",INDEX('Our policies'!$E$4:$E$503,_calc!$E$889)))=0,"","Policy no.: "&amp;IF(LEN(INDEX('Our policies'!$E$4:$E$503,_calc!$E$889))=0,"",INDEX('Our policies'!$E$4:$E$503,_calc!$E$889))&amp;". ")&amp;IF(LEN(IF(LEN(INDEX('Our policies'!$S$4:$S$503,_calc!$E$889))=0,"",INDEX('Our policies'!$S$4:$S$503,_calc!$E$889)))=0,"",IF(LEN(INDEX('Our policies'!$S$4:$S$503,_calc!$E$889))=0,"",INDEX('Our policies'!$S$4:$S$503,_calc!$E$889)))),TRIM(IF(LEN(IF(LEN(INDEX('Vendor COIs'!$C$4:$C$503,(_calc!$E$889-500)))=0,"",INDEX('Vendor COIs'!$C$4:$C$503,(_calc!$E$889-500))))=0,"","Insurer: "&amp;IF(LEN(INDEX('Vendor COIs'!$C$4:$C$503,(_calc!$E$889-500)))=0,"",INDEX('Vendor COIs'!$C$4:$C$503,(_calc!$E$889-500)))&amp;". ")&amp;IF(LEN(IF(LEN(INDEX('Vendor COIs'!$D$4:$D$503,(_calc!$E$889-500)))=0,"",INDEX('Vendor COIs'!$D$4:$D$503,(_calc!$E$889-500))))=0,"","Policy no.: "&amp;IF(LEN(INDEX('Vendor COIs'!$D$4:$D$503,(_calc!$E$889-500)))=0,"",INDEX('Vendor COIs'!$D$4:$D$503,(_calc!$E$889-500)))&amp;". ")&amp;IF(LEN(IF(LEN(INDEX('Vendor COIs'!$F$4:$F$503,(_calc!$E$889-500)))=0,"",INDEX('Vendor COIs'!$F$4:$F$503,(_calc!$E$889-500))))=0,"","Meets minimum: "&amp;IF(LEN(INDEX('Vendor COIs'!$F$4:$F$503,(_calc!$E$889-500)))=0,"",INDEX('Vendor COIs'!$F$4:$F$503,(_calc!$E$889-500)))&amp;". ")&amp;IF(LEN(IF(LEN(INDEX('Vendor COIs'!$G$4:$G$503,(_calc!$E$889-500)))=0,"",INDEX('Vendor COIs'!$G$4:$G$503,(_calc!$E$889-500))))=0,"","Additional insured: "&amp;IF(LEN(INDEX('Vendor COIs'!$G$4:$G$503,(_calc!$E$889-500)))=0,"",INDEX('Vendor COIs'!$G$4:$G$503,(_calc!$E$889-500)))&amp;". ")&amp;IF(LEN(IF(LEN(INDEX('Vendor COIs'!$M$4:$M$503,(_calc!$E$889-500)))=0,"",INDEX('Vendor COIs'!$M$4:$M$503,(_calc!$E$889-500))))=0,"","Vendor contact: "&amp;IF(LEN(INDEX('Vendor COIs'!$M$4:$M$503,(_calc!$E$889-500)))=0,"",INDEX('Vendor COIs'!$M$4:$M$503,(_calc!$E$889-500)))&amp;". ")&amp;IF(LEN(IF(LEN(INDEX('Vendor COIs'!$P$4:$P$503,(_calc!$E$889-500)))=0,"",INDEX('Vendor COIs'!$P$4:$P$503,(_calc!$E$889-500))))=0,"",IF(LEN(INDEX('Vendor COIs'!$P$4:$P$503,(_calc!$E$889-500)))=0,"",INDEX('Vendor COIs'!$P$4:$P$503,(_calc!$E$889-500)))))))</f>
        <v/>
      </c>
      <c r="G887" s="46">
        <f>IF(_calc!$E$889="","",IF(_calc!$E$889&lt;=500,IF(LEN(INDEX('Our policies'!$R$4:$R$503,_calc!$E$889))=0,"",INDEX('Our policies'!$R$4:$R$503,_calc!$E$889)),IF(LEN(INDEX('Vendor COIs'!$O$4:$O$503,(_calc!$E$889-500)))=0,"",INDEX('Vendor COIs'!$O$4:$O$503,(_calc!$E$889-500)))))</f>
        <v/>
      </c>
      <c r="H887" s="46">
        <f>IF(_calc!$E$889="","",IF(_calc!$E$889&lt;=500,IF(LEN(INDEX('Our policies'!$G$4:$G$503,_calc!$E$889))=0,"",INDEX('Our policies'!$G$4:$G$503,_calc!$E$889)),""))</f>
        <v/>
      </c>
      <c r="I887" s="46">
        <f>IF(_calc!$E$889="","",IF(_calc!$E$889&lt;=500,IF(LEN(INDEX('Our policies'!$H$4:$H$503,_calc!$E$889))=0,"",INDEX('Our policies'!$H$4:$H$503,_calc!$E$889)),""))</f>
        <v/>
      </c>
      <c r="K887" s="46">
        <f>IF(_calc!$E$889="","",IF(_calc!$E$889&lt;=500,IF(LEN(INDEX('Our policies'!$P$4:$P$503,_calc!$E$889))=0,"",INDEX('Our policies'!$P$4:$P$503,_calc!$E$889)),IF(LEN(INDEX('Vendor COIs'!$N$4:$N$503,(_calc!$E$889-500)))=0,"",INDEX('Vendor COIs'!$N$4:$N$503,(_calc!$E$889-500)))))</f>
        <v/>
      </c>
    </row>
    <row r="888">
      <c r="A888" s="46">
        <f>IF(_calc!$E$890="","",IF(_calc!$E$890&lt;=500,IF(LEN(INDEX('Our policies'!$A$4:$A$503,_calc!$E$890))=0,"",INDEX('Our policies'!$A$4:$A$503,_calc!$E$890)),"COI – "&amp;IF(LEN(INDEX('Vendor COIs'!$A$4:$A$503,(_calc!$E$890-500)))=0,"",INDEX('Vendor COIs'!$A$4:$A$503,(_calc!$E$890-500)))&amp;" – "&amp;IF(LEN(INDEX('Vendor COIs'!$B$4:$B$503,(_calc!$E$890-500)))=0,"",INDEX('Vendor COIs'!$B$4:$B$503,(_calc!$E$890-500)))))</f>
        <v/>
      </c>
      <c r="B888" s="46">
        <f>IF(_calc!$E$890="","",IF(_calc!$E$890&lt;=500,IF(ISNUMBER(INDEX('Our policies'!$J$4:$J$503,_calc!$E$890)),TEXT(INDEX('Our policies'!$J$4:$J$503,_calc!$E$890),"yyyy-mm-dd"),""),IF(ISNUMBER(INDEX('Vendor COIs'!$H$4:$H$503,(_calc!$E$890-500))),TEXT(INDEX('Vendor COIs'!$H$4:$H$503,(_calc!$E$890-500)),"yyyy-mm-dd"),"")))</f>
        <v/>
      </c>
      <c r="C888" s="46">
        <f>IF(_calc!$E$890="","",IF(_calc!$E$890&lt;=500,"Insurance","Certificate of insurance"))</f>
        <v/>
      </c>
      <c r="D888" s="46">
        <f>IF(_calc!$E$890="","",IF(_calc!$E$890&lt;=500,IF(ISNUMBER(INDEX('Our policies'!$I$4:$I$503,_calc!$E$890)),TEXT(INDEX('Our policies'!$I$4:$I$503,_calc!$E$890),"yyyy-mm-dd"),""),""))</f>
        <v/>
      </c>
      <c r="E888" s="46">
        <f>IF(_calc!$E$890="","",IF(_calc!$E$890&lt;=500,IF(LEN(INDEX('Our policies'!$Q$4:$Q$503,_calc!$E$890))=0,"",INDEX('Our policies'!$Q$4:$Q$503,_calc!$E$890)),"Medium"))</f>
        <v/>
      </c>
      <c r="F888" s="46">
        <f>IF(_calc!$E$890="","",IF(_calc!$E$890&lt;=500,TRIM(IF(LEN(IF(LEN(INDEX('Our policies'!$B$4:$B$503,_calc!$E$890))=0,"",INDEX('Our policies'!$B$4:$B$503,_calc!$E$890)))=0,"","Cover: "&amp;IF(LEN(INDEX('Our policies'!$B$4:$B$503,_calc!$E$890))=0,"",INDEX('Our policies'!$B$4:$B$503,_calc!$E$890))&amp;". ")&amp;IF(LEN(IF(LEN(INDEX('Our policies'!$C$4:$C$503,_calc!$E$890))=0,"",INDEX('Our policies'!$C$4:$C$503,_calc!$E$890)))=0,"","Insurer: "&amp;IF(LEN(INDEX('Our policies'!$C$4:$C$503,_calc!$E$890))=0,"",INDEX('Our policies'!$C$4:$C$503,_calc!$E$890))&amp;". ")&amp;IF(LEN(IF(LEN(INDEX('Our policies'!$D$4:$D$503,_calc!$E$890))=0,"",INDEX('Our policies'!$D$4:$D$503,_calc!$E$890)))=0,"","Broker: "&amp;IF(LEN(INDEX('Our policies'!$D$4:$D$503,_calc!$E$890))=0,"",INDEX('Our policies'!$D$4:$D$503,_calc!$E$890))&amp;". ")&amp;IF(LEN(IF(LEN(INDEX('Our policies'!$E$4:$E$503,_calc!$E$890))=0,"",INDEX('Our policies'!$E$4:$E$503,_calc!$E$890)))=0,"","Policy no.: "&amp;IF(LEN(INDEX('Our policies'!$E$4:$E$503,_calc!$E$890))=0,"",INDEX('Our policies'!$E$4:$E$503,_calc!$E$890))&amp;". ")&amp;IF(LEN(IF(LEN(INDEX('Our policies'!$S$4:$S$503,_calc!$E$890))=0,"",INDEX('Our policies'!$S$4:$S$503,_calc!$E$890)))=0,"",IF(LEN(INDEX('Our policies'!$S$4:$S$503,_calc!$E$890))=0,"",INDEX('Our policies'!$S$4:$S$503,_calc!$E$890)))),TRIM(IF(LEN(IF(LEN(INDEX('Vendor COIs'!$C$4:$C$503,(_calc!$E$890-500)))=0,"",INDEX('Vendor COIs'!$C$4:$C$503,(_calc!$E$890-500))))=0,"","Insurer: "&amp;IF(LEN(INDEX('Vendor COIs'!$C$4:$C$503,(_calc!$E$890-500)))=0,"",INDEX('Vendor COIs'!$C$4:$C$503,(_calc!$E$890-500)))&amp;". ")&amp;IF(LEN(IF(LEN(INDEX('Vendor COIs'!$D$4:$D$503,(_calc!$E$890-500)))=0,"",INDEX('Vendor COIs'!$D$4:$D$503,(_calc!$E$890-500))))=0,"","Policy no.: "&amp;IF(LEN(INDEX('Vendor COIs'!$D$4:$D$503,(_calc!$E$890-500)))=0,"",INDEX('Vendor COIs'!$D$4:$D$503,(_calc!$E$890-500)))&amp;". ")&amp;IF(LEN(IF(LEN(INDEX('Vendor COIs'!$F$4:$F$503,(_calc!$E$890-500)))=0,"",INDEX('Vendor COIs'!$F$4:$F$503,(_calc!$E$890-500))))=0,"","Meets minimum: "&amp;IF(LEN(INDEX('Vendor COIs'!$F$4:$F$503,(_calc!$E$890-500)))=0,"",INDEX('Vendor COIs'!$F$4:$F$503,(_calc!$E$890-500)))&amp;". ")&amp;IF(LEN(IF(LEN(INDEX('Vendor COIs'!$G$4:$G$503,(_calc!$E$890-500)))=0,"",INDEX('Vendor COIs'!$G$4:$G$503,(_calc!$E$890-500))))=0,"","Additional insured: "&amp;IF(LEN(INDEX('Vendor COIs'!$G$4:$G$503,(_calc!$E$890-500)))=0,"",INDEX('Vendor COIs'!$G$4:$G$503,(_calc!$E$890-500)))&amp;". ")&amp;IF(LEN(IF(LEN(INDEX('Vendor COIs'!$M$4:$M$503,(_calc!$E$890-500)))=0,"",INDEX('Vendor COIs'!$M$4:$M$503,(_calc!$E$890-500))))=0,"","Vendor contact: "&amp;IF(LEN(INDEX('Vendor COIs'!$M$4:$M$503,(_calc!$E$890-500)))=0,"",INDEX('Vendor COIs'!$M$4:$M$503,(_calc!$E$890-500)))&amp;". ")&amp;IF(LEN(IF(LEN(INDEX('Vendor COIs'!$P$4:$P$503,(_calc!$E$890-500)))=0,"",INDEX('Vendor COIs'!$P$4:$P$503,(_calc!$E$890-500))))=0,"",IF(LEN(INDEX('Vendor COIs'!$P$4:$P$503,(_calc!$E$890-500)))=0,"",INDEX('Vendor COIs'!$P$4:$P$503,(_calc!$E$890-500)))))))</f>
        <v/>
      </c>
      <c r="G888" s="46">
        <f>IF(_calc!$E$890="","",IF(_calc!$E$890&lt;=500,IF(LEN(INDEX('Our policies'!$R$4:$R$503,_calc!$E$890))=0,"",INDEX('Our policies'!$R$4:$R$503,_calc!$E$890)),IF(LEN(INDEX('Vendor COIs'!$O$4:$O$503,(_calc!$E$890-500)))=0,"",INDEX('Vendor COIs'!$O$4:$O$503,(_calc!$E$890-500)))))</f>
        <v/>
      </c>
      <c r="H888" s="46">
        <f>IF(_calc!$E$890="","",IF(_calc!$E$890&lt;=500,IF(LEN(INDEX('Our policies'!$G$4:$G$503,_calc!$E$890))=0,"",INDEX('Our policies'!$G$4:$G$503,_calc!$E$890)),""))</f>
        <v/>
      </c>
      <c r="I888" s="46">
        <f>IF(_calc!$E$890="","",IF(_calc!$E$890&lt;=500,IF(LEN(INDEX('Our policies'!$H$4:$H$503,_calc!$E$890))=0,"",INDEX('Our policies'!$H$4:$H$503,_calc!$E$890)),""))</f>
        <v/>
      </c>
      <c r="K888" s="46">
        <f>IF(_calc!$E$890="","",IF(_calc!$E$890&lt;=500,IF(LEN(INDEX('Our policies'!$P$4:$P$503,_calc!$E$890))=0,"",INDEX('Our policies'!$P$4:$P$503,_calc!$E$890)),IF(LEN(INDEX('Vendor COIs'!$N$4:$N$503,(_calc!$E$890-500)))=0,"",INDEX('Vendor COIs'!$N$4:$N$503,(_calc!$E$890-500)))))</f>
        <v/>
      </c>
    </row>
    <row r="889">
      <c r="A889" s="46">
        <f>IF(_calc!$E$891="","",IF(_calc!$E$891&lt;=500,IF(LEN(INDEX('Our policies'!$A$4:$A$503,_calc!$E$891))=0,"",INDEX('Our policies'!$A$4:$A$503,_calc!$E$891)),"COI – "&amp;IF(LEN(INDEX('Vendor COIs'!$A$4:$A$503,(_calc!$E$891-500)))=0,"",INDEX('Vendor COIs'!$A$4:$A$503,(_calc!$E$891-500)))&amp;" – "&amp;IF(LEN(INDEX('Vendor COIs'!$B$4:$B$503,(_calc!$E$891-500)))=0,"",INDEX('Vendor COIs'!$B$4:$B$503,(_calc!$E$891-500)))))</f>
        <v/>
      </c>
      <c r="B889" s="46">
        <f>IF(_calc!$E$891="","",IF(_calc!$E$891&lt;=500,IF(ISNUMBER(INDEX('Our policies'!$J$4:$J$503,_calc!$E$891)),TEXT(INDEX('Our policies'!$J$4:$J$503,_calc!$E$891),"yyyy-mm-dd"),""),IF(ISNUMBER(INDEX('Vendor COIs'!$H$4:$H$503,(_calc!$E$891-500))),TEXT(INDEX('Vendor COIs'!$H$4:$H$503,(_calc!$E$891-500)),"yyyy-mm-dd"),"")))</f>
        <v/>
      </c>
      <c r="C889" s="46">
        <f>IF(_calc!$E$891="","",IF(_calc!$E$891&lt;=500,"Insurance","Certificate of insurance"))</f>
        <v/>
      </c>
      <c r="D889" s="46">
        <f>IF(_calc!$E$891="","",IF(_calc!$E$891&lt;=500,IF(ISNUMBER(INDEX('Our policies'!$I$4:$I$503,_calc!$E$891)),TEXT(INDEX('Our policies'!$I$4:$I$503,_calc!$E$891),"yyyy-mm-dd"),""),""))</f>
        <v/>
      </c>
      <c r="E889" s="46">
        <f>IF(_calc!$E$891="","",IF(_calc!$E$891&lt;=500,IF(LEN(INDEX('Our policies'!$Q$4:$Q$503,_calc!$E$891))=0,"",INDEX('Our policies'!$Q$4:$Q$503,_calc!$E$891)),"Medium"))</f>
        <v/>
      </c>
      <c r="F889" s="46">
        <f>IF(_calc!$E$891="","",IF(_calc!$E$891&lt;=500,TRIM(IF(LEN(IF(LEN(INDEX('Our policies'!$B$4:$B$503,_calc!$E$891))=0,"",INDEX('Our policies'!$B$4:$B$503,_calc!$E$891)))=0,"","Cover: "&amp;IF(LEN(INDEX('Our policies'!$B$4:$B$503,_calc!$E$891))=0,"",INDEX('Our policies'!$B$4:$B$503,_calc!$E$891))&amp;". ")&amp;IF(LEN(IF(LEN(INDEX('Our policies'!$C$4:$C$503,_calc!$E$891))=0,"",INDEX('Our policies'!$C$4:$C$503,_calc!$E$891)))=0,"","Insurer: "&amp;IF(LEN(INDEX('Our policies'!$C$4:$C$503,_calc!$E$891))=0,"",INDEX('Our policies'!$C$4:$C$503,_calc!$E$891))&amp;". ")&amp;IF(LEN(IF(LEN(INDEX('Our policies'!$D$4:$D$503,_calc!$E$891))=0,"",INDEX('Our policies'!$D$4:$D$503,_calc!$E$891)))=0,"","Broker: "&amp;IF(LEN(INDEX('Our policies'!$D$4:$D$503,_calc!$E$891))=0,"",INDEX('Our policies'!$D$4:$D$503,_calc!$E$891))&amp;". ")&amp;IF(LEN(IF(LEN(INDEX('Our policies'!$E$4:$E$503,_calc!$E$891))=0,"",INDEX('Our policies'!$E$4:$E$503,_calc!$E$891)))=0,"","Policy no.: "&amp;IF(LEN(INDEX('Our policies'!$E$4:$E$503,_calc!$E$891))=0,"",INDEX('Our policies'!$E$4:$E$503,_calc!$E$891))&amp;". ")&amp;IF(LEN(IF(LEN(INDEX('Our policies'!$S$4:$S$503,_calc!$E$891))=0,"",INDEX('Our policies'!$S$4:$S$503,_calc!$E$891)))=0,"",IF(LEN(INDEX('Our policies'!$S$4:$S$503,_calc!$E$891))=0,"",INDEX('Our policies'!$S$4:$S$503,_calc!$E$891)))),TRIM(IF(LEN(IF(LEN(INDEX('Vendor COIs'!$C$4:$C$503,(_calc!$E$891-500)))=0,"",INDEX('Vendor COIs'!$C$4:$C$503,(_calc!$E$891-500))))=0,"","Insurer: "&amp;IF(LEN(INDEX('Vendor COIs'!$C$4:$C$503,(_calc!$E$891-500)))=0,"",INDEX('Vendor COIs'!$C$4:$C$503,(_calc!$E$891-500)))&amp;". ")&amp;IF(LEN(IF(LEN(INDEX('Vendor COIs'!$D$4:$D$503,(_calc!$E$891-500)))=0,"",INDEX('Vendor COIs'!$D$4:$D$503,(_calc!$E$891-500))))=0,"","Policy no.: "&amp;IF(LEN(INDEX('Vendor COIs'!$D$4:$D$503,(_calc!$E$891-500)))=0,"",INDEX('Vendor COIs'!$D$4:$D$503,(_calc!$E$891-500)))&amp;". ")&amp;IF(LEN(IF(LEN(INDEX('Vendor COIs'!$F$4:$F$503,(_calc!$E$891-500)))=0,"",INDEX('Vendor COIs'!$F$4:$F$503,(_calc!$E$891-500))))=0,"","Meets minimum: "&amp;IF(LEN(INDEX('Vendor COIs'!$F$4:$F$503,(_calc!$E$891-500)))=0,"",INDEX('Vendor COIs'!$F$4:$F$503,(_calc!$E$891-500)))&amp;". ")&amp;IF(LEN(IF(LEN(INDEX('Vendor COIs'!$G$4:$G$503,(_calc!$E$891-500)))=0,"",INDEX('Vendor COIs'!$G$4:$G$503,(_calc!$E$891-500))))=0,"","Additional insured: "&amp;IF(LEN(INDEX('Vendor COIs'!$G$4:$G$503,(_calc!$E$891-500)))=0,"",INDEX('Vendor COIs'!$G$4:$G$503,(_calc!$E$891-500)))&amp;". ")&amp;IF(LEN(IF(LEN(INDEX('Vendor COIs'!$M$4:$M$503,(_calc!$E$891-500)))=0,"",INDEX('Vendor COIs'!$M$4:$M$503,(_calc!$E$891-500))))=0,"","Vendor contact: "&amp;IF(LEN(INDEX('Vendor COIs'!$M$4:$M$503,(_calc!$E$891-500)))=0,"",INDEX('Vendor COIs'!$M$4:$M$503,(_calc!$E$891-500)))&amp;". ")&amp;IF(LEN(IF(LEN(INDEX('Vendor COIs'!$P$4:$P$503,(_calc!$E$891-500)))=0,"",INDEX('Vendor COIs'!$P$4:$P$503,(_calc!$E$891-500))))=0,"",IF(LEN(INDEX('Vendor COIs'!$P$4:$P$503,(_calc!$E$891-500)))=0,"",INDEX('Vendor COIs'!$P$4:$P$503,(_calc!$E$891-500)))))))</f>
        <v/>
      </c>
      <c r="G889" s="46">
        <f>IF(_calc!$E$891="","",IF(_calc!$E$891&lt;=500,IF(LEN(INDEX('Our policies'!$R$4:$R$503,_calc!$E$891))=0,"",INDEX('Our policies'!$R$4:$R$503,_calc!$E$891)),IF(LEN(INDEX('Vendor COIs'!$O$4:$O$503,(_calc!$E$891-500)))=0,"",INDEX('Vendor COIs'!$O$4:$O$503,(_calc!$E$891-500)))))</f>
        <v/>
      </c>
      <c r="H889" s="46">
        <f>IF(_calc!$E$891="","",IF(_calc!$E$891&lt;=500,IF(LEN(INDEX('Our policies'!$G$4:$G$503,_calc!$E$891))=0,"",INDEX('Our policies'!$G$4:$G$503,_calc!$E$891)),""))</f>
        <v/>
      </c>
      <c r="I889" s="46">
        <f>IF(_calc!$E$891="","",IF(_calc!$E$891&lt;=500,IF(LEN(INDEX('Our policies'!$H$4:$H$503,_calc!$E$891))=0,"",INDEX('Our policies'!$H$4:$H$503,_calc!$E$891)),""))</f>
        <v/>
      </c>
      <c r="K889" s="46">
        <f>IF(_calc!$E$891="","",IF(_calc!$E$891&lt;=500,IF(LEN(INDEX('Our policies'!$P$4:$P$503,_calc!$E$891))=0,"",INDEX('Our policies'!$P$4:$P$503,_calc!$E$891)),IF(LEN(INDEX('Vendor COIs'!$N$4:$N$503,(_calc!$E$891-500)))=0,"",INDEX('Vendor COIs'!$N$4:$N$503,(_calc!$E$891-500)))))</f>
        <v/>
      </c>
    </row>
    <row r="890">
      <c r="A890" s="46">
        <f>IF(_calc!$E$892="","",IF(_calc!$E$892&lt;=500,IF(LEN(INDEX('Our policies'!$A$4:$A$503,_calc!$E$892))=0,"",INDEX('Our policies'!$A$4:$A$503,_calc!$E$892)),"COI – "&amp;IF(LEN(INDEX('Vendor COIs'!$A$4:$A$503,(_calc!$E$892-500)))=0,"",INDEX('Vendor COIs'!$A$4:$A$503,(_calc!$E$892-500)))&amp;" – "&amp;IF(LEN(INDEX('Vendor COIs'!$B$4:$B$503,(_calc!$E$892-500)))=0,"",INDEX('Vendor COIs'!$B$4:$B$503,(_calc!$E$892-500)))))</f>
        <v/>
      </c>
      <c r="B890" s="46">
        <f>IF(_calc!$E$892="","",IF(_calc!$E$892&lt;=500,IF(ISNUMBER(INDEX('Our policies'!$J$4:$J$503,_calc!$E$892)),TEXT(INDEX('Our policies'!$J$4:$J$503,_calc!$E$892),"yyyy-mm-dd"),""),IF(ISNUMBER(INDEX('Vendor COIs'!$H$4:$H$503,(_calc!$E$892-500))),TEXT(INDEX('Vendor COIs'!$H$4:$H$503,(_calc!$E$892-500)),"yyyy-mm-dd"),"")))</f>
        <v/>
      </c>
      <c r="C890" s="46">
        <f>IF(_calc!$E$892="","",IF(_calc!$E$892&lt;=500,"Insurance","Certificate of insurance"))</f>
        <v/>
      </c>
      <c r="D890" s="46">
        <f>IF(_calc!$E$892="","",IF(_calc!$E$892&lt;=500,IF(ISNUMBER(INDEX('Our policies'!$I$4:$I$503,_calc!$E$892)),TEXT(INDEX('Our policies'!$I$4:$I$503,_calc!$E$892),"yyyy-mm-dd"),""),""))</f>
        <v/>
      </c>
      <c r="E890" s="46">
        <f>IF(_calc!$E$892="","",IF(_calc!$E$892&lt;=500,IF(LEN(INDEX('Our policies'!$Q$4:$Q$503,_calc!$E$892))=0,"",INDEX('Our policies'!$Q$4:$Q$503,_calc!$E$892)),"Medium"))</f>
        <v/>
      </c>
      <c r="F890" s="46">
        <f>IF(_calc!$E$892="","",IF(_calc!$E$892&lt;=500,TRIM(IF(LEN(IF(LEN(INDEX('Our policies'!$B$4:$B$503,_calc!$E$892))=0,"",INDEX('Our policies'!$B$4:$B$503,_calc!$E$892)))=0,"","Cover: "&amp;IF(LEN(INDEX('Our policies'!$B$4:$B$503,_calc!$E$892))=0,"",INDEX('Our policies'!$B$4:$B$503,_calc!$E$892))&amp;". ")&amp;IF(LEN(IF(LEN(INDEX('Our policies'!$C$4:$C$503,_calc!$E$892))=0,"",INDEX('Our policies'!$C$4:$C$503,_calc!$E$892)))=0,"","Insurer: "&amp;IF(LEN(INDEX('Our policies'!$C$4:$C$503,_calc!$E$892))=0,"",INDEX('Our policies'!$C$4:$C$503,_calc!$E$892))&amp;". ")&amp;IF(LEN(IF(LEN(INDEX('Our policies'!$D$4:$D$503,_calc!$E$892))=0,"",INDEX('Our policies'!$D$4:$D$503,_calc!$E$892)))=0,"","Broker: "&amp;IF(LEN(INDEX('Our policies'!$D$4:$D$503,_calc!$E$892))=0,"",INDEX('Our policies'!$D$4:$D$503,_calc!$E$892))&amp;". ")&amp;IF(LEN(IF(LEN(INDEX('Our policies'!$E$4:$E$503,_calc!$E$892))=0,"",INDEX('Our policies'!$E$4:$E$503,_calc!$E$892)))=0,"","Policy no.: "&amp;IF(LEN(INDEX('Our policies'!$E$4:$E$503,_calc!$E$892))=0,"",INDEX('Our policies'!$E$4:$E$503,_calc!$E$892))&amp;". ")&amp;IF(LEN(IF(LEN(INDEX('Our policies'!$S$4:$S$503,_calc!$E$892))=0,"",INDEX('Our policies'!$S$4:$S$503,_calc!$E$892)))=0,"",IF(LEN(INDEX('Our policies'!$S$4:$S$503,_calc!$E$892))=0,"",INDEX('Our policies'!$S$4:$S$503,_calc!$E$892)))),TRIM(IF(LEN(IF(LEN(INDEX('Vendor COIs'!$C$4:$C$503,(_calc!$E$892-500)))=0,"",INDEX('Vendor COIs'!$C$4:$C$503,(_calc!$E$892-500))))=0,"","Insurer: "&amp;IF(LEN(INDEX('Vendor COIs'!$C$4:$C$503,(_calc!$E$892-500)))=0,"",INDEX('Vendor COIs'!$C$4:$C$503,(_calc!$E$892-500)))&amp;". ")&amp;IF(LEN(IF(LEN(INDEX('Vendor COIs'!$D$4:$D$503,(_calc!$E$892-500)))=0,"",INDEX('Vendor COIs'!$D$4:$D$503,(_calc!$E$892-500))))=0,"","Policy no.: "&amp;IF(LEN(INDEX('Vendor COIs'!$D$4:$D$503,(_calc!$E$892-500)))=0,"",INDEX('Vendor COIs'!$D$4:$D$503,(_calc!$E$892-500)))&amp;". ")&amp;IF(LEN(IF(LEN(INDEX('Vendor COIs'!$F$4:$F$503,(_calc!$E$892-500)))=0,"",INDEX('Vendor COIs'!$F$4:$F$503,(_calc!$E$892-500))))=0,"","Meets minimum: "&amp;IF(LEN(INDEX('Vendor COIs'!$F$4:$F$503,(_calc!$E$892-500)))=0,"",INDEX('Vendor COIs'!$F$4:$F$503,(_calc!$E$892-500)))&amp;". ")&amp;IF(LEN(IF(LEN(INDEX('Vendor COIs'!$G$4:$G$503,(_calc!$E$892-500)))=0,"",INDEX('Vendor COIs'!$G$4:$G$503,(_calc!$E$892-500))))=0,"","Additional insured: "&amp;IF(LEN(INDEX('Vendor COIs'!$G$4:$G$503,(_calc!$E$892-500)))=0,"",INDEX('Vendor COIs'!$G$4:$G$503,(_calc!$E$892-500)))&amp;". ")&amp;IF(LEN(IF(LEN(INDEX('Vendor COIs'!$M$4:$M$503,(_calc!$E$892-500)))=0,"",INDEX('Vendor COIs'!$M$4:$M$503,(_calc!$E$892-500))))=0,"","Vendor contact: "&amp;IF(LEN(INDEX('Vendor COIs'!$M$4:$M$503,(_calc!$E$892-500)))=0,"",INDEX('Vendor COIs'!$M$4:$M$503,(_calc!$E$892-500)))&amp;". ")&amp;IF(LEN(IF(LEN(INDEX('Vendor COIs'!$P$4:$P$503,(_calc!$E$892-500)))=0,"",INDEX('Vendor COIs'!$P$4:$P$503,(_calc!$E$892-500))))=0,"",IF(LEN(INDEX('Vendor COIs'!$P$4:$P$503,(_calc!$E$892-500)))=0,"",INDEX('Vendor COIs'!$P$4:$P$503,(_calc!$E$892-500)))))))</f>
        <v/>
      </c>
      <c r="G890" s="46">
        <f>IF(_calc!$E$892="","",IF(_calc!$E$892&lt;=500,IF(LEN(INDEX('Our policies'!$R$4:$R$503,_calc!$E$892))=0,"",INDEX('Our policies'!$R$4:$R$503,_calc!$E$892)),IF(LEN(INDEX('Vendor COIs'!$O$4:$O$503,(_calc!$E$892-500)))=0,"",INDEX('Vendor COIs'!$O$4:$O$503,(_calc!$E$892-500)))))</f>
        <v/>
      </c>
      <c r="H890" s="46">
        <f>IF(_calc!$E$892="","",IF(_calc!$E$892&lt;=500,IF(LEN(INDEX('Our policies'!$G$4:$G$503,_calc!$E$892))=0,"",INDEX('Our policies'!$G$4:$G$503,_calc!$E$892)),""))</f>
        <v/>
      </c>
      <c r="I890" s="46">
        <f>IF(_calc!$E$892="","",IF(_calc!$E$892&lt;=500,IF(LEN(INDEX('Our policies'!$H$4:$H$503,_calc!$E$892))=0,"",INDEX('Our policies'!$H$4:$H$503,_calc!$E$892)),""))</f>
        <v/>
      </c>
      <c r="K890" s="46">
        <f>IF(_calc!$E$892="","",IF(_calc!$E$892&lt;=500,IF(LEN(INDEX('Our policies'!$P$4:$P$503,_calc!$E$892))=0,"",INDEX('Our policies'!$P$4:$P$503,_calc!$E$892)),IF(LEN(INDEX('Vendor COIs'!$N$4:$N$503,(_calc!$E$892-500)))=0,"",INDEX('Vendor COIs'!$N$4:$N$503,(_calc!$E$892-500)))))</f>
        <v/>
      </c>
    </row>
    <row r="891">
      <c r="A891" s="46">
        <f>IF(_calc!$E$893="","",IF(_calc!$E$893&lt;=500,IF(LEN(INDEX('Our policies'!$A$4:$A$503,_calc!$E$893))=0,"",INDEX('Our policies'!$A$4:$A$503,_calc!$E$893)),"COI – "&amp;IF(LEN(INDEX('Vendor COIs'!$A$4:$A$503,(_calc!$E$893-500)))=0,"",INDEX('Vendor COIs'!$A$4:$A$503,(_calc!$E$893-500)))&amp;" – "&amp;IF(LEN(INDEX('Vendor COIs'!$B$4:$B$503,(_calc!$E$893-500)))=0,"",INDEX('Vendor COIs'!$B$4:$B$503,(_calc!$E$893-500)))))</f>
        <v/>
      </c>
      <c r="B891" s="46">
        <f>IF(_calc!$E$893="","",IF(_calc!$E$893&lt;=500,IF(ISNUMBER(INDEX('Our policies'!$J$4:$J$503,_calc!$E$893)),TEXT(INDEX('Our policies'!$J$4:$J$503,_calc!$E$893),"yyyy-mm-dd"),""),IF(ISNUMBER(INDEX('Vendor COIs'!$H$4:$H$503,(_calc!$E$893-500))),TEXT(INDEX('Vendor COIs'!$H$4:$H$503,(_calc!$E$893-500)),"yyyy-mm-dd"),"")))</f>
        <v/>
      </c>
      <c r="C891" s="46">
        <f>IF(_calc!$E$893="","",IF(_calc!$E$893&lt;=500,"Insurance","Certificate of insurance"))</f>
        <v/>
      </c>
      <c r="D891" s="46">
        <f>IF(_calc!$E$893="","",IF(_calc!$E$893&lt;=500,IF(ISNUMBER(INDEX('Our policies'!$I$4:$I$503,_calc!$E$893)),TEXT(INDEX('Our policies'!$I$4:$I$503,_calc!$E$893),"yyyy-mm-dd"),""),""))</f>
        <v/>
      </c>
      <c r="E891" s="46">
        <f>IF(_calc!$E$893="","",IF(_calc!$E$893&lt;=500,IF(LEN(INDEX('Our policies'!$Q$4:$Q$503,_calc!$E$893))=0,"",INDEX('Our policies'!$Q$4:$Q$503,_calc!$E$893)),"Medium"))</f>
        <v/>
      </c>
      <c r="F891" s="46">
        <f>IF(_calc!$E$893="","",IF(_calc!$E$893&lt;=500,TRIM(IF(LEN(IF(LEN(INDEX('Our policies'!$B$4:$B$503,_calc!$E$893))=0,"",INDEX('Our policies'!$B$4:$B$503,_calc!$E$893)))=0,"","Cover: "&amp;IF(LEN(INDEX('Our policies'!$B$4:$B$503,_calc!$E$893))=0,"",INDEX('Our policies'!$B$4:$B$503,_calc!$E$893))&amp;". ")&amp;IF(LEN(IF(LEN(INDEX('Our policies'!$C$4:$C$503,_calc!$E$893))=0,"",INDEX('Our policies'!$C$4:$C$503,_calc!$E$893)))=0,"","Insurer: "&amp;IF(LEN(INDEX('Our policies'!$C$4:$C$503,_calc!$E$893))=0,"",INDEX('Our policies'!$C$4:$C$503,_calc!$E$893))&amp;". ")&amp;IF(LEN(IF(LEN(INDEX('Our policies'!$D$4:$D$503,_calc!$E$893))=0,"",INDEX('Our policies'!$D$4:$D$503,_calc!$E$893)))=0,"","Broker: "&amp;IF(LEN(INDEX('Our policies'!$D$4:$D$503,_calc!$E$893))=0,"",INDEX('Our policies'!$D$4:$D$503,_calc!$E$893))&amp;". ")&amp;IF(LEN(IF(LEN(INDEX('Our policies'!$E$4:$E$503,_calc!$E$893))=0,"",INDEX('Our policies'!$E$4:$E$503,_calc!$E$893)))=0,"","Policy no.: "&amp;IF(LEN(INDEX('Our policies'!$E$4:$E$503,_calc!$E$893))=0,"",INDEX('Our policies'!$E$4:$E$503,_calc!$E$893))&amp;". ")&amp;IF(LEN(IF(LEN(INDEX('Our policies'!$S$4:$S$503,_calc!$E$893))=0,"",INDEX('Our policies'!$S$4:$S$503,_calc!$E$893)))=0,"",IF(LEN(INDEX('Our policies'!$S$4:$S$503,_calc!$E$893))=0,"",INDEX('Our policies'!$S$4:$S$503,_calc!$E$893)))),TRIM(IF(LEN(IF(LEN(INDEX('Vendor COIs'!$C$4:$C$503,(_calc!$E$893-500)))=0,"",INDEX('Vendor COIs'!$C$4:$C$503,(_calc!$E$893-500))))=0,"","Insurer: "&amp;IF(LEN(INDEX('Vendor COIs'!$C$4:$C$503,(_calc!$E$893-500)))=0,"",INDEX('Vendor COIs'!$C$4:$C$503,(_calc!$E$893-500)))&amp;". ")&amp;IF(LEN(IF(LEN(INDEX('Vendor COIs'!$D$4:$D$503,(_calc!$E$893-500)))=0,"",INDEX('Vendor COIs'!$D$4:$D$503,(_calc!$E$893-500))))=0,"","Policy no.: "&amp;IF(LEN(INDEX('Vendor COIs'!$D$4:$D$503,(_calc!$E$893-500)))=0,"",INDEX('Vendor COIs'!$D$4:$D$503,(_calc!$E$893-500)))&amp;". ")&amp;IF(LEN(IF(LEN(INDEX('Vendor COIs'!$F$4:$F$503,(_calc!$E$893-500)))=0,"",INDEX('Vendor COIs'!$F$4:$F$503,(_calc!$E$893-500))))=0,"","Meets minimum: "&amp;IF(LEN(INDEX('Vendor COIs'!$F$4:$F$503,(_calc!$E$893-500)))=0,"",INDEX('Vendor COIs'!$F$4:$F$503,(_calc!$E$893-500)))&amp;". ")&amp;IF(LEN(IF(LEN(INDEX('Vendor COIs'!$G$4:$G$503,(_calc!$E$893-500)))=0,"",INDEX('Vendor COIs'!$G$4:$G$503,(_calc!$E$893-500))))=0,"","Additional insured: "&amp;IF(LEN(INDEX('Vendor COIs'!$G$4:$G$503,(_calc!$E$893-500)))=0,"",INDEX('Vendor COIs'!$G$4:$G$503,(_calc!$E$893-500)))&amp;". ")&amp;IF(LEN(IF(LEN(INDEX('Vendor COIs'!$M$4:$M$503,(_calc!$E$893-500)))=0,"",INDEX('Vendor COIs'!$M$4:$M$503,(_calc!$E$893-500))))=0,"","Vendor contact: "&amp;IF(LEN(INDEX('Vendor COIs'!$M$4:$M$503,(_calc!$E$893-500)))=0,"",INDEX('Vendor COIs'!$M$4:$M$503,(_calc!$E$893-500)))&amp;". ")&amp;IF(LEN(IF(LEN(INDEX('Vendor COIs'!$P$4:$P$503,(_calc!$E$893-500)))=0,"",INDEX('Vendor COIs'!$P$4:$P$503,(_calc!$E$893-500))))=0,"",IF(LEN(INDEX('Vendor COIs'!$P$4:$P$503,(_calc!$E$893-500)))=0,"",INDEX('Vendor COIs'!$P$4:$P$503,(_calc!$E$893-500)))))))</f>
        <v/>
      </c>
      <c r="G891" s="46">
        <f>IF(_calc!$E$893="","",IF(_calc!$E$893&lt;=500,IF(LEN(INDEX('Our policies'!$R$4:$R$503,_calc!$E$893))=0,"",INDEX('Our policies'!$R$4:$R$503,_calc!$E$893)),IF(LEN(INDEX('Vendor COIs'!$O$4:$O$503,(_calc!$E$893-500)))=0,"",INDEX('Vendor COIs'!$O$4:$O$503,(_calc!$E$893-500)))))</f>
        <v/>
      </c>
      <c r="H891" s="46">
        <f>IF(_calc!$E$893="","",IF(_calc!$E$893&lt;=500,IF(LEN(INDEX('Our policies'!$G$4:$G$503,_calc!$E$893))=0,"",INDEX('Our policies'!$G$4:$G$503,_calc!$E$893)),""))</f>
        <v/>
      </c>
      <c r="I891" s="46">
        <f>IF(_calc!$E$893="","",IF(_calc!$E$893&lt;=500,IF(LEN(INDEX('Our policies'!$H$4:$H$503,_calc!$E$893))=0,"",INDEX('Our policies'!$H$4:$H$503,_calc!$E$893)),""))</f>
        <v/>
      </c>
      <c r="K891" s="46">
        <f>IF(_calc!$E$893="","",IF(_calc!$E$893&lt;=500,IF(LEN(INDEX('Our policies'!$P$4:$P$503,_calc!$E$893))=0,"",INDEX('Our policies'!$P$4:$P$503,_calc!$E$893)),IF(LEN(INDEX('Vendor COIs'!$N$4:$N$503,(_calc!$E$893-500)))=0,"",INDEX('Vendor COIs'!$N$4:$N$503,(_calc!$E$893-500)))))</f>
        <v/>
      </c>
    </row>
    <row r="892">
      <c r="A892" s="46">
        <f>IF(_calc!$E$894="","",IF(_calc!$E$894&lt;=500,IF(LEN(INDEX('Our policies'!$A$4:$A$503,_calc!$E$894))=0,"",INDEX('Our policies'!$A$4:$A$503,_calc!$E$894)),"COI – "&amp;IF(LEN(INDEX('Vendor COIs'!$A$4:$A$503,(_calc!$E$894-500)))=0,"",INDEX('Vendor COIs'!$A$4:$A$503,(_calc!$E$894-500)))&amp;" – "&amp;IF(LEN(INDEX('Vendor COIs'!$B$4:$B$503,(_calc!$E$894-500)))=0,"",INDEX('Vendor COIs'!$B$4:$B$503,(_calc!$E$894-500)))))</f>
        <v/>
      </c>
      <c r="B892" s="46">
        <f>IF(_calc!$E$894="","",IF(_calc!$E$894&lt;=500,IF(ISNUMBER(INDEX('Our policies'!$J$4:$J$503,_calc!$E$894)),TEXT(INDEX('Our policies'!$J$4:$J$503,_calc!$E$894),"yyyy-mm-dd"),""),IF(ISNUMBER(INDEX('Vendor COIs'!$H$4:$H$503,(_calc!$E$894-500))),TEXT(INDEX('Vendor COIs'!$H$4:$H$503,(_calc!$E$894-500)),"yyyy-mm-dd"),"")))</f>
        <v/>
      </c>
      <c r="C892" s="46">
        <f>IF(_calc!$E$894="","",IF(_calc!$E$894&lt;=500,"Insurance","Certificate of insurance"))</f>
        <v/>
      </c>
      <c r="D892" s="46">
        <f>IF(_calc!$E$894="","",IF(_calc!$E$894&lt;=500,IF(ISNUMBER(INDEX('Our policies'!$I$4:$I$503,_calc!$E$894)),TEXT(INDEX('Our policies'!$I$4:$I$503,_calc!$E$894),"yyyy-mm-dd"),""),""))</f>
        <v/>
      </c>
      <c r="E892" s="46">
        <f>IF(_calc!$E$894="","",IF(_calc!$E$894&lt;=500,IF(LEN(INDEX('Our policies'!$Q$4:$Q$503,_calc!$E$894))=0,"",INDEX('Our policies'!$Q$4:$Q$503,_calc!$E$894)),"Medium"))</f>
        <v/>
      </c>
      <c r="F892" s="46">
        <f>IF(_calc!$E$894="","",IF(_calc!$E$894&lt;=500,TRIM(IF(LEN(IF(LEN(INDEX('Our policies'!$B$4:$B$503,_calc!$E$894))=0,"",INDEX('Our policies'!$B$4:$B$503,_calc!$E$894)))=0,"","Cover: "&amp;IF(LEN(INDEX('Our policies'!$B$4:$B$503,_calc!$E$894))=0,"",INDEX('Our policies'!$B$4:$B$503,_calc!$E$894))&amp;". ")&amp;IF(LEN(IF(LEN(INDEX('Our policies'!$C$4:$C$503,_calc!$E$894))=0,"",INDEX('Our policies'!$C$4:$C$503,_calc!$E$894)))=0,"","Insurer: "&amp;IF(LEN(INDEX('Our policies'!$C$4:$C$503,_calc!$E$894))=0,"",INDEX('Our policies'!$C$4:$C$503,_calc!$E$894))&amp;". ")&amp;IF(LEN(IF(LEN(INDEX('Our policies'!$D$4:$D$503,_calc!$E$894))=0,"",INDEX('Our policies'!$D$4:$D$503,_calc!$E$894)))=0,"","Broker: "&amp;IF(LEN(INDEX('Our policies'!$D$4:$D$503,_calc!$E$894))=0,"",INDEX('Our policies'!$D$4:$D$503,_calc!$E$894))&amp;". ")&amp;IF(LEN(IF(LEN(INDEX('Our policies'!$E$4:$E$503,_calc!$E$894))=0,"",INDEX('Our policies'!$E$4:$E$503,_calc!$E$894)))=0,"","Policy no.: "&amp;IF(LEN(INDEX('Our policies'!$E$4:$E$503,_calc!$E$894))=0,"",INDEX('Our policies'!$E$4:$E$503,_calc!$E$894))&amp;". ")&amp;IF(LEN(IF(LEN(INDEX('Our policies'!$S$4:$S$503,_calc!$E$894))=0,"",INDEX('Our policies'!$S$4:$S$503,_calc!$E$894)))=0,"",IF(LEN(INDEX('Our policies'!$S$4:$S$503,_calc!$E$894))=0,"",INDEX('Our policies'!$S$4:$S$503,_calc!$E$894)))),TRIM(IF(LEN(IF(LEN(INDEX('Vendor COIs'!$C$4:$C$503,(_calc!$E$894-500)))=0,"",INDEX('Vendor COIs'!$C$4:$C$503,(_calc!$E$894-500))))=0,"","Insurer: "&amp;IF(LEN(INDEX('Vendor COIs'!$C$4:$C$503,(_calc!$E$894-500)))=0,"",INDEX('Vendor COIs'!$C$4:$C$503,(_calc!$E$894-500)))&amp;". ")&amp;IF(LEN(IF(LEN(INDEX('Vendor COIs'!$D$4:$D$503,(_calc!$E$894-500)))=0,"",INDEX('Vendor COIs'!$D$4:$D$503,(_calc!$E$894-500))))=0,"","Policy no.: "&amp;IF(LEN(INDEX('Vendor COIs'!$D$4:$D$503,(_calc!$E$894-500)))=0,"",INDEX('Vendor COIs'!$D$4:$D$503,(_calc!$E$894-500)))&amp;". ")&amp;IF(LEN(IF(LEN(INDEX('Vendor COIs'!$F$4:$F$503,(_calc!$E$894-500)))=0,"",INDEX('Vendor COIs'!$F$4:$F$503,(_calc!$E$894-500))))=0,"","Meets minimum: "&amp;IF(LEN(INDEX('Vendor COIs'!$F$4:$F$503,(_calc!$E$894-500)))=0,"",INDEX('Vendor COIs'!$F$4:$F$503,(_calc!$E$894-500)))&amp;". ")&amp;IF(LEN(IF(LEN(INDEX('Vendor COIs'!$G$4:$G$503,(_calc!$E$894-500)))=0,"",INDEX('Vendor COIs'!$G$4:$G$503,(_calc!$E$894-500))))=0,"","Additional insured: "&amp;IF(LEN(INDEX('Vendor COIs'!$G$4:$G$503,(_calc!$E$894-500)))=0,"",INDEX('Vendor COIs'!$G$4:$G$503,(_calc!$E$894-500)))&amp;". ")&amp;IF(LEN(IF(LEN(INDEX('Vendor COIs'!$M$4:$M$503,(_calc!$E$894-500)))=0,"",INDEX('Vendor COIs'!$M$4:$M$503,(_calc!$E$894-500))))=0,"","Vendor contact: "&amp;IF(LEN(INDEX('Vendor COIs'!$M$4:$M$503,(_calc!$E$894-500)))=0,"",INDEX('Vendor COIs'!$M$4:$M$503,(_calc!$E$894-500)))&amp;". ")&amp;IF(LEN(IF(LEN(INDEX('Vendor COIs'!$P$4:$P$503,(_calc!$E$894-500)))=0,"",INDEX('Vendor COIs'!$P$4:$P$503,(_calc!$E$894-500))))=0,"",IF(LEN(INDEX('Vendor COIs'!$P$4:$P$503,(_calc!$E$894-500)))=0,"",INDEX('Vendor COIs'!$P$4:$P$503,(_calc!$E$894-500)))))))</f>
        <v/>
      </c>
      <c r="G892" s="46">
        <f>IF(_calc!$E$894="","",IF(_calc!$E$894&lt;=500,IF(LEN(INDEX('Our policies'!$R$4:$R$503,_calc!$E$894))=0,"",INDEX('Our policies'!$R$4:$R$503,_calc!$E$894)),IF(LEN(INDEX('Vendor COIs'!$O$4:$O$503,(_calc!$E$894-500)))=0,"",INDEX('Vendor COIs'!$O$4:$O$503,(_calc!$E$894-500)))))</f>
        <v/>
      </c>
      <c r="H892" s="46">
        <f>IF(_calc!$E$894="","",IF(_calc!$E$894&lt;=500,IF(LEN(INDEX('Our policies'!$G$4:$G$503,_calc!$E$894))=0,"",INDEX('Our policies'!$G$4:$G$503,_calc!$E$894)),""))</f>
        <v/>
      </c>
      <c r="I892" s="46">
        <f>IF(_calc!$E$894="","",IF(_calc!$E$894&lt;=500,IF(LEN(INDEX('Our policies'!$H$4:$H$503,_calc!$E$894))=0,"",INDEX('Our policies'!$H$4:$H$503,_calc!$E$894)),""))</f>
        <v/>
      </c>
      <c r="K892" s="46">
        <f>IF(_calc!$E$894="","",IF(_calc!$E$894&lt;=500,IF(LEN(INDEX('Our policies'!$P$4:$P$503,_calc!$E$894))=0,"",INDEX('Our policies'!$P$4:$P$503,_calc!$E$894)),IF(LEN(INDEX('Vendor COIs'!$N$4:$N$503,(_calc!$E$894-500)))=0,"",INDEX('Vendor COIs'!$N$4:$N$503,(_calc!$E$894-500)))))</f>
        <v/>
      </c>
    </row>
    <row r="893">
      <c r="A893" s="46">
        <f>IF(_calc!$E$895="","",IF(_calc!$E$895&lt;=500,IF(LEN(INDEX('Our policies'!$A$4:$A$503,_calc!$E$895))=0,"",INDEX('Our policies'!$A$4:$A$503,_calc!$E$895)),"COI – "&amp;IF(LEN(INDEX('Vendor COIs'!$A$4:$A$503,(_calc!$E$895-500)))=0,"",INDEX('Vendor COIs'!$A$4:$A$503,(_calc!$E$895-500)))&amp;" – "&amp;IF(LEN(INDEX('Vendor COIs'!$B$4:$B$503,(_calc!$E$895-500)))=0,"",INDEX('Vendor COIs'!$B$4:$B$503,(_calc!$E$895-500)))))</f>
        <v/>
      </c>
      <c r="B893" s="46">
        <f>IF(_calc!$E$895="","",IF(_calc!$E$895&lt;=500,IF(ISNUMBER(INDEX('Our policies'!$J$4:$J$503,_calc!$E$895)),TEXT(INDEX('Our policies'!$J$4:$J$503,_calc!$E$895),"yyyy-mm-dd"),""),IF(ISNUMBER(INDEX('Vendor COIs'!$H$4:$H$503,(_calc!$E$895-500))),TEXT(INDEX('Vendor COIs'!$H$4:$H$503,(_calc!$E$895-500)),"yyyy-mm-dd"),"")))</f>
        <v/>
      </c>
      <c r="C893" s="46">
        <f>IF(_calc!$E$895="","",IF(_calc!$E$895&lt;=500,"Insurance","Certificate of insurance"))</f>
        <v/>
      </c>
      <c r="D893" s="46">
        <f>IF(_calc!$E$895="","",IF(_calc!$E$895&lt;=500,IF(ISNUMBER(INDEX('Our policies'!$I$4:$I$503,_calc!$E$895)),TEXT(INDEX('Our policies'!$I$4:$I$503,_calc!$E$895),"yyyy-mm-dd"),""),""))</f>
        <v/>
      </c>
      <c r="E893" s="46">
        <f>IF(_calc!$E$895="","",IF(_calc!$E$895&lt;=500,IF(LEN(INDEX('Our policies'!$Q$4:$Q$503,_calc!$E$895))=0,"",INDEX('Our policies'!$Q$4:$Q$503,_calc!$E$895)),"Medium"))</f>
        <v/>
      </c>
      <c r="F893" s="46">
        <f>IF(_calc!$E$895="","",IF(_calc!$E$895&lt;=500,TRIM(IF(LEN(IF(LEN(INDEX('Our policies'!$B$4:$B$503,_calc!$E$895))=0,"",INDEX('Our policies'!$B$4:$B$503,_calc!$E$895)))=0,"","Cover: "&amp;IF(LEN(INDEX('Our policies'!$B$4:$B$503,_calc!$E$895))=0,"",INDEX('Our policies'!$B$4:$B$503,_calc!$E$895))&amp;". ")&amp;IF(LEN(IF(LEN(INDEX('Our policies'!$C$4:$C$503,_calc!$E$895))=0,"",INDEX('Our policies'!$C$4:$C$503,_calc!$E$895)))=0,"","Insurer: "&amp;IF(LEN(INDEX('Our policies'!$C$4:$C$503,_calc!$E$895))=0,"",INDEX('Our policies'!$C$4:$C$503,_calc!$E$895))&amp;". ")&amp;IF(LEN(IF(LEN(INDEX('Our policies'!$D$4:$D$503,_calc!$E$895))=0,"",INDEX('Our policies'!$D$4:$D$503,_calc!$E$895)))=0,"","Broker: "&amp;IF(LEN(INDEX('Our policies'!$D$4:$D$503,_calc!$E$895))=0,"",INDEX('Our policies'!$D$4:$D$503,_calc!$E$895))&amp;". ")&amp;IF(LEN(IF(LEN(INDEX('Our policies'!$E$4:$E$503,_calc!$E$895))=0,"",INDEX('Our policies'!$E$4:$E$503,_calc!$E$895)))=0,"","Policy no.: "&amp;IF(LEN(INDEX('Our policies'!$E$4:$E$503,_calc!$E$895))=0,"",INDEX('Our policies'!$E$4:$E$503,_calc!$E$895))&amp;". ")&amp;IF(LEN(IF(LEN(INDEX('Our policies'!$S$4:$S$503,_calc!$E$895))=0,"",INDEX('Our policies'!$S$4:$S$503,_calc!$E$895)))=0,"",IF(LEN(INDEX('Our policies'!$S$4:$S$503,_calc!$E$895))=0,"",INDEX('Our policies'!$S$4:$S$503,_calc!$E$895)))),TRIM(IF(LEN(IF(LEN(INDEX('Vendor COIs'!$C$4:$C$503,(_calc!$E$895-500)))=0,"",INDEX('Vendor COIs'!$C$4:$C$503,(_calc!$E$895-500))))=0,"","Insurer: "&amp;IF(LEN(INDEX('Vendor COIs'!$C$4:$C$503,(_calc!$E$895-500)))=0,"",INDEX('Vendor COIs'!$C$4:$C$503,(_calc!$E$895-500)))&amp;". ")&amp;IF(LEN(IF(LEN(INDEX('Vendor COIs'!$D$4:$D$503,(_calc!$E$895-500)))=0,"",INDEX('Vendor COIs'!$D$4:$D$503,(_calc!$E$895-500))))=0,"","Policy no.: "&amp;IF(LEN(INDEX('Vendor COIs'!$D$4:$D$503,(_calc!$E$895-500)))=0,"",INDEX('Vendor COIs'!$D$4:$D$503,(_calc!$E$895-500)))&amp;". ")&amp;IF(LEN(IF(LEN(INDEX('Vendor COIs'!$F$4:$F$503,(_calc!$E$895-500)))=0,"",INDEX('Vendor COIs'!$F$4:$F$503,(_calc!$E$895-500))))=0,"","Meets minimum: "&amp;IF(LEN(INDEX('Vendor COIs'!$F$4:$F$503,(_calc!$E$895-500)))=0,"",INDEX('Vendor COIs'!$F$4:$F$503,(_calc!$E$895-500)))&amp;". ")&amp;IF(LEN(IF(LEN(INDEX('Vendor COIs'!$G$4:$G$503,(_calc!$E$895-500)))=0,"",INDEX('Vendor COIs'!$G$4:$G$503,(_calc!$E$895-500))))=0,"","Additional insured: "&amp;IF(LEN(INDEX('Vendor COIs'!$G$4:$G$503,(_calc!$E$895-500)))=0,"",INDEX('Vendor COIs'!$G$4:$G$503,(_calc!$E$895-500)))&amp;". ")&amp;IF(LEN(IF(LEN(INDEX('Vendor COIs'!$M$4:$M$503,(_calc!$E$895-500)))=0,"",INDEX('Vendor COIs'!$M$4:$M$503,(_calc!$E$895-500))))=0,"","Vendor contact: "&amp;IF(LEN(INDEX('Vendor COIs'!$M$4:$M$503,(_calc!$E$895-500)))=0,"",INDEX('Vendor COIs'!$M$4:$M$503,(_calc!$E$895-500)))&amp;". ")&amp;IF(LEN(IF(LEN(INDEX('Vendor COIs'!$P$4:$P$503,(_calc!$E$895-500)))=0,"",INDEX('Vendor COIs'!$P$4:$P$503,(_calc!$E$895-500))))=0,"",IF(LEN(INDEX('Vendor COIs'!$P$4:$P$503,(_calc!$E$895-500)))=0,"",INDEX('Vendor COIs'!$P$4:$P$503,(_calc!$E$895-500)))))))</f>
        <v/>
      </c>
      <c r="G893" s="46">
        <f>IF(_calc!$E$895="","",IF(_calc!$E$895&lt;=500,IF(LEN(INDEX('Our policies'!$R$4:$R$503,_calc!$E$895))=0,"",INDEX('Our policies'!$R$4:$R$503,_calc!$E$895)),IF(LEN(INDEX('Vendor COIs'!$O$4:$O$503,(_calc!$E$895-500)))=0,"",INDEX('Vendor COIs'!$O$4:$O$503,(_calc!$E$895-500)))))</f>
        <v/>
      </c>
      <c r="H893" s="46">
        <f>IF(_calc!$E$895="","",IF(_calc!$E$895&lt;=500,IF(LEN(INDEX('Our policies'!$G$4:$G$503,_calc!$E$895))=0,"",INDEX('Our policies'!$G$4:$G$503,_calc!$E$895)),""))</f>
        <v/>
      </c>
      <c r="I893" s="46">
        <f>IF(_calc!$E$895="","",IF(_calc!$E$895&lt;=500,IF(LEN(INDEX('Our policies'!$H$4:$H$503,_calc!$E$895))=0,"",INDEX('Our policies'!$H$4:$H$503,_calc!$E$895)),""))</f>
        <v/>
      </c>
      <c r="K893" s="46">
        <f>IF(_calc!$E$895="","",IF(_calc!$E$895&lt;=500,IF(LEN(INDEX('Our policies'!$P$4:$P$503,_calc!$E$895))=0,"",INDEX('Our policies'!$P$4:$P$503,_calc!$E$895)),IF(LEN(INDEX('Vendor COIs'!$N$4:$N$503,(_calc!$E$895-500)))=0,"",INDEX('Vendor COIs'!$N$4:$N$503,(_calc!$E$895-500)))))</f>
        <v/>
      </c>
    </row>
    <row r="894">
      <c r="A894" s="46">
        <f>IF(_calc!$E$896="","",IF(_calc!$E$896&lt;=500,IF(LEN(INDEX('Our policies'!$A$4:$A$503,_calc!$E$896))=0,"",INDEX('Our policies'!$A$4:$A$503,_calc!$E$896)),"COI – "&amp;IF(LEN(INDEX('Vendor COIs'!$A$4:$A$503,(_calc!$E$896-500)))=0,"",INDEX('Vendor COIs'!$A$4:$A$503,(_calc!$E$896-500)))&amp;" – "&amp;IF(LEN(INDEX('Vendor COIs'!$B$4:$B$503,(_calc!$E$896-500)))=0,"",INDEX('Vendor COIs'!$B$4:$B$503,(_calc!$E$896-500)))))</f>
        <v/>
      </c>
      <c r="B894" s="46">
        <f>IF(_calc!$E$896="","",IF(_calc!$E$896&lt;=500,IF(ISNUMBER(INDEX('Our policies'!$J$4:$J$503,_calc!$E$896)),TEXT(INDEX('Our policies'!$J$4:$J$503,_calc!$E$896),"yyyy-mm-dd"),""),IF(ISNUMBER(INDEX('Vendor COIs'!$H$4:$H$503,(_calc!$E$896-500))),TEXT(INDEX('Vendor COIs'!$H$4:$H$503,(_calc!$E$896-500)),"yyyy-mm-dd"),"")))</f>
        <v/>
      </c>
      <c r="C894" s="46">
        <f>IF(_calc!$E$896="","",IF(_calc!$E$896&lt;=500,"Insurance","Certificate of insurance"))</f>
        <v/>
      </c>
      <c r="D894" s="46">
        <f>IF(_calc!$E$896="","",IF(_calc!$E$896&lt;=500,IF(ISNUMBER(INDEX('Our policies'!$I$4:$I$503,_calc!$E$896)),TEXT(INDEX('Our policies'!$I$4:$I$503,_calc!$E$896),"yyyy-mm-dd"),""),""))</f>
        <v/>
      </c>
      <c r="E894" s="46">
        <f>IF(_calc!$E$896="","",IF(_calc!$E$896&lt;=500,IF(LEN(INDEX('Our policies'!$Q$4:$Q$503,_calc!$E$896))=0,"",INDEX('Our policies'!$Q$4:$Q$503,_calc!$E$896)),"Medium"))</f>
        <v/>
      </c>
      <c r="F894" s="46">
        <f>IF(_calc!$E$896="","",IF(_calc!$E$896&lt;=500,TRIM(IF(LEN(IF(LEN(INDEX('Our policies'!$B$4:$B$503,_calc!$E$896))=0,"",INDEX('Our policies'!$B$4:$B$503,_calc!$E$896)))=0,"","Cover: "&amp;IF(LEN(INDEX('Our policies'!$B$4:$B$503,_calc!$E$896))=0,"",INDEX('Our policies'!$B$4:$B$503,_calc!$E$896))&amp;". ")&amp;IF(LEN(IF(LEN(INDEX('Our policies'!$C$4:$C$503,_calc!$E$896))=0,"",INDEX('Our policies'!$C$4:$C$503,_calc!$E$896)))=0,"","Insurer: "&amp;IF(LEN(INDEX('Our policies'!$C$4:$C$503,_calc!$E$896))=0,"",INDEX('Our policies'!$C$4:$C$503,_calc!$E$896))&amp;". ")&amp;IF(LEN(IF(LEN(INDEX('Our policies'!$D$4:$D$503,_calc!$E$896))=0,"",INDEX('Our policies'!$D$4:$D$503,_calc!$E$896)))=0,"","Broker: "&amp;IF(LEN(INDEX('Our policies'!$D$4:$D$503,_calc!$E$896))=0,"",INDEX('Our policies'!$D$4:$D$503,_calc!$E$896))&amp;". ")&amp;IF(LEN(IF(LEN(INDEX('Our policies'!$E$4:$E$503,_calc!$E$896))=0,"",INDEX('Our policies'!$E$4:$E$503,_calc!$E$896)))=0,"","Policy no.: "&amp;IF(LEN(INDEX('Our policies'!$E$4:$E$503,_calc!$E$896))=0,"",INDEX('Our policies'!$E$4:$E$503,_calc!$E$896))&amp;". ")&amp;IF(LEN(IF(LEN(INDEX('Our policies'!$S$4:$S$503,_calc!$E$896))=0,"",INDEX('Our policies'!$S$4:$S$503,_calc!$E$896)))=0,"",IF(LEN(INDEX('Our policies'!$S$4:$S$503,_calc!$E$896))=0,"",INDEX('Our policies'!$S$4:$S$503,_calc!$E$896)))),TRIM(IF(LEN(IF(LEN(INDEX('Vendor COIs'!$C$4:$C$503,(_calc!$E$896-500)))=0,"",INDEX('Vendor COIs'!$C$4:$C$503,(_calc!$E$896-500))))=0,"","Insurer: "&amp;IF(LEN(INDEX('Vendor COIs'!$C$4:$C$503,(_calc!$E$896-500)))=0,"",INDEX('Vendor COIs'!$C$4:$C$503,(_calc!$E$896-500)))&amp;". ")&amp;IF(LEN(IF(LEN(INDEX('Vendor COIs'!$D$4:$D$503,(_calc!$E$896-500)))=0,"",INDEX('Vendor COIs'!$D$4:$D$503,(_calc!$E$896-500))))=0,"","Policy no.: "&amp;IF(LEN(INDEX('Vendor COIs'!$D$4:$D$503,(_calc!$E$896-500)))=0,"",INDEX('Vendor COIs'!$D$4:$D$503,(_calc!$E$896-500)))&amp;". ")&amp;IF(LEN(IF(LEN(INDEX('Vendor COIs'!$F$4:$F$503,(_calc!$E$896-500)))=0,"",INDEX('Vendor COIs'!$F$4:$F$503,(_calc!$E$896-500))))=0,"","Meets minimum: "&amp;IF(LEN(INDEX('Vendor COIs'!$F$4:$F$503,(_calc!$E$896-500)))=0,"",INDEX('Vendor COIs'!$F$4:$F$503,(_calc!$E$896-500)))&amp;". ")&amp;IF(LEN(IF(LEN(INDEX('Vendor COIs'!$G$4:$G$503,(_calc!$E$896-500)))=0,"",INDEX('Vendor COIs'!$G$4:$G$503,(_calc!$E$896-500))))=0,"","Additional insured: "&amp;IF(LEN(INDEX('Vendor COIs'!$G$4:$G$503,(_calc!$E$896-500)))=0,"",INDEX('Vendor COIs'!$G$4:$G$503,(_calc!$E$896-500)))&amp;". ")&amp;IF(LEN(IF(LEN(INDEX('Vendor COIs'!$M$4:$M$503,(_calc!$E$896-500)))=0,"",INDEX('Vendor COIs'!$M$4:$M$503,(_calc!$E$896-500))))=0,"","Vendor contact: "&amp;IF(LEN(INDEX('Vendor COIs'!$M$4:$M$503,(_calc!$E$896-500)))=0,"",INDEX('Vendor COIs'!$M$4:$M$503,(_calc!$E$896-500)))&amp;". ")&amp;IF(LEN(IF(LEN(INDEX('Vendor COIs'!$P$4:$P$503,(_calc!$E$896-500)))=0,"",INDEX('Vendor COIs'!$P$4:$P$503,(_calc!$E$896-500))))=0,"",IF(LEN(INDEX('Vendor COIs'!$P$4:$P$503,(_calc!$E$896-500)))=0,"",INDEX('Vendor COIs'!$P$4:$P$503,(_calc!$E$896-500)))))))</f>
        <v/>
      </c>
      <c r="G894" s="46">
        <f>IF(_calc!$E$896="","",IF(_calc!$E$896&lt;=500,IF(LEN(INDEX('Our policies'!$R$4:$R$503,_calc!$E$896))=0,"",INDEX('Our policies'!$R$4:$R$503,_calc!$E$896)),IF(LEN(INDEX('Vendor COIs'!$O$4:$O$503,(_calc!$E$896-500)))=0,"",INDEX('Vendor COIs'!$O$4:$O$503,(_calc!$E$896-500)))))</f>
        <v/>
      </c>
      <c r="H894" s="46">
        <f>IF(_calc!$E$896="","",IF(_calc!$E$896&lt;=500,IF(LEN(INDEX('Our policies'!$G$4:$G$503,_calc!$E$896))=0,"",INDEX('Our policies'!$G$4:$G$503,_calc!$E$896)),""))</f>
        <v/>
      </c>
      <c r="I894" s="46">
        <f>IF(_calc!$E$896="","",IF(_calc!$E$896&lt;=500,IF(LEN(INDEX('Our policies'!$H$4:$H$503,_calc!$E$896))=0,"",INDEX('Our policies'!$H$4:$H$503,_calc!$E$896)),""))</f>
        <v/>
      </c>
      <c r="K894" s="46">
        <f>IF(_calc!$E$896="","",IF(_calc!$E$896&lt;=500,IF(LEN(INDEX('Our policies'!$P$4:$P$503,_calc!$E$896))=0,"",INDEX('Our policies'!$P$4:$P$503,_calc!$E$896)),IF(LEN(INDEX('Vendor COIs'!$N$4:$N$503,(_calc!$E$896-500)))=0,"",INDEX('Vendor COIs'!$N$4:$N$503,(_calc!$E$896-500)))))</f>
        <v/>
      </c>
    </row>
    <row r="895">
      <c r="A895" s="46">
        <f>IF(_calc!$E$897="","",IF(_calc!$E$897&lt;=500,IF(LEN(INDEX('Our policies'!$A$4:$A$503,_calc!$E$897))=0,"",INDEX('Our policies'!$A$4:$A$503,_calc!$E$897)),"COI – "&amp;IF(LEN(INDEX('Vendor COIs'!$A$4:$A$503,(_calc!$E$897-500)))=0,"",INDEX('Vendor COIs'!$A$4:$A$503,(_calc!$E$897-500)))&amp;" – "&amp;IF(LEN(INDEX('Vendor COIs'!$B$4:$B$503,(_calc!$E$897-500)))=0,"",INDEX('Vendor COIs'!$B$4:$B$503,(_calc!$E$897-500)))))</f>
        <v/>
      </c>
      <c r="B895" s="46">
        <f>IF(_calc!$E$897="","",IF(_calc!$E$897&lt;=500,IF(ISNUMBER(INDEX('Our policies'!$J$4:$J$503,_calc!$E$897)),TEXT(INDEX('Our policies'!$J$4:$J$503,_calc!$E$897),"yyyy-mm-dd"),""),IF(ISNUMBER(INDEX('Vendor COIs'!$H$4:$H$503,(_calc!$E$897-500))),TEXT(INDEX('Vendor COIs'!$H$4:$H$503,(_calc!$E$897-500)),"yyyy-mm-dd"),"")))</f>
        <v/>
      </c>
      <c r="C895" s="46">
        <f>IF(_calc!$E$897="","",IF(_calc!$E$897&lt;=500,"Insurance","Certificate of insurance"))</f>
        <v/>
      </c>
      <c r="D895" s="46">
        <f>IF(_calc!$E$897="","",IF(_calc!$E$897&lt;=500,IF(ISNUMBER(INDEX('Our policies'!$I$4:$I$503,_calc!$E$897)),TEXT(INDEX('Our policies'!$I$4:$I$503,_calc!$E$897),"yyyy-mm-dd"),""),""))</f>
        <v/>
      </c>
      <c r="E895" s="46">
        <f>IF(_calc!$E$897="","",IF(_calc!$E$897&lt;=500,IF(LEN(INDEX('Our policies'!$Q$4:$Q$503,_calc!$E$897))=0,"",INDEX('Our policies'!$Q$4:$Q$503,_calc!$E$897)),"Medium"))</f>
        <v/>
      </c>
      <c r="F895" s="46">
        <f>IF(_calc!$E$897="","",IF(_calc!$E$897&lt;=500,TRIM(IF(LEN(IF(LEN(INDEX('Our policies'!$B$4:$B$503,_calc!$E$897))=0,"",INDEX('Our policies'!$B$4:$B$503,_calc!$E$897)))=0,"","Cover: "&amp;IF(LEN(INDEX('Our policies'!$B$4:$B$503,_calc!$E$897))=0,"",INDEX('Our policies'!$B$4:$B$503,_calc!$E$897))&amp;". ")&amp;IF(LEN(IF(LEN(INDEX('Our policies'!$C$4:$C$503,_calc!$E$897))=0,"",INDEX('Our policies'!$C$4:$C$503,_calc!$E$897)))=0,"","Insurer: "&amp;IF(LEN(INDEX('Our policies'!$C$4:$C$503,_calc!$E$897))=0,"",INDEX('Our policies'!$C$4:$C$503,_calc!$E$897))&amp;". ")&amp;IF(LEN(IF(LEN(INDEX('Our policies'!$D$4:$D$503,_calc!$E$897))=0,"",INDEX('Our policies'!$D$4:$D$503,_calc!$E$897)))=0,"","Broker: "&amp;IF(LEN(INDEX('Our policies'!$D$4:$D$503,_calc!$E$897))=0,"",INDEX('Our policies'!$D$4:$D$503,_calc!$E$897))&amp;". ")&amp;IF(LEN(IF(LEN(INDEX('Our policies'!$E$4:$E$503,_calc!$E$897))=0,"",INDEX('Our policies'!$E$4:$E$503,_calc!$E$897)))=0,"","Policy no.: "&amp;IF(LEN(INDEX('Our policies'!$E$4:$E$503,_calc!$E$897))=0,"",INDEX('Our policies'!$E$4:$E$503,_calc!$E$897))&amp;". ")&amp;IF(LEN(IF(LEN(INDEX('Our policies'!$S$4:$S$503,_calc!$E$897))=0,"",INDEX('Our policies'!$S$4:$S$503,_calc!$E$897)))=0,"",IF(LEN(INDEX('Our policies'!$S$4:$S$503,_calc!$E$897))=0,"",INDEX('Our policies'!$S$4:$S$503,_calc!$E$897)))),TRIM(IF(LEN(IF(LEN(INDEX('Vendor COIs'!$C$4:$C$503,(_calc!$E$897-500)))=0,"",INDEX('Vendor COIs'!$C$4:$C$503,(_calc!$E$897-500))))=0,"","Insurer: "&amp;IF(LEN(INDEX('Vendor COIs'!$C$4:$C$503,(_calc!$E$897-500)))=0,"",INDEX('Vendor COIs'!$C$4:$C$503,(_calc!$E$897-500)))&amp;". ")&amp;IF(LEN(IF(LEN(INDEX('Vendor COIs'!$D$4:$D$503,(_calc!$E$897-500)))=0,"",INDEX('Vendor COIs'!$D$4:$D$503,(_calc!$E$897-500))))=0,"","Policy no.: "&amp;IF(LEN(INDEX('Vendor COIs'!$D$4:$D$503,(_calc!$E$897-500)))=0,"",INDEX('Vendor COIs'!$D$4:$D$503,(_calc!$E$897-500)))&amp;". ")&amp;IF(LEN(IF(LEN(INDEX('Vendor COIs'!$F$4:$F$503,(_calc!$E$897-500)))=0,"",INDEX('Vendor COIs'!$F$4:$F$503,(_calc!$E$897-500))))=0,"","Meets minimum: "&amp;IF(LEN(INDEX('Vendor COIs'!$F$4:$F$503,(_calc!$E$897-500)))=0,"",INDEX('Vendor COIs'!$F$4:$F$503,(_calc!$E$897-500)))&amp;". ")&amp;IF(LEN(IF(LEN(INDEX('Vendor COIs'!$G$4:$G$503,(_calc!$E$897-500)))=0,"",INDEX('Vendor COIs'!$G$4:$G$503,(_calc!$E$897-500))))=0,"","Additional insured: "&amp;IF(LEN(INDEX('Vendor COIs'!$G$4:$G$503,(_calc!$E$897-500)))=0,"",INDEX('Vendor COIs'!$G$4:$G$503,(_calc!$E$897-500)))&amp;". ")&amp;IF(LEN(IF(LEN(INDEX('Vendor COIs'!$M$4:$M$503,(_calc!$E$897-500)))=0,"",INDEX('Vendor COIs'!$M$4:$M$503,(_calc!$E$897-500))))=0,"","Vendor contact: "&amp;IF(LEN(INDEX('Vendor COIs'!$M$4:$M$503,(_calc!$E$897-500)))=0,"",INDEX('Vendor COIs'!$M$4:$M$503,(_calc!$E$897-500)))&amp;". ")&amp;IF(LEN(IF(LEN(INDEX('Vendor COIs'!$P$4:$P$503,(_calc!$E$897-500)))=0,"",INDEX('Vendor COIs'!$P$4:$P$503,(_calc!$E$897-500))))=0,"",IF(LEN(INDEX('Vendor COIs'!$P$4:$P$503,(_calc!$E$897-500)))=0,"",INDEX('Vendor COIs'!$P$4:$P$503,(_calc!$E$897-500)))))))</f>
        <v/>
      </c>
      <c r="G895" s="46">
        <f>IF(_calc!$E$897="","",IF(_calc!$E$897&lt;=500,IF(LEN(INDEX('Our policies'!$R$4:$R$503,_calc!$E$897))=0,"",INDEX('Our policies'!$R$4:$R$503,_calc!$E$897)),IF(LEN(INDEX('Vendor COIs'!$O$4:$O$503,(_calc!$E$897-500)))=0,"",INDEX('Vendor COIs'!$O$4:$O$503,(_calc!$E$897-500)))))</f>
        <v/>
      </c>
      <c r="H895" s="46">
        <f>IF(_calc!$E$897="","",IF(_calc!$E$897&lt;=500,IF(LEN(INDEX('Our policies'!$G$4:$G$503,_calc!$E$897))=0,"",INDEX('Our policies'!$G$4:$G$503,_calc!$E$897)),""))</f>
        <v/>
      </c>
      <c r="I895" s="46">
        <f>IF(_calc!$E$897="","",IF(_calc!$E$897&lt;=500,IF(LEN(INDEX('Our policies'!$H$4:$H$503,_calc!$E$897))=0,"",INDEX('Our policies'!$H$4:$H$503,_calc!$E$897)),""))</f>
        <v/>
      </c>
      <c r="K895" s="46">
        <f>IF(_calc!$E$897="","",IF(_calc!$E$897&lt;=500,IF(LEN(INDEX('Our policies'!$P$4:$P$503,_calc!$E$897))=0,"",INDEX('Our policies'!$P$4:$P$503,_calc!$E$897)),IF(LEN(INDEX('Vendor COIs'!$N$4:$N$503,(_calc!$E$897-500)))=0,"",INDEX('Vendor COIs'!$N$4:$N$503,(_calc!$E$897-500)))))</f>
        <v/>
      </c>
    </row>
    <row r="896">
      <c r="A896" s="46">
        <f>IF(_calc!$E$898="","",IF(_calc!$E$898&lt;=500,IF(LEN(INDEX('Our policies'!$A$4:$A$503,_calc!$E$898))=0,"",INDEX('Our policies'!$A$4:$A$503,_calc!$E$898)),"COI – "&amp;IF(LEN(INDEX('Vendor COIs'!$A$4:$A$503,(_calc!$E$898-500)))=0,"",INDEX('Vendor COIs'!$A$4:$A$503,(_calc!$E$898-500)))&amp;" – "&amp;IF(LEN(INDEX('Vendor COIs'!$B$4:$B$503,(_calc!$E$898-500)))=0,"",INDEX('Vendor COIs'!$B$4:$B$503,(_calc!$E$898-500)))))</f>
        <v/>
      </c>
      <c r="B896" s="46">
        <f>IF(_calc!$E$898="","",IF(_calc!$E$898&lt;=500,IF(ISNUMBER(INDEX('Our policies'!$J$4:$J$503,_calc!$E$898)),TEXT(INDEX('Our policies'!$J$4:$J$503,_calc!$E$898),"yyyy-mm-dd"),""),IF(ISNUMBER(INDEX('Vendor COIs'!$H$4:$H$503,(_calc!$E$898-500))),TEXT(INDEX('Vendor COIs'!$H$4:$H$503,(_calc!$E$898-500)),"yyyy-mm-dd"),"")))</f>
        <v/>
      </c>
      <c r="C896" s="46">
        <f>IF(_calc!$E$898="","",IF(_calc!$E$898&lt;=500,"Insurance","Certificate of insurance"))</f>
        <v/>
      </c>
      <c r="D896" s="46">
        <f>IF(_calc!$E$898="","",IF(_calc!$E$898&lt;=500,IF(ISNUMBER(INDEX('Our policies'!$I$4:$I$503,_calc!$E$898)),TEXT(INDEX('Our policies'!$I$4:$I$503,_calc!$E$898),"yyyy-mm-dd"),""),""))</f>
        <v/>
      </c>
      <c r="E896" s="46">
        <f>IF(_calc!$E$898="","",IF(_calc!$E$898&lt;=500,IF(LEN(INDEX('Our policies'!$Q$4:$Q$503,_calc!$E$898))=0,"",INDEX('Our policies'!$Q$4:$Q$503,_calc!$E$898)),"Medium"))</f>
        <v/>
      </c>
      <c r="F896" s="46">
        <f>IF(_calc!$E$898="","",IF(_calc!$E$898&lt;=500,TRIM(IF(LEN(IF(LEN(INDEX('Our policies'!$B$4:$B$503,_calc!$E$898))=0,"",INDEX('Our policies'!$B$4:$B$503,_calc!$E$898)))=0,"","Cover: "&amp;IF(LEN(INDEX('Our policies'!$B$4:$B$503,_calc!$E$898))=0,"",INDEX('Our policies'!$B$4:$B$503,_calc!$E$898))&amp;". ")&amp;IF(LEN(IF(LEN(INDEX('Our policies'!$C$4:$C$503,_calc!$E$898))=0,"",INDEX('Our policies'!$C$4:$C$503,_calc!$E$898)))=0,"","Insurer: "&amp;IF(LEN(INDEX('Our policies'!$C$4:$C$503,_calc!$E$898))=0,"",INDEX('Our policies'!$C$4:$C$503,_calc!$E$898))&amp;". ")&amp;IF(LEN(IF(LEN(INDEX('Our policies'!$D$4:$D$503,_calc!$E$898))=0,"",INDEX('Our policies'!$D$4:$D$503,_calc!$E$898)))=0,"","Broker: "&amp;IF(LEN(INDEX('Our policies'!$D$4:$D$503,_calc!$E$898))=0,"",INDEX('Our policies'!$D$4:$D$503,_calc!$E$898))&amp;". ")&amp;IF(LEN(IF(LEN(INDEX('Our policies'!$E$4:$E$503,_calc!$E$898))=0,"",INDEX('Our policies'!$E$4:$E$503,_calc!$E$898)))=0,"","Policy no.: "&amp;IF(LEN(INDEX('Our policies'!$E$4:$E$503,_calc!$E$898))=0,"",INDEX('Our policies'!$E$4:$E$503,_calc!$E$898))&amp;". ")&amp;IF(LEN(IF(LEN(INDEX('Our policies'!$S$4:$S$503,_calc!$E$898))=0,"",INDEX('Our policies'!$S$4:$S$503,_calc!$E$898)))=0,"",IF(LEN(INDEX('Our policies'!$S$4:$S$503,_calc!$E$898))=0,"",INDEX('Our policies'!$S$4:$S$503,_calc!$E$898)))),TRIM(IF(LEN(IF(LEN(INDEX('Vendor COIs'!$C$4:$C$503,(_calc!$E$898-500)))=0,"",INDEX('Vendor COIs'!$C$4:$C$503,(_calc!$E$898-500))))=0,"","Insurer: "&amp;IF(LEN(INDEX('Vendor COIs'!$C$4:$C$503,(_calc!$E$898-500)))=0,"",INDEX('Vendor COIs'!$C$4:$C$503,(_calc!$E$898-500)))&amp;". ")&amp;IF(LEN(IF(LEN(INDEX('Vendor COIs'!$D$4:$D$503,(_calc!$E$898-500)))=0,"",INDEX('Vendor COIs'!$D$4:$D$503,(_calc!$E$898-500))))=0,"","Policy no.: "&amp;IF(LEN(INDEX('Vendor COIs'!$D$4:$D$503,(_calc!$E$898-500)))=0,"",INDEX('Vendor COIs'!$D$4:$D$503,(_calc!$E$898-500)))&amp;". ")&amp;IF(LEN(IF(LEN(INDEX('Vendor COIs'!$F$4:$F$503,(_calc!$E$898-500)))=0,"",INDEX('Vendor COIs'!$F$4:$F$503,(_calc!$E$898-500))))=0,"","Meets minimum: "&amp;IF(LEN(INDEX('Vendor COIs'!$F$4:$F$503,(_calc!$E$898-500)))=0,"",INDEX('Vendor COIs'!$F$4:$F$503,(_calc!$E$898-500)))&amp;". ")&amp;IF(LEN(IF(LEN(INDEX('Vendor COIs'!$G$4:$G$503,(_calc!$E$898-500)))=0,"",INDEX('Vendor COIs'!$G$4:$G$503,(_calc!$E$898-500))))=0,"","Additional insured: "&amp;IF(LEN(INDEX('Vendor COIs'!$G$4:$G$503,(_calc!$E$898-500)))=0,"",INDEX('Vendor COIs'!$G$4:$G$503,(_calc!$E$898-500)))&amp;". ")&amp;IF(LEN(IF(LEN(INDEX('Vendor COIs'!$M$4:$M$503,(_calc!$E$898-500)))=0,"",INDEX('Vendor COIs'!$M$4:$M$503,(_calc!$E$898-500))))=0,"","Vendor contact: "&amp;IF(LEN(INDEX('Vendor COIs'!$M$4:$M$503,(_calc!$E$898-500)))=0,"",INDEX('Vendor COIs'!$M$4:$M$503,(_calc!$E$898-500)))&amp;". ")&amp;IF(LEN(IF(LEN(INDEX('Vendor COIs'!$P$4:$P$503,(_calc!$E$898-500)))=0,"",INDEX('Vendor COIs'!$P$4:$P$503,(_calc!$E$898-500))))=0,"",IF(LEN(INDEX('Vendor COIs'!$P$4:$P$503,(_calc!$E$898-500)))=0,"",INDEX('Vendor COIs'!$P$4:$P$503,(_calc!$E$898-500)))))))</f>
        <v/>
      </c>
      <c r="G896" s="46">
        <f>IF(_calc!$E$898="","",IF(_calc!$E$898&lt;=500,IF(LEN(INDEX('Our policies'!$R$4:$R$503,_calc!$E$898))=0,"",INDEX('Our policies'!$R$4:$R$503,_calc!$E$898)),IF(LEN(INDEX('Vendor COIs'!$O$4:$O$503,(_calc!$E$898-500)))=0,"",INDEX('Vendor COIs'!$O$4:$O$503,(_calc!$E$898-500)))))</f>
        <v/>
      </c>
      <c r="H896" s="46">
        <f>IF(_calc!$E$898="","",IF(_calc!$E$898&lt;=500,IF(LEN(INDEX('Our policies'!$G$4:$G$503,_calc!$E$898))=0,"",INDEX('Our policies'!$G$4:$G$503,_calc!$E$898)),""))</f>
        <v/>
      </c>
      <c r="I896" s="46">
        <f>IF(_calc!$E$898="","",IF(_calc!$E$898&lt;=500,IF(LEN(INDEX('Our policies'!$H$4:$H$503,_calc!$E$898))=0,"",INDEX('Our policies'!$H$4:$H$503,_calc!$E$898)),""))</f>
        <v/>
      </c>
      <c r="K896" s="46">
        <f>IF(_calc!$E$898="","",IF(_calc!$E$898&lt;=500,IF(LEN(INDEX('Our policies'!$P$4:$P$503,_calc!$E$898))=0,"",INDEX('Our policies'!$P$4:$P$503,_calc!$E$898)),IF(LEN(INDEX('Vendor COIs'!$N$4:$N$503,(_calc!$E$898-500)))=0,"",INDEX('Vendor COIs'!$N$4:$N$503,(_calc!$E$898-500)))))</f>
        <v/>
      </c>
    </row>
    <row r="897">
      <c r="A897" s="46">
        <f>IF(_calc!$E$899="","",IF(_calc!$E$899&lt;=500,IF(LEN(INDEX('Our policies'!$A$4:$A$503,_calc!$E$899))=0,"",INDEX('Our policies'!$A$4:$A$503,_calc!$E$899)),"COI – "&amp;IF(LEN(INDEX('Vendor COIs'!$A$4:$A$503,(_calc!$E$899-500)))=0,"",INDEX('Vendor COIs'!$A$4:$A$503,(_calc!$E$899-500)))&amp;" – "&amp;IF(LEN(INDEX('Vendor COIs'!$B$4:$B$503,(_calc!$E$899-500)))=0,"",INDEX('Vendor COIs'!$B$4:$B$503,(_calc!$E$899-500)))))</f>
        <v/>
      </c>
      <c r="B897" s="46">
        <f>IF(_calc!$E$899="","",IF(_calc!$E$899&lt;=500,IF(ISNUMBER(INDEX('Our policies'!$J$4:$J$503,_calc!$E$899)),TEXT(INDEX('Our policies'!$J$4:$J$503,_calc!$E$899),"yyyy-mm-dd"),""),IF(ISNUMBER(INDEX('Vendor COIs'!$H$4:$H$503,(_calc!$E$899-500))),TEXT(INDEX('Vendor COIs'!$H$4:$H$503,(_calc!$E$899-500)),"yyyy-mm-dd"),"")))</f>
        <v/>
      </c>
      <c r="C897" s="46">
        <f>IF(_calc!$E$899="","",IF(_calc!$E$899&lt;=500,"Insurance","Certificate of insurance"))</f>
        <v/>
      </c>
      <c r="D897" s="46">
        <f>IF(_calc!$E$899="","",IF(_calc!$E$899&lt;=500,IF(ISNUMBER(INDEX('Our policies'!$I$4:$I$503,_calc!$E$899)),TEXT(INDEX('Our policies'!$I$4:$I$503,_calc!$E$899),"yyyy-mm-dd"),""),""))</f>
        <v/>
      </c>
      <c r="E897" s="46">
        <f>IF(_calc!$E$899="","",IF(_calc!$E$899&lt;=500,IF(LEN(INDEX('Our policies'!$Q$4:$Q$503,_calc!$E$899))=0,"",INDEX('Our policies'!$Q$4:$Q$503,_calc!$E$899)),"Medium"))</f>
        <v/>
      </c>
      <c r="F897" s="46">
        <f>IF(_calc!$E$899="","",IF(_calc!$E$899&lt;=500,TRIM(IF(LEN(IF(LEN(INDEX('Our policies'!$B$4:$B$503,_calc!$E$899))=0,"",INDEX('Our policies'!$B$4:$B$503,_calc!$E$899)))=0,"","Cover: "&amp;IF(LEN(INDEX('Our policies'!$B$4:$B$503,_calc!$E$899))=0,"",INDEX('Our policies'!$B$4:$B$503,_calc!$E$899))&amp;". ")&amp;IF(LEN(IF(LEN(INDEX('Our policies'!$C$4:$C$503,_calc!$E$899))=0,"",INDEX('Our policies'!$C$4:$C$503,_calc!$E$899)))=0,"","Insurer: "&amp;IF(LEN(INDEX('Our policies'!$C$4:$C$503,_calc!$E$899))=0,"",INDEX('Our policies'!$C$4:$C$503,_calc!$E$899))&amp;". ")&amp;IF(LEN(IF(LEN(INDEX('Our policies'!$D$4:$D$503,_calc!$E$899))=0,"",INDEX('Our policies'!$D$4:$D$503,_calc!$E$899)))=0,"","Broker: "&amp;IF(LEN(INDEX('Our policies'!$D$4:$D$503,_calc!$E$899))=0,"",INDEX('Our policies'!$D$4:$D$503,_calc!$E$899))&amp;". ")&amp;IF(LEN(IF(LEN(INDEX('Our policies'!$E$4:$E$503,_calc!$E$899))=0,"",INDEX('Our policies'!$E$4:$E$503,_calc!$E$899)))=0,"","Policy no.: "&amp;IF(LEN(INDEX('Our policies'!$E$4:$E$503,_calc!$E$899))=0,"",INDEX('Our policies'!$E$4:$E$503,_calc!$E$899))&amp;". ")&amp;IF(LEN(IF(LEN(INDEX('Our policies'!$S$4:$S$503,_calc!$E$899))=0,"",INDEX('Our policies'!$S$4:$S$503,_calc!$E$899)))=0,"",IF(LEN(INDEX('Our policies'!$S$4:$S$503,_calc!$E$899))=0,"",INDEX('Our policies'!$S$4:$S$503,_calc!$E$899)))),TRIM(IF(LEN(IF(LEN(INDEX('Vendor COIs'!$C$4:$C$503,(_calc!$E$899-500)))=0,"",INDEX('Vendor COIs'!$C$4:$C$503,(_calc!$E$899-500))))=0,"","Insurer: "&amp;IF(LEN(INDEX('Vendor COIs'!$C$4:$C$503,(_calc!$E$899-500)))=0,"",INDEX('Vendor COIs'!$C$4:$C$503,(_calc!$E$899-500)))&amp;". ")&amp;IF(LEN(IF(LEN(INDEX('Vendor COIs'!$D$4:$D$503,(_calc!$E$899-500)))=0,"",INDEX('Vendor COIs'!$D$4:$D$503,(_calc!$E$899-500))))=0,"","Policy no.: "&amp;IF(LEN(INDEX('Vendor COIs'!$D$4:$D$503,(_calc!$E$899-500)))=0,"",INDEX('Vendor COIs'!$D$4:$D$503,(_calc!$E$899-500)))&amp;". ")&amp;IF(LEN(IF(LEN(INDEX('Vendor COIs'!$F$4:$F$503,(_calc!$E$899-500)))=0,"",INDEX('Vendor COIs'!$F$4:$F$503,(_calc!$E$899-500))))=0,"","Meets minimum: "&amp;IF(LEN(INDEX('Vendor COIs'!$F$4:$F$503,(_calc!$E$899-500)))=0,"",INDEX('Vendor COIs'!$F$4:$F$503,(_calc!$E$899-500)))&amp;". ")&amp;IF(LEN(IF(LEN(INDEX('Vendor COIs'!$G$4:$G$503,(_calc!$E$899-500)))=0,"",INDEX('Vendor COIs'!$G$4:$G$503,(_calc!$E$899-500))))=0,"","Additional insured: "&amp;IF(LEN(INDEX('Vendor COIs'!$G$4:$G$503,(_calc!$E$899-500)))=0,"",INDEX('Vendor COIs'!$G$4:$G$503,(_calc!$E$899-500)))&amp;". ")&amp;IF(LEN(IF(LEN(INDEX('Vendor COIs'!$M$4:$M$503,(_calc!$E$899-500)))=0,"",INDEX('Vendor COIs'!$M$4:$M$503,(_calc!$E$899-500))))=0,"","Vendor contact: "&amp;IF(LEN(INDEX('Vendor COIs'!$M$4:$M$503,(_calc!$E$899-500)))=0,"",INDEX('Vendor COIs'!$M$4:$M$503,(_calc!$E$899-500)))&amp;". ")&amp;IF(LEN(IF(LEN(INDEX('Vendor COIs'!$P$4:$P$503,(_calc!$E$899-500)))=0,"",INDEX('Vendor COIs'!$P$4:$P$503,(_calc!$E$899-500))))=0,"",IF(LEN(INDEX('Vendor COIs'!$P$4:$P$503,(_calc!$E$899-500)))=0,"",INDEX('Vendor COIs'!$P$4:$P$503,(_calc!$E$899-500)))))))</f>
        <v/>
      </c>
      <c r="G897" s="46">
        <f>IF(_calc!$E$899="","",IF(_calc!$E$899&lt;=500,IF(LEN(INDEX('Our policies'!$R$4:$R$503,_calc!$E$899))=0,"",INDEX('Our policies'!$R$4:$R$503,_calc!$E$899)),IF(LEN(INDEX('Vendor COIs'!$O$4:$O$503,(_calc!$E$899-500)))=0,"",INDEX('Vendor COIs'!$O$4:$O$503,(_calc!$E$899-500)))))</f>
        <v/>
      </c>
      <c r="H897" s="46">
        <f>IF(_calc!$E$899="","",IF(_calc!$E$899&lt;=500,IF(LEN(INDEX('Our policies'!$G$4:$G$503,_calc!$E$899))=0,"",INDEX('Our policies'!$G$4:$G$503,_calc!$E$899)),""))</f>
        <v/>
      </c>
      <c r="I897" s="46">
        <f>IF(_calc!$E$899="","",IF(_calc!$E$899&lt;=500,IF(LEN(INDEX('Our policies'!$H$4:$H$503,_calc!$E$899))=0,"",INDEX('Our policies'!$H$4:$H$503,_calc!$E$899)),""))</f>
        <v/>
      </c>
      <c r="K897" s="46">
        <f>IF(_calc!$E$899="","",IF(_calc!$E$899&lt;=500,IF(LEN(INDEX('Our policies'!$P$4:$P$503,_calc!$E$899))=0,"",INDEX('Our policies'!$P$4:$P$503,_calc!$E$899)),IF(LEN(INDEX('Vendor COIs'!$N$4:$N$503,(_calc!$E$899-500)))=0,"",INDEX('Vendor COIs'!$N$4:$N$503,(_calc!$E$899-500)))))</f>
        <v/>
      </c>
    </row>
    <row r="898">
      <c r="A898" s="46">
        <f>IF(_calc!$E$900="","",IF(_calc!$E$900&lt;=500,IF(LEN(INDEX('Our policies'!$A$4:$A$503,_calc!$E$900))=0,"",INDEX('Our policies'!$A$4:$A$503,_calc!$E$900)),"COI – "&amp;IF(LEN(INDEX('Vendor COIs'!$A$4:$A$503,(_calc!$E$900-500)))=0,"",INDEX('Vendor COIs'!$A$4:$A$503,(_calc!$E$900-500)))&amp;" – "&amp;IF(LEN(INDEX('Vendor COIs'!$B$4:$B$503,(_calc!$E$900-500)))=0,"",INDEX('Vendor COIs'!$B$4:$B$503,(_calc!$E$900-500)))))</f>
        <v/>
      </c>
      <c r="B898" s="46">
        <f>IF(_calc!$E$900="","",IF(_calc!$E$900&lt;=500,IF(ISNUMBER(INDEX('Our policies'!$J$4:$J$503,_calc!$E$900)),TEXT(INDEX('Our policies'!$J$4:$J$503,_calc!$E$900),"yyyy-mm-dd"),""),IF(ISNUMBER(INDEX('Vendor COIs'!$H$4:$H$503,(_calc!$E$900-500))),TEXT(INDEX('Vendor COIs'!$H$4:$H$503,(_calc!$E$900-500)),"yyyy-mm-dd"),"")))</f>
        <v/>
      </c>
      <c r="C898" s="46">
        <f>IF(_calc!$E$900="","",IF(_calc!$E$900&lt;=500,"Insurance","Certificate of insurance"))</f>
        <v/>
      </c>
      <c r="D898" s="46">
        <f>IF(_calc!$E$900="","",IF(_calc!$E$900&lt;=500,IF(ISNUMBER(INDEX('Our policies'!$I$4:$I$503,_calc!$E$900)),TEXT(INDEX('Our policies'!$I$4:$I$503,_calc!$E$900),"yyyy-mm-dd"),""),""))</f>
        <v/>
      </c>
      <c r="E898" s="46">
        <f>IF(_calc!$E$900="","",IF(_calc!$E$900&lt;=500,IF(LEN(INDEX('Our policies'!$Q$4:$Q$503,_calc!$E$900))=0,"",INDEX('Our policies'!$Q$4:$Q$503,_calc!$E$900)),"Medium"))</f>
        <v/>
      </c>
      <c r="F898" s="46">
        <f>IF(_calc!$E$900="","",IF(_calc!$E$900&lt;=500,TRIM(IF(LEN(IF(LEN(INDEX('Our policies'!$B$4:$B$503,_calc!$E$900))=0,"",INDEX('Our policies'!$B$4:$B$503,_calc!$E$900)))=0,"","Cover: "&amp;IF(LEN(INDEX('Our policies'!$B$4:$B$503,_calc!$E$900))=0,"",INDEX('Our policies'!$B$4:$B$503,_calc!$E$900))&amp;". ")&amp;IF(LEN(IF(LEN(INDEX('Our policies'!$C$4:$C$503,_calc!$E$900))=0,"",INDEX('Our policies'!$C$4:$C$503,_calc!$E$900)))=0,"","Insurer: "&amp;IF(LEN(INDEX('Our policies'!$C$4:$C$503,_calc!$E$900))=0,"",INDEX('Our policies'!$C$4:$C$503,_calc!$E$900))&amp;". ")&amp;IF(LEN(IF(LEN(INDEX('Our policies'!$D$4:$D$503,_calc!$E$900))=0,"",INDEX('Our policies'!$D$4:$D$503,_calc!$E$900)))=0,"","Broker: "&amp;IF(LEN(INDEX('Our policies'!$D$4:$D$503,_calc!$E$900))=0,"",INDEX('Our policies'!$D$4:$D$503,_calc!$E$900))&amp;". ")&amp;IF(LEN(IF(LEN(INDEX('Our policies'!$E$4:$E$503,_calc!$E$900))=0,"",INDEX('Our policies'!$E$4:$E$503,_calc!$E$900)))=0,"","Policy no.: "&amp;IF(LEN(INDEX('Our policies'!$E$4:$E$503,_calc!$E$900))=0,"",INDEX('Our policies'!$E$4:$E$503,_calc!$E$900))&amp;". ")&amp;IF(LEN(IF(LEN(INDEX('Our policies'!$S$4:$S$503,_calc!$E$900))=0,"",INDEX('Our policies'!$S$4:$S$503,_calc!$E$900)))=0,"",IF(LEN(INDEX('Our policies'!$S$4:$S$503,_calc!$E$900))=0,"",INDEX('Our policies'!$S$4:$S$503,_calc!$E$900)))),TRIM(IF(LEN(IF(LEN(INDEX('Vendor COIs'!$C$4:$C$503,(_calc!$E$900-500)))=0,"",INDEX('Vendor COIs'!$C$4:$C$503,(_calc!$E$900-500))))=0,"","Insurer: "&amp;IF(LEN(INDEX('Vendor COIs'!$C$4:$C$503,(_calc!$E$900-500)))=0,"",INDEX('Vendor COIs'!$C$4:$C$503,(_calc!$E$900-500)))&amp;". ")&amp;IF(LEN(IF(LEN(INDEX('Vendor COIs'!$D$4:$D$503,(_calc!$E$900-500)))=0,"",INDEX('Vendor COIs'!$D$4:$D$503,(_calc!$E$900-500))))=0,"","Policy no.: "&amp;IF(LEN(INDEX('Vendor COIs'!$D$4:$D$503,(_calc!$E$900-500)))=0,"",INDEX('Vendor COIs'!$D$4:$D$503,(_calc!$E$900-500)))&amp;". ")&amp;IF(LEN(IF(LEN(INDEX('Vendor COIs'!$F$4:$F$503,(_calc!$E$900-500)))=0,"",INDEX('Vendor COIs'!$F$4:$F$503,(_calc!$E$900-500))))=0,"","Meets minimum: "&amp;IF(LEN(INDEX('Vendor COIs'!$F$4:$F$503,(_calc!$E$900-500)))=0,"",INDEX('Vendor COIs'!$F$4:$F$503,(_calc!$E$900-500)))&amp;". ")&amp;IF(LEN(IF(LEN(INDEX('Vendor COIs'!$G$4:$G$503,(_calc!$E$900-500)))=0,"",INDEX('Vendor COIs'!$G$4:$G$503,(_calc!$E$900-500))))=0,"","Additional insured: "&amp;IF(LEN(INDEX('Vendor COIs'!$G$4:$G$503,(_calc!$E$900-500)))=0,"",INDEX('Vendor COIs'!$G$4:$G$503,(_calc!$E$900-500)))&amp;". ")&amp;IF(LEN(IF(LEN(INDEX('Vendor COIs'!$M$4:$M$503,(_calc!$E$900-500)))=0,"",INDEX('Vendor COIs'!$M$4:$M$503,(_calc!$E$900-500))))=0,"","Vendor contact: "&amp;IF(LEN(INDEX('Vendor COIs'!$M$4:$M$503,(_calc!$E$900-500)))=0,"",INDEX('Vendor COIs'!$M$4:$M$503,(_calc!$E$900-500)))&amp;". ")&amp;IF(LEN(IF(LEN(INDEX('Vendor COIs'!$P$4:$P$503,(_calc!$E$900-500)))=0,"",INDEX('Vendor COIs'!$P$4:$P$503,(_calc!$E$900-500))))=0,"",IF(LEN(INDEX('Vendor COIs'!$P$4:$P$503,(_calc!$E$900-500)))=0,"",INDEX('Vendor COIs'!$P$4:$P$503,(_calc!$E$900-500)))))))</f>
        <v/>
      </c>
      <c r="G898" s="46">
        <f>IF(_calc!$E$900="","",IF(_calc!$E$900&lt;=500,IF(LEN(INDEX('Our policies'!$R$4:$R$503,_calc!$E$900))=0,"",INDEX('Our policies'!$R$4:$R$503,_calc!$E$900)),IF(LEN(INDEX('Vendor COIs'!$O$4:$O$503,(_calc!$E$900-500)))=0,"",INDEX('Vendor COIs'!$O$4:$O$503,(_calc!$E$900-500)))))</f>
        <v/>
      </c>
      <c r="H898" s="46">
        <f>IF(_calc!$E$900="","",IF(_calc!$E$900&lt;=500,IF(LEN(INDEX('Our policies'!$G$4:$G$503,_calc!$E$900))=0,"",INDEX('Our policies'!$G$4:$G$503,_calc!$E$900)),""))</f>
        <v/>
      </c>
      <c r="I898" s="46">
        <f>IF(_calc!$E$900="","",IF(_calc!$E$900&lt;=500,IF(LEN(INDEX('Our policies'!$H$4:$H$503,_calc!$E$900))=0,"",INDEX('Our policies'!$H$4:$H$503,_calc!$E$900)),""))</f>
        <v/>
      </c>
      <c r="K898" s="46">
        <f>IF(_calc!$E$900="","",IF(_calc!$E$900&lt;=500,IF(LEN(INDEX('Our policies'!$P$4:$P$503,_calc!$E$900))=0,"",INDEX('Our policies'!$P$4:$P$503,_calc!$E$900)),IF(LEN(INDEX('Vendor COIs'!$N$4:$N$503,(_calc!$E$900-500)))=0,"",INDEX('Vendor COIs'!$N$4:$N$503,(_calc!$E$900-500)))))</f>
        <v/>
      </c>
    </row>
    <row r="899">
      <c r="A899" s="46">
        <f>IF(_calc!$E$901="","",IF(_calc!$E$901&lt;=500,IF(LEN(INDEX('Our policies'!$A$4:$A$503,_calc!$E$901))=0,"",INDEX('Our policies'!$A$4:$A$503,_calc!$E$901)),"COI – "&amp;IF(LEN(INDEX('Vendor COIs'!$A$4:$A$503,(_calc!$E$901-500)))=0,"",INDEX('Vendor COIs'!$A$4:$A$503,(_calc!$E$901-500)))&amp;" – "&amp;IF(LEN(INDEX('Vendor COIs'!$B$4:$B$503,(_calc!$E$901-500)))=0,"",INDEX('Vendor COIs'!$B$4:$B$503,(_calc!$E$901-500)))))</f>
        <v/>
      </c>
      <c r="B899" s="46">
        <f>IF(_calc!$E$901="","",IF(_calc!$E$901&lt;=500,IF(ISNUMBER(INDEX('Our policies'!$J$4:$J$503,_calc!$E$901)),TEXT(INDEX('Our policies'!$J$4:$J$503,_calc!$E$901),"yyyy-mm-dd"),""),IF(ISNUMBER(INDEX('Vendor COIs'!$H$4:$H$503,(_calc!$E$901-500))),TEXT(INDEX('Vendor COIs'!$H$4:$H$503,(_calc!$E$901-500)),"yyyy-mm-dd"),"")))</f>
        <v/>
      </c>
      <c r="C899" s="46">
        <f>IF(_calc!$E$901="","",IF(_calc!$E$901&lt;=500,"Insurance","Certificate of insurance"))</f>
        <v/>
      </c>
      <c r="D899" s="46">
        <f>IF(_calc!$E$901="","",IF(_calc!$E$901&lt;=500,IF(ISNUMBER(INDEX('Our policies'!$I$4:$I$503,_calc!$E$901)),TEXT(INDEX('Our policies'!$I$4:$I$503,_calc!$E$901),"yyyy-mm-dd"),""),""))</f>
        <v/>
      </c>
      <c r="E899" s="46">
        <f>IF(_calc!$E$901="","",IF(_calc!$E$901&lt;=500,IF(LEN(INDEX('Our policies'!$Q$4:$Q$503,_calc!$E$901))=0,"",INDEX('Our policies'!$Q$4:$Q$503,_calc!$E$901)),"Medium"))</f>
        <v/>
      </c>
      <c r="F899" s="46">
        <f>IF(_calc!$E$901="","",IF(_calc!$E$901&lt;=500,TRIM(IF(LEN(IF(LEN(INDEX('Our policies'!$B$4:$B$503,_calc!$E$901))=0,"",INDEX('Our policies'!$B$4:$B$503,_calc!$E$901)))=0,"","Cover: "&amp;IF(LEN(INDEX('Our policies'!$B$4:$B$503,_calc!$E$901))=0,"",INDEX('Our policies'!$B$4:$B$503,_calc!$E$901))&amp;". ")&amp;IF(LEN(IF(LEN(INDEX('Our policies'!$C$4:$C$503,_calc!$E$901))=0,"",INDEX('Our policies'!$C$4:$C$503,_calc!$E$901)))=0,"","Insurer: "&amp;IF(LEN(INDEX('Our policies'!$C$4:$C$503,_calc!$E$901))=0,"",INDEX('Our policies'!$C$4:$C$503,_calc!$E$901))&amp;". ")&amp;IF(LEN(IF(LEN(INDEX('Our policies'!$D$4:$D$503,_calc!$E$901))=0,"",INDEX('Our policies'!$D$4:$D$503,_calc!$E$901)))=0,"","Broker: "&amp;IF(LEN(INDEX('Our policies'!$D$4:$D$503,_calc!$E$901))=0,"",INDEX('Our policies'!$D$4:$D$503,_calc!$E$901))&amp;". ")&amp;IF(LEN(IF(LEN(INDEX('Our policies'!$E$4:$E$503,_calc!$E$901))=0,"",INDEX('Our policies'!$E$4:$E$503,_calc!$E$901)))=0,"","Policy no.: "&amp;IF(LEN(INDEX('Our policies'!$E$4:$E$503,_calc!$E$901))=0,"",INDEX('Our policies'!$E$4:$E$503,_calc!$E$901))&amp;". ")&amp;IF(LEN(IF(LEN(INDEX('Our policies'!$S$4:$S$503,_calc!$E$901))=0,"",INDEX('Our policies'!$S$4:$S$503,_calc!$E$901)))=0,"",IF(LEN(INDEX('Our policies'!$S$4:$S$503,_calc!$E$901))=0,"",INDEX('Our policies'!$S$4:$S$503,_calc!$E$901)))),TRIM(IF(LEN(IF(LEN(INDEX('Vendor COIs'!$C$4:$C$503,(_calc!$E$901-500)))=0,"",INDEX('Vendor COIs'!$C$4:$C$503,(_calc!$E$901-500))))=0,"","Insurer: "&amp;IF(LEN(INDEX('Vendor COIs'!$C$4:$C$503,(_calc!$E$901-500)))=0,"",INDEX('Vendor COIs'!$C$4:$C$503,(_calc!$E$901-500)))&amp;". ")&amp;IF(LEN(IF(LEN(INDEX('Vendor COIs'!$D$4:$D$503,(_calc!$E$901-500)))=0,"",INDEX('Vendor COIs'!$D$4:$D$503,(_calc!$E$901-500))))=0,"","Policy no.: "&amp;IF(LEN(INDEX('Vendor COIs'!$D$4:$D$503,(_calc!$E$901-500)))=0,"",INDEX('Vendor COIs'!$D$4:$D$503,(_calc!$E$901-500)))&amp;". ")&amp;IF(LEN(IF(LEN(INDEX('Vendor COIs'!$F$4:$F$503,(_calc!$E$901-500)))=0,"",INDEX('Vendor COIs'!$F$4:$F$503,(_calc!$E$901-500))))=0,"","Meets minimum: "&amp;IF(LEN(INDEX('Vendor COIs'!$F$4:$F$503,(_calc!$E$901-500)))=0,"",INDEX('Vendor COIs'!$F$4:$F$503,(_calc!$E$901-500)))&amp;". ")&amp;IF(LEN(IF(LEN(INDEX('Vendor COIs'!$G$4:$G$503,(_calc!$E$901-500)))=0,"",INDEX('Vendor COIs'!$G$4:$G$503,(_calc!$E$901-500))))=0,"","Additional insured: "&amp;IF(LEN(INDEX('Vendor COIs'!$G$4:$G$503,(_calc!$E$901-500)))=0,"",INDEX('Vendor COIs'!$G$4:$G$503,(_calc!$E$901-500)))&amp;". ")&amp;IF(LEN(IF(LEN(INDEX('Vendor COIs'!$M$4:$M$503,(_calc!$E$901-500)))=0,"",INDEX('Vendor COIs'!$M$4:$M$503,(_calc!$E$901-500))))=0,"","Vendor contact: "&amp;IF(LEN(INDEX('Vendor COIs'!$M$4:$M$503,(_calc!$E$901-500)))=0,"",INDEX('Vendor COIs'!$M$4:$M$503,(_calc!$E$901-500)))&amp;". ")&amp;IF(LEN(IF(LEN(INDEX('Vendor COIs'!$P$4:$P$503,(_calc!$E$901-500)))=0,"",INDEX('Vendor COIs'!$P$4:$P$503,(_calc!$E$901-500))))=0,"",IF(LEN(INDEX('Vendor COIs'!$P$4:$P$503,(_calc!$E$901-500)))=0,"",INDEX('Vendor COIs'!$P$4:$P$503,(_calc!$E$901-500)))))))</f>
        <v/>
      </c>
      <c r="G899" s="46">
        <f>IF(_calc!$E$901="","",IF(_calc!$E$901&lt;=500,IF(LEN(INDEX('Our policies'!$R$4:$R$503,_calc!$E$901))=0,"",INDEX('Our policies'!$R$4:$R$503,_calc!$E$901)),IF(LEN(INDEX('Vendor COIs'!$O$4:$O$503,(_calc!$E$901-500)))=0,"",INDEX('Vendor COIs'!$O$4:$O$503,(_calc!$E$901-500)))))</f>
        <v/>
      </c>
      <c r="H899" s="46">
        <f>IF(_calc!$E$901="","",IF(_calc!$E$901&lt;=500,IF(LEN(INDEX('Our policies'!$G$4:$G$503,_calc!$E$901))=0,"",INDEX('Our policies'!$G$4:$G$503,_calc!$E$901)),""))</f>
        <v/>
      </c>
      <c r="I899" s="46">
        <f>IF(_calc!$E$901="","",IF(_calc!$E$901&lt;=500,IF(LEN(INDEX('Our policies'!$H$4:$H$503,_calc!$E$901))=0,"",INDEX('Our policies'!$H$4:$H$503,_calc!$E$901)),""))</f>
        <v/>
      </c>
      <c r="K899" s="46">
        <f>IF(_calc!$E$901="","",IF(_calc!$E$901&lt;=500,IF(LEN(INDEX('Our policies'!$P$4:$P$503,_calc!$E$901))=0,"",INDEX('Our policies'!$P$4:$P$503,_calc!$E$901)),IF(LEN(INDEX('Vendor COIs'!$N$4:$N$503,(_calc!$E$901-500)))=0,"",INDEX('Vendor COIs'!$N$4:$N$503,(_calc!$E$901-500)))))</f>
        <v/>
      </c>
    </row>
    <row r="900">
      <c r="A900" s="46">
        <f>IF(_calc!$E$902="","",IF(_calc!$E$902&lt;=500,IF(LEN(INDEX('Our policies'!$A$4:$A$503,_calc!$E$902))=0,"",INDEX('Our policies'!$A$4:$A$503,_calc!$E$902)),"COI – "&amp;IF(LEN(INDEX('Vendor COIs'!$A$4:$A$503,(_calc!$E$902-500)))=0,"",INDEX('Vendor COIs'!$A$4:$A$503,(_calc!$E$902-500)))&amp;" – "&amp;IF(LEN(INDEX('Vendor COIs'!$B$4:$B$503,(_calc!$E$902-500)))=0,"",INDEX('Vendor COIs'!$B$4:$B$503,(_calc!$E$902-500)))))</f>
        <v/>
      </c>
      <c r="B900" s="46">
        <f>IF(_calc!$E$902="","",IF(_calc!$E$902&lt;=500,IF(ISNUMBER(INDEX('Our policies'!$J$4:$J$503,_calc!$E$902)),TEXT(INDEX('Our policies'!$J$4:$J$503,_calc!$E$902),"yyyy-mm-dd"),""),IF(ISNUMBER(INDEX('Vendor COIs'!$H$4:$H$503,(_calc!$E$902-500))),TEXT(INDEX('Vendor COIs'!$H$4:$H$503,(_calc!$E$902-500)),"yyyy-mm-dd"),"")))</f>
        <v/>
      </c>
      <c r="C900" s="46">
        <f>IF(_calc!$E$902="","",IF(_calc!$E$902&lt;=500,"Insurance","Certificate of insurance"))</f>
        <v/>
      </c>
      <c r="D900" s="46">
        <f>IF(_calc!$E$902="","",IF(_calc!$E$902&lt;=500,IF(ISNUMBER(INDEX('Our policies'!$I$4:$I$503,_calc!$E$902)),TEXT(INDEX('Our policies'!$I$4:$I$503,_calc!$E$902),"yyyy-mm-dd"),""),""))</f>
        <v/>
      </c>
      <c r="E900" s="46">
        <f>IF(_calc!$E$902="","",IF(_calc!$E$902&lt;=500,IF(LEN(INDEX('Our policies'!$Q$4:$Q$503,_calc!$E$902))=0,"",INDEX('Our policies'!$Q$4:$Q$503,_calc!$E$902)),"Medium"))</f>
        <v/>
      </c>
      <c r="F900" s="46">
        <f>IF(_calc!$E$902="","",IF(_calc!$E$902&lt;=500,TRIM(IF(LEN(IF(LEN(INDEX('Our policies'!$B$4:$B$503,_calc!$E$902))=0,"",INDEX('Our policies'!$B$4:$B$503,_calc!$E$902)))=0,"","Cover: "&amp;IF(LEN(INDEX('Our policies'!$B$4:$B$503,_calc!$E$902))=0,"",INDEX('Our policies'!$B$4:$B$503,_calc!$E$902))&amp;". ")&amp;IF(LEN(IF(LEN(INDEX('Our policies'!$C$4:$C$503,_calc!$E$902))=0,"",INDEX('Our policies'!$C$4:$C$503,_calc!$E$902)))=0,"","Insurer: "&amp;IF(LEN(INDEX('Our policies'!$C$4:$C$503,_calc!$E$902))=0,"",INDEX('Our policies'!$C$4:$C$503,_calc!$E$902))&amp;". ")&amp;IF(LEN(IF(LEN(INDEX('Our policies'!$D$4:$D$503,_calc!$E$902))=0,"",INDEX('Our policies'!$D$4:$D$503,_calc!$E$902)))=0,"","Broker: "&amp;IF(LEN(INDEX('Our policies'!$D$4:$D$503,_calc!$E$902))=0,"",INDEX('Our policies'!$D$4:$D$503,_calc!$E$902))&amp;". ")&amp;IF(LEN(IF(LEN(INDEX('Our policies'!$E$4:$E$503,_calc!$E$902))=0,"",INDEX('Our policies'!$E$4:$E$503,_calc!$E$902)))=0,"","Policy no.: "&amp;IF(LEN(INDEX('Our policies'!$E$4:$E$503,_calc!$E$902))=0,"",INDEX('Our policies'!$E$4:$E$503,_calc!$E$902))&amp;". ")&amp;IF(LEN(IF(LEN(INDEX('Our policies'!$S$4:$S$503,_calc!$E$902))=0,"",INDEX('Our policies'!$S$4:$S$503,_calc!$E$902)))=0,"",IF(LEN(INDEX('Our policies'!$S$4:$S$503,_calc!$E$902))=0,"",INDEX('Our policies'!$S$4:$S$503,_calc!$E$902)))),TRIM(IF(LEN(IF(LEN(INDEX('Vendor COIs'!$C$4:$C$503,(_calc!$E$902-500)))=0,"",INDEX('Vendor COIs'!$C$4:$C$503,(_calc!$E$902-500))))=0,"","Insurer: "&amp;IF(LEN(INDEX('Vendor COIs'!$C$4:$C$503,(_calc!$E$902-500)))=0,"",INDEX('Vendor COIs'!$C$4:$C$503,(_calc!$E$902-500)))&amp;". ")&amp;IF(LEN(IF(LEN(INDEX('Vendor COIs'!$D$4:$D$503,(_calc!$E$902-500)))=0,"",INDEX('Vendor COIs'!$D$4:$D$503,(_calc!$E$902-500))))=0,"","Policy no.: "&amp;IF(LEN(INDEX('Vendor COIs'!$D$4:$D$503,(_calc!$E$902-500)))=0,"",INDEX('Vendor COIs'!$D$4:$D$503,(_calc!$E$902-500)))&amp;". ")&amp;IF(LEN(IF(LEN(INDEX('Vendor COIs'!$F$4:$F$503,(_calc!$E$902-500)))=0,"",INDEX('Vendor COIs'!$F$4:$F$503,(_calc!$E$902-500))))=0,"","Meets minimum: "&amp;IF(LEN(INDEX('Vendor COIs'!$F$4:$F$503,(_calc!$E$902-500)))=0,"",INDEX('Vendor COIs'!$F$4:$F$503,(_calc!$E$902-500)))&amp;". ")&amp;IF(LEN(IF(LEN(INDEX('Vendor COIs'!$G$4:$G$503,(_calc!$E$902-500)))=0,"",INDEX('Vendor COIs'!$G$4:$G$503,(_calc!$E$902-500))))=0,"","Additional insured: "&amp;IF(LEN(INDEX('Vendor COIs'!$G$4:$G$503,(_calc!$E$902-500)))=0,"",INDEX('Vendor COIs'!$G$4:$G$503,(_calc!$E$902-500)))&amp;". ")&amp;IF(LEN(IF(LEN(INDEX('Vendor COIs'!$M$4:$M$503,(_calc!$E$902-500)))=0,"",INDEX('Vendor COIs'!$M$4:$M$503,(_calc!$E$902-500))))=0,"","Vendor contact: "&amp;IF(LEN(INDEX('Vendor COIs'!$M$4:$M$503,(_calc!$E$902-500)))=0,"",INDEX('Vendor COIs'!$M$4:$M$503,(_calc!$E$902-500)))&amp;". ")&amp;IF(LEN(IF(LEN(INDEX('Vendor COIs'!$P$4:$P$503,(_calc!$E$902-500)))=0,"",INDEX('Vendor COIs'!$P$4:$P$503,(_calc!$E$902-500))))=0,"",IF(LEN(INDEX('Vendor COIs'!$P$4:$P$503,(_calc!$E$902-500)))=0,"",INDEX('Vendor COIs'!$P$4:$P$503,(_calc!$E$902-500)))))))</f>
        <v/>
      </c>
      <c r="G900" s="46">
        <f>IF(_calc!$E$902="","",IF(_calc!$E$902&lt;=500,IF(LEN(INDEX('Our policies'!$R$4:$R$503,_calc!$E$902))=0,"",INDEX('Our policies'!$R$4:$R$503,_calc!$E$902)),IF(LEN(INDEX('Vendor COIs'!$O$4:$O$503,(_calc!$E$902-500)))=0,"",INDEX('Vendor COIs'!$O$4:$O$503,(_calc!$E$902-500)))))</f>
        <v/>
      </c>
      <c r="H900" s="46">
        <f>IF(_calc!$E$902="","",IF(_calc!$E$902&lt;=500,IF(LEN(INDEX('Our policies'!$G$4:$G$503,_calc!$E$902))=0,"",INDEX('Our policies'!$G$4:$G$503,_calc!$E$902)),""))</f>
        <v/>
      </c>
      <c r="I900" s="46">
        <f>IF(_calc!$E$902="","",IF(_calc!$E$902&lt;=500,IF(LEN(INDEX('Our policies'!$H$4:$H$503,_calc!$E$902))=0,"",INDEX('Our policies'!$H$4:$H$503,_calc!$E$902)),""))</f>
        <v/>
      </c>
      <c r="K900" s="46">
        <f>IF(_calc!$E$902="","",IF(_calc!$E$902&lt;=500,IF(LEN(INDEX('Our policies'!$P$4:$P$503,_calc!$E$902))=0,"",INDEX('Our policies'!$P$4:$P$503,_calc!$E$902)),IF(LEN(INDEX('Vendor COIs'!$N$4:$N$503,(_calc!$E$902-500)))=0,"",INDEX('Vendor COIs'!$N$4:$N$503,(_calc!$E$902-500)))))</f>
        <v/>
      </c>
    </row>
    <row r="901">
      <c r="A901" s="46">
        <f>IF(_calc!$E$903="","",IF(_calc!$E$903&lt;=500,IF(LEN(INDEX('Our policies'!$A$4:$A$503,_calc!$E$903))=0,"",INDEX('Our policies'!$A$4:$A$503,_calc!$E$903)),"COI – "&amp;IF(LEN(INDEX('Vendor COIs'!$A$4:$A$503,(_calc!$E$903-500)))=0,"",INDEX('Vendor COIs'!$A$4:$A$503,(_calc!$E$903-500)))&amp;" – "&amp;IF(LEN(INDEX('Vendor COIs'!$B$4:$B$503,(_calc!$E$903-500)))=0,"",INDEX('Vendor COIs'!$B$4:$B$503,(_calc!$E$903-500)))))</f>
        <v/>
      </c>
      <c r="B901" s="46">
        <f>IF(_calc!$E$903="","",IF(_calc!$E$903&lt;=500,IF(ISNUMBER(INDEX('Our policies'!$J$4:$J$503,_calc!$E$903)),TEXT(INDEX('Our policies'!$J$4:$J$503,_calc!$E$903),"yyyy-mm-dd"),""),IF(ISNUMBER(INDEX('Vendor COIs'!$H$4:$H$503,(_calc!$E$903-500))),TEXT(INDEX('Vendor COIs'!$H$4:$H$503,(_calc!$E$903-500)),"yyyy-mm-dd"),"")))</f>
        <v/>
      </c>
      <c r="C901" s="46">
        <f>IF(_calc!$E$903="","",IF(_calc!$E$903&lt;=500,"Insurance","Certificate of insurance"))</f>
        <v/>
      </c>
      <c r="D901" s="46">
        <f>IF(_calc!$E$903="","",IF(_calc!$E$903&lt;=500,IF(ISNUMBER(INDEX('Our policies'!$I$4:$I$503,_calc!$E$903)),TEXT(INDEX('Our policies'!$I$4:$I$503,_calc!$E$903),"yyyy-mm-dd"),""),""))</f>
        <v/>
      </c>
      <c r="E901" s="46">
        <f>IF(_calc!$E$903="","",IF(_calc!$E$903&lt;=500,IF(LEN(INDEX('Our policies'!$Q$4:$Q$503,_calc!$E$903))=0,"",INDEX('Our policies'!$Q$4:$Q$503,_calc!$E$903)),"Medium"))</f>
        <v/>
      </c>
      <c r="F901" s="46">
        <f>IF(_calc!$E$903="","",IF(_calc!$E$903&lt;=500,TRIM(IF(LEN(IF(LEN(INDEX('Our policies'!$B$4:$B$503,_calc!$E$903))=0,"",INDEX('Our policies'!$B$4:$B$503,_calc!$E$903)))=0,"","Cover: "&amp;IF(LEN(INDEX('Our policies'!$B$4:$B$503,_calc!$E$903))=0,"",INDEX('Our policies'!$B$4:$B$503,_calc!$E$903))&amp;". ")&amp;IF(LEN(IF(LEN(INDEX('Our policies'!$C$4:$C$503,_calc!$E$903))=0,"",INDEX('Our policies'!$C$4:$C$503,_calc!$E$903)))=0,"","Insurer: "&amp;IF(LEN(INDEX('Our policies'!$C$4:$C$503,_calc!$E$903))=0,"",INDEX('Our policies'!$C$4:$C$503,_calc!$E$903))&amp;". ")&amp;IF(LEN(IF(LEN(INDEX('Our policies'!$D$4:$D$503,_calc!$E$903))=0,"",INDEX('Our policies'!$D$4:$D$503,_calc!$E$903)))=0,"","Broker: "&amp;IF(LEN(INDEX('Our policies'!$D$4:$D$503,_calc!$E$903))=0,"",INDEX('Our policies'!$D$4:$D$503,_calc!$E$903))&amp;". ")&amp;IF(LEN(IF(LEN(INDEX('Our policies'!$E$4:$E$503,_calc!$E$903))=0,"",INDEX('Our policies'!$E$4:$E$503,_calc!$E$903)))=0,"","Policy no.: "&amp;IF(LEN(INDEX('Our policies'!$E$4:$E$503,_calc!$E$903))=0,"",INDEX('Our policies'!$E$4:$E$503,_calc!$E$903))&amp;". ")&amp;IF(LEN(IF(LEN(INDEX('Our policies'!$S$4:$S$503,_calc!$E$903))=0,"",INDEX('Our policies'!$S$4:$S$503,_calc!$E$903)))=0,"",IF(LEN(INDEX('Our policies'!$S$4:$S$503,_calc!$E$903))=0,"",INDEX('Our policies'!$S$4:$S$503,_calc!$E$903)))),TRIM(IF(LEN(IF(LEN(INDEX('Vendor COIs'!$C$4:$C$503,(_calc!$E$903-500)))=0,"",INDEX('Vendor COIs'!$C$4:$C$503,(_calc!$E$903-500))))=0,"","Insurer: "&amp;IF(LEN(INDEX('Vendor COIs'!$C$4:$C$503,(_calc!$E$903-500)))=0,"",INDEX('Vendor COIs'!$C$4:$C$503,(_calc!$E$903-500)))&amp;". ")&amp;IF(LEN(IF(LEN(INDEX('Vendor COIs'!$D$4:$D$503,(_calc!$E$903-500)))=0,"",INDEX('Vendor COIs'!$D$4:$D$503,(_calc!$E$903-500))))=0,"","Policy no.: "&amp;IF(LEN(INDEX('Vendor COIs'!$D$4:$D$503,(_calc!$E$903-500)))=0,"",INDEX('Vendor COIs'!$D$4:$D$503,(_calc!$E$903-500)))&amp;". ")&amp;IF(LEN(IF(LEN(INDEX('Vendor COIs'!$F$4:$F$503,(_calc!$E$903-500)))=0,"",INDEX('Vendor COIs'!$F$4:$F$503,(_calc!$E$903-500))))=0,"","Meets minimum: "&amp;IF(LEN(INDEX('Vendor COIs'!$F$4:$F$503,(_calc!$E$903-500)))=0,"",INDEX('Vendor COIs'!$F$4:$F$503,(_calc!$E$903-500)))&amp;". ")&amp;IF(LEN(IF(LEN(INDEX('Vendor COIs'!$G$4:$G$503,(_calc!$E$903-500)))=0,"",INDEX('Vendor COIs'!$G$4:$G$503,(_calc!$E$903-500))))=0,"","Additional insured: "&amp;IF(LEN(INDEX('Vendor COIs'!$G$4:$G$503,(_calc!$E$903-500)))=0,"",INDEX('Vendor COIs'!$G$4:$G$503,(_calc!$E$903-500)))&amp;". ")&amp;IF(LEN(IF(LEN(INDEX('Vendor COIs'!$M$4:$M$503,(_calc!$E$903-500)))=0,"",INDEX('Vendor COIs'!$M$4:$M$503,(_calc!$E$903-500))))=0,"","Vendor contact: "&amp;IF(LEN(INDEX('Vendor COIs'!$M$4:$M$503,(_calc!$E$903-500)))=0,"",INDEX('Vendor COIs'!$M$4:$M$503,(_calc!$E$903-500)))&amp;". ")&amp;IF(LEN(IF(LEN(INDEX('Vendor COIs'!$P$4:$P$503,(_calc!$E$903-500)))=0,"",INDEX('Vendor COIs'!$P$4:$P$503,(_calc!$E$903-500))))=0,"",IF(LEN(INDEX('Vendor COIs'!$P$4:$P$503,(_calc!$E$903-500)))=0,"",INDEX('Vendor COIs'!$P$4:$P$503,(_calc!$E$903-500)))))))</f>
        <v/>
      </c>
      <c r="G901" s="46">
        <f>IF(_calc!$E$903="","",IF(_calc!$E$903&lt;=500,IF(LEN(INDEX('Our policies'!$R$4:$R$503,_calc!$E$903))=0,"",INDEX('Our policies'!$R$4:$R$503,_calc!$E$903)),IF(LEN(INDEX('Vendor COIs'!$O$4:$O$503,(_calc!$E$903-500)))=0,"",INDEX('Vendor COIs'!$O$4:$O$503,(_calc!$E$903-500)))))</f>
        <v/>
      </c>
      <c r="H901" s="46">
        <f>IF(_calc!$E$903="","",IF(_calc!$E$903&lt;=500,IF(LEN(INDEX('Our policies'!$G$4:$G$503,_calc!$E$903))=0,"",INDEX('Our policies'!$G$4:$G$503,_calc!$E$903)),""))</f>
        <v/>
      </c>
      <c r="I901" s="46">
        <f>IF(_calc!$E$903="","",IF(_calc!$E$903&lt;=500,IF(LEN(INDEX('Our policies'!$H$4:$H$503,_calc!$E$903))=0,"",INDEX('Our policies'!$H$4:$H$503,_calc!$E$903)),""))</f>
        <v/>
      </c>
      <c r="K901" s="46">
        <f>IF(_calc!$E$903="","",IF(_calc!$E$903&lt;=500,IF(LEN(INDEX('Our policies'!$P$4:$P$503,_calc!$E$903))=0,"",INDEX('Our policies'!$P$4:$P$503,_calc!$E$903)),IF(LEN(INDEX('Vendor COIs'!$N$4:$N$503,(_calc!$E$903-500)))=0,"",INDEX('Vendor COIs'!$N$4:$N$503,(_calc!$E$903-500)))))</f>
        <v/>
      </c>
    </row>
    <row r="902">
      <c r="A902" s="46">
        <f>IF(_calc!$E$904="","",IF(_calc!$E$904&lt;=500,IF(LEN(INDEX('Our policies'!$A$4:$A$503,_calc!$E$904))=0,"",INDEX('Our policies'!$A$4:$A$503,_calc!$E$904)),"COI – "&amp;IF(LEN(INDEX('Vendor COIs'!$A$4:$A$503,(_calc!$E$904-500)))=0,"",INDEX('Vendor COIs'!$A$4:$A$503,(_calc!$E$904-500)))&amp;" – "&amp;IF(LEN(INDEX('Vendor COIs'!$B$4:$B$503,(_calc!$E$904-500)))=0,"",INDEX('Vendor COIs'!$B$4:$B$503,(_calc!$E$904-500)))))</f>
        <v/>
      </c>
      <c r="B902" s="46">
        <f>IF(_calc!$E$904="","",IF(_calc!$E$904&lt;=500,IF(ISNUMBER(INDEX('Our policies'!$J$4:$J$503,_calc!$E$904)),TEXT(INDEX('Our policies'!$J$4:$J$503,_calc!$E$904),"yyyy-mm-dd"),""),IF(ISNUMBER(INDEX('Vendor COIs'!$H$4:$H$503,(_calc!$E$904-500))),TEXT(INDEX('Vendor COIs'!$H$4:$H$503,(_calc!$E$904-500)),"yyyy-mm-dd"),"")))</f>
        <v/>
      </c>
      <c r="C902" s="46">
        <f>IF(_calc!$E$904="","",IF(_calc!$E$904&lt;=500,"Insurance","Certificate of insurance"))</f>
        <v/>
      </c>
      <c r="D902" s="46">
        <f>IF(_calc!$E$904="","",IF(_calc!$E$904&lt;=500,IF(ISNUMBER(INDEX('Our policies'!$I$4:$I$503,_calc!$E$904)),TEXT(INDEX('Our policies'!$I$4:$I$503,_calc!$E$904),"yyyy-mm-dd"),""),""))</f>
        <v/>
      </c>
      <c r="E902" s="46">
        <f>IF(_calc!$E$904="","",IF(_calc!$E$904&lt;=500,IF(LEN(INDEX('Our policies'!$Q$4:$Q$503,_calc!$E$904))=0,"",INDEX('Our policies'!$Q$4:$Q$503,_calc!$E$904)),"Medium"))</f>
        <v/>
      </c>
      <c r="F902" s="46">
        <f>IF(_calc!$E$904="","",IF(_calc!$E$904&lt;=500,TRIM(IF(LEN(IF(LEN(INDEX('Our policies'!$B$4:$B$503,_calc!$E$904))=0,"",INDEX('Our policies'!$B$4:$B$503,_calc!$E$904)))=0,"","Cover: "&amp;IF(LEN(INDEX('Our policies'!$B$4:$B$503,_calc!$E$904))=0,"",INDEX('Our policies'!$B$4:$B$503,_calc!$E$904))&amp;". ")&amp;IF(LEN(IF(LEN(INDEX('Our policies'!$C$4:$C$503,_calc!$E$904))=0,"",INDEX('Our policies'!$C$4:$C$503,_calc!$E$904)))=0,"","Insurer: "&amp;IF(LEN(INDEX('Our policies'!$C$4:$C$503,_calc!$E$904))=0,"",INDEX('Our policies'!$C$4:$C$503,_calc!$E$904))&amp;". ")&amp;IF(LEN(IF(LEN(INDEX('Our policies'!$D$4:$D$503,_calc!$E$904))=0,"",INDEX('Our policies'!$D$4:$D$503,_calc!$E$904)))=0,"","Broker: "&amp;IF(LEN(INDEX('Our policies'!$D$4:$D$503,_calc!$E$904))=0,"",INDEX('Our policies'!$D$4:$D$503,_calc!$E$904))&amp;". ")&amp;IF(LEN(IF(LEN(INDEX('Our policies'!$E$4:$E$503,_calc!$E$904))=0,"",INDEX('Our policies'!$E$4:$E$503,_calc!$E$904)))=0,"","Policy no.: "&amp;IF(LEN(INDEX('Our policies'!$E$4:$E$503,_calc!$E$904))=0,"",INDEX('Our policies'!$E$4:$E$503,_calc!$E$904))&amp;". ")&amp;IF(LEN(IF(LEN(INDEX('Our policies'!$S$4:$S$503,_calc!$E$904))=0,"",INDEX('Our policies'!$S$4:$S$503,_calc!$E$904)))=0,"",IF(LEN(INDEX('Our policies'!$S$4:$S$503,_calc!$E$904))=0,"",INDEX('Our policies'!$S$4:$S$503,_calc!$E$904)))),TRIM(IF(LEN(IF(LEN(INDEX('Vendor COIs'!$C$4:$C$503,(_calc!$E$904-500)))=0,"",INDEX('Vendor COIs'!$C$4:$C$503,(_calc!$E$904-500))))=0,"","Insurer: "&amp;IF(LEN(INDEX('Vendor COIs'!$C$4:$C$503,(_calc!$E$904-500)))=0,"",INDEX('Vendor COIs'!$C$4:$C$503,(_calc!$E$904-500)))&amp;". ")&amp;IF(LEN(IF(LEN(INDEX('Vendor COIs'!$D$4:$D$503,(_calc!$E$904-500)))=0,"",INDEX('Vendor COIs'!$D$4:$D$503,(_calc!$E$904-500))))=0,"","Policy no.: "&amp;IF(LEN(INDEX('Vendor COIs'!$D$4:$D$503,(_calc!$E$904-500)))=0,"",INDEX('Vendor COIs'!$D$4:$D$503,(_calc!$E$904-500)))&amp;". ")&amp;IF(LEN(IF(LEN(INDEX('Vendor COIs'!$F$4:$F$503,(_calc!$E$904-500)))=0,"",INDEX('Vendor COIs'!$F$4:$F$503,(_calc!$E$904-500))))=0,"","Meets minimum: "&amp;IF(LEN(INDEX('Vendor COIs'!$F$4:$F$503,(_calc!$E$904-500)))=0,"",INDEX('Vendor COIs'!$F$4:$F$503,(_calc!$E$904-500)))&amp;". ")&amp;IF(LEN(IF(LEN(INDEX('Vendor COIs'!$G$4:$G$503,(_calc!$E$904-500)))=0,"",INDEX('Vendor COIs'!$G$4:$G$503,(_calc!$E$904-500))))=0,"","Additional insured: "&amp;IF(LEN(INDEX('Vendor COIs'!$G$4:$G$503,(_calc!$E$904-500)))=0,"",INDEX('Vendor COIs'!$G$4:$G$503,(_calc!$E$904-500)))&amp;". ")&amp;IF(LEN(IF(LEN(INDEX('Vendor COIs'!$M$4:$M$503,(_calc!$E$904-500)))=0,"",INDEX('Vendor COIs'!$M$4:$M$503,(_calc!$E$904-500))))=0,"","Vendor contact: "&amp;IF(LEN(INDEX('Vendor COIs'!$M$4:$M$503,(_calc!$E$904-500)))=0,"",INDEX('Vendor COIs'!$M$4:$M$503,(_calc!$E$904-500)))&amp;". ")&amp;IF(LEN(IF(LEN(INDEX('Vendor COIs'!$P$4:$P$503,(_calc!$E$904-500)))=0,"",INDEX('Vendor COIs'!$P$4:$P$503,(_calc!$E$904-500))))=0,"",IF(LEN(INDEX('Vendor COIs'!$P$4:$P$503,(_calc!$E$904-500)))=0,"",INDEX('Vendor COIs'!$P$4:$P$503,(_calc!$E$904-500)))))))</f>
        <v/>
      </c>
      <c r="G902" s="46">
        <f>IF(_calc!$E$904="","",IF(_calc!$E$904&lt;=500,IF(LEN(INDEX('Our policies'!$R$4:$R$503,_calc!$E$904))=0,"",INDEX('Our policies'!$R$4:$R$503,_calc!$E$904)),IF(LEN(INDEX('Vendor COIs'!$O$4:$O$503,(_calc!$E$904-500)))=0,"",INDEX('Vendor COIs'!$O$4:$O$503,(_calc!$E$904-500)))))</f>
        <v/>
      </c>
      <c r="H902" s="46">
        <f>IF(_calc!$E$904="","",IF(_calc!$E$904&lt;=500,IF(LEN(INDEX('Our policies'!$G$4:$G$503,_calc!$E$904))=0,"",INDEX('Our policies'!$G$4:$G$503,_calc!$E$904)),""))</f>
        <v/>
      </c>
      <c r="I902" s="46">
        <f>IF(_calc!$E$904="","",IF(_calc!$E$904&lt;=500,IF(LEN(INDEX('Our policies'!$H$4:$H$503,_calc!$E$904))=0,"",INDEX('Our policies'!$H$4:$H$503,_calc!$E$904)),""))</f>
        <v/>
      </c>
      <c r="K902" s="46">
        <f>IF(_calc!$E$904="","",IF(_calc!$E$904&lt;=500,IF(LEN(INDEX('Our policies'!$P$4:$P$503,_calc!$E$904))=0,"",INDEX('Our policies'!$P$4:$P$503,_calc!$E$904)),IF(LEN(INDEX('Vendor COIs'!$N$4:$N$503,(_calc!$E$904-500)))=0,"",INDEX('Vendor COIs'!$N$4:$N$503,(_calc!$E$904-500)))))</f>
        <v/>
      </c>
    </row>
    <row r="903">
      <c r="A903" s="46">
        <f>IF(_calc!$E$905="","",IF(_calc!$E$905&lt;=500,IF(LEN(INDEX('Our policies'!$A$4:$A$503,_calc!$E$905))=0,"",INDEX('Our policies'!$A$4:$A$503,_calc!$E$905)),"COI – "&amp;IF(LEN(INDEX('Vendor COIs'!$A$4:$A$503,(_calc!$E$905-500)))=0,"",INDEX('Vendor COIs'!$A$4:$A$503,(_calc!$E$905-500)))&amp;" – "&amp;IF(LEN(INDEX('Vendor COIs'!$B$4:$B$503,(_calc!$E$905-500)))=0,"",INDEX('Vendor COIs'!$B$4:$B$503,(_calc!$E$905-500)))))</f>
        <v/>
      </c>
      <c r="B903" s="46">
        <f>IF(_calc!$E$905="","",IF(_calc!$E$905&lt;=500,IF(ISNUMBER(INDEX('Our policies'!$J$4:$J$503,_calc!$E$905)),TEXT(INDEX('Our policies'!$J$4:$J$503,_calc!$E$905),"yyyy-mm-dd"),""),IF(ISNUMBER(INDEX('Vendor COIs'!$H$4:$H$503,(_calc!$E$905-500))),TEXT(INDEX('Vendor COIs'!$H$4:$H$503,(_calc!$E$905-500)),"yyyy-mm-dd"),"")))</f>
        <v/>
      </c>
      <c r="C903" s="46">
        <f>IF(_calc!$E$905="","",IF(_calc!$E$905&lt;=500,"Insurance","Certificate of insurance"))</f>
        <v/>
      </c>
      <c r="D903" s="46">
        <f>IF(_calc!$E$905="","",IF(_calc!$E$905&lt;=500,IF(ISNUMBER(INDEX('Our policies'!$I$4:$I$503,_calc!$E$905)),TEXT(INDEX('Our policies'!$I$4:$I$503,_calc!$E$905),"yyyy-mm-dd"),""),""))</f>
        <v/>
      </c>
      <c r="E903" s="46">
        <f>IF(_calc!$E$905="","",IF(_calc!$E$905&lt;=500,IF(LEN(INDEX('Our policies'!$Q$4:$Q$503,_calc!$E$905))=0,"",INDEX('Our policies'!$Q$4:$Q$503,_calc!$E$905)),"Medium"))</f>
        <v/>
      </c>
      <c r="F903" s="46">
        <f>IF(_calc!$E$905="","",IF(_calc!$E$905&lt;=500,TRIM(IF(LEN(IF(LEN(INDEX('Our policies'!$B$4:$B$503,_calc!$E$905))=0,"",INDEX('Our policies'!$B$4:$B$503,_calc!$E$905)))=0,"","Cover: "&amp;IF(LEN(INDEX('Our policies'!$B$4:$B$503,_calc!$E$905))=0,"",INDEX('Our policies'!$B$4:$B$503,_calc!$E$905))&amp;". ")&amp;IF(LEN(IF(LEN(INDEX('Our policies'!$C$4:$C$503,_calc!$E$905))=0,"",INDEX('Our policies'!$C$4:$C$503,_calc!$E$905)))=0,"","Insurer: "&amp;IF(LEN(INDEX('Our policies'!$C$4:$C$503,_calc!$E$905))=0,"",INDEX('Our policies'!$C$4:$C$503,_calc!$E$905))&amp;". ")&amp;IF(LEN(IF(LEN(INDEX('Our policies'!$D$4:$D$503,_calc!$E$905))=0,"",INDEX('Our policies'!$D$4:$D$503,_calc!$E$905)))=0,"","Broker: "&amp;IF(LEN(INDEX('Our policies'!$D$4:$D$503,_calc!$E$905))=0,"",INDEX('Our policies'!$D$4:$D$503,_calc!$E$905))&amp;". ")&amp;IF(LEN(IF(LEN(INDEX('Our policies'!$E$4:$E$503,_calc!$E$905))=0,"",INDEX('Our policies'!$E$4:$E$503,_calc!$E$905)))=0,"","Policy no.: "&amp;IF(LEN(INDEX('Our policies'!$E$4:$E$503,_calc!$E$905))=0,"",INDEX('Our policies'!$E$4:$E$503,_calc!$E$905))&amp;". ")&amp;IF(LEN(IF(LEN(INDEX('Our policies'!$S$4:$S$503,_calc!$E$905))=0,"",INDEX('Our policies'!$S$4:$S$503,_calc!$E$905)))=0,"",IF(LEN(INDEX('Our policies'!$S$4:$S$503,_calc!$E$905))=0,"",INDEX('Our policies'!$S$4:$S$503,_calc!$E$905)))),TRIM(IF(LEN(IF(LEN(INDEX('Vendor COIs'!$C$4:$C$503,(_calc!$E$905-500)))=0,"",INDEX('Vendor COIs'!$C$4:$C$503,(_calc!$E$905-500))))=0,"","Insurer: "&amp;IF(LEN(INDEX('Vendor COIs'!$C$4:$C$503,(_calc!$E$905-500)))=0,"",INDEX('Vendor COIs'!$C$4:$C$503,(_calc!$E$905-500)))&amp;". ")&amp;IF(LEN(IF(LEN(INDEX('Vendor COIs'!$D$4:$D$503,(_calc!$E$905-500)))=0,"",INDEX('Vendor COIs'!$D$4:$D$503,(_calc!$E$905-500))))=0,"","Policy no.: "&amp;IF(LEN(INDEX('Vendor COIs'!$D$4:$D$503,(_calc!$E$905-500)))=0,"",INDEX('Vendor COIs'!$D$4:$D$503,(_calc!$E$905-500)))&amp;". ")&amp;IF(LEN(IF(LEN(INDEX('Vendor COIs'!$F$4:$F$503,(_calc!$E$905-500)))=0,"",INDEX('Vendor COIs'!$F$4:$F$503,(_calc!$E$905-500))))=0,"","Meets minimum: "&amp;IF(LEN(INDEX('Vendor COIs'!$F$4:$F$503,(_calc!$E$905-500)))=0,"",INDEX('Vendor COIs'!$F$4:$F$503,(_calc!$E$905-500)))&amp;". ")&amp;IF(LEN(IF(LEN(INDEX('Vendor COIs'!$G$4:$G$503,(_calc!$E$905-500)))=0,"",INDEX('Vendor COIs'!$G$4:$G$503,(_calc!$E$905-500))))=0,"","Additional insured: "&amp;IF(LEN(INDEX('Vendor COIs'!$G$4:$G$503,(_calc!$E$905-500)))=0,"",INDEX('Vendor COIs'!$G$4:$G$503,(_calc!$E$905-500)))&amp;". ")&amp;IF(LEN(IF(LEN(INDEX('Vendor COIs'!$M$4:$M$503,(_calc!$E$905-500)))=0,"",INDEX('Vendor COIs'!$M$4:$M$503,(_calc!$E$905-500))))=0,"","Vendor contact: "&amp;IF(LEN(INDEX('Vendor COIs'!$M$4:$M$503,(_calc!$E$905-500)))=0,"",INDEX('Vendor COIs'!$M$4:$M$503,(_calc!$E$905-500)))&amp;". ")&amp;IF(LEN(IF(LEN(INDEX('Vendor COIs'!$P$4:$P$503,(_calc!$E$905-500)))=0,"",INDEX('Vendor COIs'!$P$4:$P$503,(_calc!$E$905-500))))=0,"",IF(LEN(INDEX('Vendor COIs'!$P$4:$P$503,(_calc!$E$905-500)))=0,"",INDEX('Vendor COIs'!$P$4:$P$503,(_calc!$E$905-500)))))))</f>
        <v/>
      </c>
      <c r="G903" s="46">
        <f>IF(_calc!$E$905="","",IF(_calc!$E$905&lt;=500,IF(LEN(INDEX('Our policies'!$R$4:$R$503,_calc!$E$905))=0,"",INDEX('Our policies'!$R$4:$R$503,_calc!$E$905)),IF(LEN(INDEX('Vendor COIs'!$O$4:$O$503,(_calc!$E$905-500)))=0,"",INDEX('Vendor COIs'!$O$4:$O$503,(_calc!$E$905-500)))))</f>
        <v/>
      </c>
      <c r="H903" s="46">
        <f>IF(_calc!$E$905="","",IF(_calc!$E$905&lt;=500,IF(LEN(INDEX('Our policies'!$G$4:$G$503,_calc!$E$905))=0,"",INDEX('Our policies'!$G$4:$G$503,_calc!$E$905)),""))</f>
        <v/>
      </c>
      <c r="I903" s="46">
        <f>IF(_calc!$E$905="","",IF(_calc!$E$905&lt;=500,IF(LEN(INDEX('Our policies'!$H$4:$H$503,_calc!$E$905))=0,"",INDEX('Our policies'!$H$4:$H$503,_calc!$E$905)),""))</f>
        <v/>
      </c>
      <c r="K903" s="46">
        <f>IF(_calc!$E$905="","",IF(_calc!$E$905&lt;=500,IF(LEN(INDEX('Our policies'!$P$4:$P$503,_calc!$E$905))=0,"",INDEX('Our policies'!$P$4:$P$503,_calc!$E$905)),IF(LEN(INDEX('Vendor COIs'!$N$4:$N$503,(_calc!$E$905-500)))=0,"",INDEX('Vendor COIs'!$N$4:$N$503,(_calc!$E$905-500)))))</f>
        <v/>
      </c>
    </row>
    <row r="904">
      <c r="A904" s="46">
        <f>IF(_calc!$E$906="","",IF(_calc!$E$906&lt;=500,IF(LEN(INDEX('Our policies'!$A$4:$A$503,_calc!$E$906))=0,"",INDEX('Our policies'!$A$4:$A$503,_calc!$E$906)),"COI – "&amp;IF(LEN(INDEX('Vendor COIs'!$A$4:$A$503,(_calc!$E$906-500)))=0,"",INDEX('Vendor COIs'!$A$4:$A$503,(_calc!$E$906-500)))&amp;" – "&amp;IF(LEN(INDEX('Vendor COIs'!$B$4:$B$503,(_calc!$E$906-500)))=0,"",INDEX('Vendor COIs'!$B$4:$B$503,(_calc!$E$906-500)))))</f>
        <v/>
      </c>
      <c r="B904" s="46">
        <f>IF(_calc!$E$906="","",IF(_calc!$E$906&lt;=500,IF(ISNUMBER(INDEX('Our policies'!$J$4:$J$503,_calc!$E$906)),TEXT(INDEX('Our policies'!$J$4:$J$503,_calc!$E$906),"yyyy-mm-dd"),""),IF(ISNUMBER(INDEX('Vendor COIs'!$H$4:$H$503,(_calc!$E$906-500))),TEXT(INDEX('Vendor COIs'!$H$4:$H$503,(_calc!$E$906-500)),"yyyy-mm-dd"),"")))</f>
        <v/>
      </c>
      <c r="C904" s="46">
        <f>IF(_calc!$E$906="","",IF(_calc!$E$906&lt;=500,"Insurance","Certificate of insurance"))</f>
        <v/>
      </c>
      <c r="D904" s="46">
        <f>IF(_calc!$E$906="","",IF(_calc!$E$906&lt;=500,IF(ISNUMBER(INDEX('Our policies'!$I$4:$I$503,_calc!$E$906)),TEXT(INDEX('Our policies'!$I$4:$I$503,_calc!$E$906),"yyyy-mm-dd"),""),""))</f>
        <v/>
      </c>
      <c r="E904" s="46">
        <f>IF(_calc!$E$906="","",IF(_calc!$E$906&lt;=500,IF(LEN(INDEX('Our policies'!$Q$4:$Q$503,_calc!$E$906))=0,"",INDEX('Our policies'!$Q$4:$Q$503,_calc!$E$906)),"Medium"))</f>
        <v/>
      </c>
      <c r="F904" s="46">
        <f>IF(_calc!$E$906="","",IF(_calc!$E$906&lt;=500,TRIM(IF(LEN(IF(LEN(INDEX('Our policies'!$B$4:$B$503,_calc!$E$906))=0,"",INDEX('Our policies'!$B$4:$B$503,_calc!$E$906)))=0,"","Cover: "&amp;IF(LEN(INDEX('Our policies'!$B$4:$B$503,_calc!$E$906))=0,"",INDEX('Our policies'!$B$4:$B$503,_calc!$E$906))&amp;". ")&amp;IF(LEN(IF(LEN(INDEX('Our policies'!$C$4:$C$503,_calc!$E$906))=0,"",INDEX('Our policies'!$C$4:$C$503,_calc!$E$906)))=0,"","Insurer: "&amp;IF(LEN(INDEX('Our policies'!$C$4:$C$503,_calc!$E$906))=0,"",INDEX('Our policies'!$C$4:$C$503,_calc!$E$906))&amp;". ")&amp;IF(LEN(IF(LEN(INDEX('Our policies'!$D$4:$D$503,_calc!$E$906))=0,"",INDEX('Our policies'!$D$4:$D$503,_calc!$E$906)))=0,"","Broker: "&amp;IF(LEN(INDEX('Our policies'!$D$4:$D$503,_calc!$E$906))=0,"",INDEX('Our policies'!$D$4:$D$503,_calc!$E$906))&amp;". ")&amp;IF(LEN(IF(LEN(INDEX('Our policies'!$E$4:$E$503,_calc!$E$906))=0,"",INDEX('Our policies'!$E$4:$E$503,_calc!$E$906)))=0,"","Policy no.: "&amp;IF(LEN(INDEX('Our policies'!$E$4:$E$503,_calc!$E$906))=0,"",INDEX('Our policies'!$E$4:$E$503,_calc!$E$906))&amp;". ")&amp;IF(LEN(IF(LEN(INDEX('Our policies'!$S$4:$S$503,_calc!$E$906))=0,"",INDEX('Our policies'!$S$4:$S$503,_calc!$E$906)))=0,"",IF(LEN(INDEX('Our policies'!$S$4:$S$503,_calc!$E$906))=0,"",INDEX('Our policies'!$S$4:$S$503,_calc!$E$906)))),TRIM(IF(LEN(IF(LEN(INDEX('Vendor COIs'!$C$4:$C$503,(_calc!$E$906-500)))=0,"",INDEX('Vendor COIs'!$C$4:$C$503,(_calc!$E$906-500))))=0,"","Insurer: "&amp;IF(LEN(INDEX('Vendor COIs'!$C$4:$C$503,(_calc!$E$906-500)))=0,"",INDEX('Vendor COIs'!$C$4:$C$503,(_calc!$E$906-500)))&amp;". ")&amp;IF(LEN(IF(LEN(INDEX('Vendor COIs'!$D$4:$D$503,(_calc!$E$906-500)))=0,"",INDEX('Vendor COIs'!$D$4:$D$503,(_calc!$E$906-500))))=0,"","Policy no.: "&amp;IF(LEN(INDEX('Vendor COIs'!$D$4:$D$503,(_calc!$E$906-500)))=0,"",INDEX('Vendor COIs'!$D$4:$D$503,(_calc!$E$906-500)))&amp;". ")&amp;IF(LEN(IF(LEN(INDEX('Vendor COIs'!$F$4:$F$503,(_calc!$E$906-500)))=0,"",INDEX('Vendor COIs'!$F$4:$F$503,(_calc!$E$906-500))))=0,"","Meets minimum: "&amp;IF(LEN(INDEX('Vendor COIs'!$F$4:$F$503,(_calc!$E$906-500)))=0,"",INDEX('Vendor COIs'!$F$4:$F$503,(_calc!$E$906-500)))&amp;". ")&amp;IF(LEN(IF(LEN(INDEX('Vendor COIs'!$G$4:$G$503,(_calc!$E$906-500)))=0,"",INDEX('Vendor COIs'!$G$4:$G$503,(_calc!$E$906-500))))=0,"","Additional insured: "&amp;IF(LEN(INDEX('Vendor COIs'!$G$4:$G$503,(_calc!$E$906-500)))=0,"",INDEX('Vendor COIs'!$G$4:$G$503,(_calc!$E$906-500)))&amp;". ")&amp;IF(LEN(IF(LEN(INDEX('Vendor COIs'!$M$4:$M$503,(_calc!$E$906-500)))=0,"",INDEX('Vendor COIs'!$M$4:$M$503,(_calc!$E$906-500))))=0,"","Vendor contact: "&amp;IF(LEN(INDEX('Vendor COIs'!$M$4:$M$503,(_calc!$E$906-500)))=0,"",INDEX('Vendor COIs'!$M$4:$M$503,(_calc!$E$906-500)))&amp;". ")&amp;IF(LEN(IF(LEN(INDEX('Vendor COIs'!$P$4:$P$503,(_calc!$E$906-500)))=0,"",INDEX('Vendor COIs'!$P$4:$P$503,(_calc!$E$906-500))))=0,"",IF(LEN(INDEX('Vendor COIs'!$P$4:$P$503,(_calc!$E$906-500)))=0,"",INDEX('Vendor COIs'!$P$4:$P$503,(_calc!$E$906-500)))))))</f>
        <v/>
      </c>
      <c r="G904" s="46">
        <f>IF(_calc!$E$906="","",IF(_calc!$E$906&lt;=500,IF(LEN(INDEX('Our policies'!$R$4:$R$503,_calc!$E$906))=0,"",INDEX('Our policies'!$R$4:$R$503,_calc!$E$906)),IF(LEN(INDEX('Vendor COIs'!$O$4:$O$503,(_calc!$E$906-500)))=0,"",INDEX('Vendor COIs'!$O$4:$O$503,(_calc!$E$906-500)))))</f>
        <v/>
      </c>
      <c r="H904" s="46">
        <f>IF(_calc!$E$906="","",IF(_calc!$E$906&lt;=500,IF(LEN(INDEX('Our policies'!$G$4:$G$503,_calc!$E$906))=0,"",INDEX('Our policies'!$G$4:$G$503,_calc!$E$906)),""))</f>
        <v/>
      </c>
      <c r="I904" s="46">
        <f>IF(_calc!$E$906="","",IF(_calc!$E$906&lt;=500,IF(LEN(INDEX('Our policies'!$H$4:$H$503,_calc!$E$906))=0,"",INDEX('Our policies'!$H$4:$H$503,_calc!$E$906)),""))</f>
        <v/>
      </c>
      <c r="K904" s="46">
        <f>IF(_calc!$E$906="","",IF(_calc!$E$906&lt;=500,IF(LEN(INDEX('Our policies'!$P$4:$P$503,_calc!$E$906))=0,"",INDEX('Our policies'!$P$4:$P$503,_calc!$E$906)),IF(LEN(INDEX('Vendor COIs'!$N$4:$N$503,(_calc!$E$906-500)))=0,"",INDEX('Vendor COIs'!$N$4:$N$503,(_calc!$E$906-500)))))</f>
        <v/>
      </c>
    </row>
    <row r="905">
      <c r="A905" s="46">
        <f>IF(_calc!$E$907="","",IF(_calc!$E$907&lt;=500,IF(LEN(INDEX('Our policies'!$A$4:$A$503,_calc!$E$907))=0,"",INDEX('Our policies'!$A$4:$A$503,_calc!$E$907)),"COI – "&amp;IF(LEN(INDEX('Vendor COIs'!$A$4:$A$503,(_calc!$E$907-500)))=0,"",INDEX('Vendor COIs'!$A$4:$A$503,(_calc!$E$907-500)))&amp;" – "&amp;IF(LEN(INDEX('Vendor COIs'!$B$4:$B$503,(_calc!$E$907-500)))=0,"",INDEX('Vendor COIs'!$B$4:$B$503,(_calc!$E$907-500)))))</f>
        <v/>
      </c>
      <c r="B905" s="46">
        <f>IF(_calc!$E$907="","",IF(_calc!$E$907&lt;=500,IF(ISNUMBER(INDEX('Our policies'!$J$4:$J$503,_calc!$E$907)),TEXT(INDEX('Our policies'!$J$4:$J$503,_calc!$E$907),"yyyy-mm-dd"),""),IF(ISNUMBER(INDEX('Vendor COIs'!$H$4:$H$503,(_calc!$E$907-500))),TEXT(INDEX('Vendor COIs'!$H$4:$H$503,(_calc!$E$907-500)),"yyyy-mm-dd"),"")))</f>
        <v/>
      </c>
      <c r="C905" s="46">
        <f>IF(_calc!$E$907="","",IF(_calc!$E$907&lt;=500,"Insurance","Certificate of insurance"))</f>
        <v/>
      </c>
      <c r="D905" s="46">
        <f>IF(_calc!$E$907="","",IF(_calc!$E$907&lt;=500,IF(ISNUMBER(INDEX('Our policies'!$I$4:$I$503,_calc!$E$907)),TEXT(INDEX('Our policies'!$I$4:$I$503,_calc!$E$907),"yyyy-mm-dd"),""),""))</f>
        <v/>
      </c>
      <c r="E905" s="46">
        <f>IF(_calc!$E$907="","",IF(_calc!$E$907&lt;=500,IF(LEN(INDEX('Our policies'!$Q$4:$Q$503,_calc!$E$907))=0,"",INDEX('Our policies'!$Q$4:$Q$503,_calc!$E$907)),"Medium"))</f>
        <v/>
      </c>
      <c r="F905" s="46">
        <f>IF(_calc!$E$907="","",IF(_calc!$E$907&lt;=500,TRIM(IF(LEN(IF(LEN(INDEX('Our policies'!$B$4:$B$503,_calc!$E$907))=0,"",INDEX('Our policies'!$B$4:$B$503,_calc!$E$907)))=0,"","Cover: "&amp;IF(LEN(INDEX('Our policies'!$B$4:$B$503,_calc!$E$907))=0,"",INDEX('Our policies'!$B$4:$B$503,_calc!$E$907))&amp;". ")&amp;IF(LEN(IF(LEN(INDEX('Our policies'!$C$4:$C$503,_calc!$E$907))=0,"",INDEX('Our policies'!$C$4:$C$503,_calc!$E$907)))=0,"","Insurer: "&amp;IF(LEN(INDEX('Our policies'!$C$4:$C$503,_calc!$E$907))=0,"",INDEX('Our policies'!$C$4:$C$503,_calc!$E$907))&amp;". ")&amp;IF(LEN(IF(LEN(INDEX('Our policies'!$D$4:$D$503,_calc!$E$907))=0,"",INDEX('Our policies'!$D$4:$D$503,_calc!$E$907)))=0,"","Broker: "&amp;IF(LEN(INDEX('Our policies'!$D$4:$D$503,_calc!$E$907))=0,"",INDEX('Our policies'!$D$4:$D$503,_calc!$E$907))&amp;". ")&amp;IF(LEN(IF(LEN(INDEX('Our policies'!$E$4:$E$503,_calc!$E$907))=0,"",INDEX('Our policies'!$E$4:$E$503,_calc!$E$907)))=0,"","Policy no.: "&amp;IF(LEN(INDEX('Our policies'!$E$4:$E$503,_calc!$E$907))=0,"",INDEX('Our policies'!$E$4:$E$503,_calc!$E$907))&amp;". ")&amp;IF(LEN(IF(LEN(INDEX('Our policies'!$S$4:$S$503,_calc!$E$907))=0,"",INDEX('Our policies'!$S$4:$S$503,_calc!$E$907)))=0,"",IF(LEN(INDEX('Our policies'!$S$4:$S$503,_calc!$E$907))=0,"",INDEX('Our policies'!$S$4:$S$503,_calc!$E$907)))),TRIM(IF(LEN(IF(LEN(INDEX('Vendor COIs'!$C$4:$C$503,(_calc!$E$907-500)))=0,"",INDEX('Vendor COIs'!$C$4:$C$503,(_calc!$E$907-500))))=0,"","Insurer: "&amp;IF(LEN(INDEX('Vendor COIs'!$C$4:$C$503,(_calc!$E$907-500)))=0,"",INDEX('Vendor COIs'!$C$4:$C$503,(_calc!$E$907-500)))&amp;". ")&amp;IF(LEN(IF(LEN(INDEX('Vendor COIs'!$D$4:$D$503,(_calc!$E$907-500)))=0,"",INDEX('Vendor COIs'!$D$4:$D$503,(_calc!$E$907-500))))=0,"","Policy no.: "&amp;IF(LEN(INDEX('Vendor COIs'!$D$4:$D$503,(_calc!$E$907-500)))=0,"",INDEX('Vendor COIs'!$D$4:$D$503,(_calc!$E$907-500)))&amp;". ")&amp;IF(LEN(IF(LEN(INDEX('Vendor COIs'!$F$4:$F$503,(_calc!$E$907-500)))=0,"",INDEX('Vendor COIs'!$F$4:$F$503,(_calc!$E$907-500))))=0,"","Meets minimum: "&amp;IF(LEN(INDEX('Vendor COIs'!$F$4:$F$503,(_calc!$E$907-500)))=0,"",INDEX('Vendor COIs'!$F$4:$F$503,(_calc!$E$907-500)))&amp;". ")&amp;IF(LEN(IF(LEN(INDEX('Vendor COIs'!$G$4:$G$503,(_calc!$E$907-500)))=0,"",INDEX('Vendor COIs'!$G$4:$G$503,(_calc!$E$907-500))))=0,"","Additional insured: "&amp;IF(LEN(INDEX('Vendor COIs'!$G$4:$G$503,(_calc!$E$907-500)))=0,"",INDEX('Vendor COIs'!$G$4:$G$503,(_calc!$E$907-500)))&amp;". ")&amp;IF(LEN(IF(LEN(INDEX('Vendor COIs'!$M$4:$M$503,(_calc!$E$907-500)))=0,"",INDEX('Vendor COIs'!$M$4:$M$503,(_calc!$E$907-500))))=0,"","Vendor contact: "&amp;IF(LEN(INDEX('Vendor COIs'!$M$4:$M$503,(_calc!$E$907-500)))=0,"",INDEX('Vendor COIs'!$M$4:$M$503,(_calc!$E$907-500)))&amp;". ")&amp;IF(LEN(IF(LEN(INDEX('Vendor COIs'!$P$4:$P$503,(_calc!$E$907-500)))=0,"",INDEX('Vendor COIs'!$P$4:$P$503,(_calc!$E$907-500))))=0,"",IF(LEN(INDEX('Vendor COIs'!$P$4:$P$503,(_calc!$E$907-500)))=0,"",INDEX('Vendor COIs'!$P$4:$P$503,(_calc!$E$907-500)))))))</f>
        <v/>
      </c>
      <c r="G905" s="46">
        <f>IF(_calc!$E$907="","",IF(_calc!$E$907&lt;=500,IF(LEN(INDEX('Our policies'!$R$4:$R$503,_calc!$E$907))=0,"",INDEX('Our policies'!$R$4:$R$503,_calc!$E$907)),IF(LEN(INDEX('Vendor COIs'!$O$4:$O$503,(_calc!$E$907-500)))=0,"",INDEX('Vendor COIs'!$O$4:$O$503,(_calc!$E$907-500)))))</f>
        <v/>
      </c>
      <c r="H905" s="46">
        <f>IF(_calc!$E$907="","",IF(_calc!$E$907&lt;=500,IF(LEN(INDEX('Our policies'!$G$4:$G$503,_calc!$E$907))=0,"",INDEX('Our policies'!$G$4:$G$503,_calc!$E$907)),""))</f>
        <v/>
      </c>
      <c r="I905" s="46">
        <f>IF(_calc!$E$907="","",IF(_calc!$E$907&lt;=500,IF(LEN(INDEX('Our policies'!$H$4:$H$503,_calc!$E$907))=0,"",INDEX('Our policies'!$H$4:$H$503,_calc!$E$907)),""))</f>
        <v/>
      </c>
      <c r="K905" s="46">
        <f>IF(_calc!$E$907="","",IF(_calc!$E$907&lt;=500,IF(LEN(INDEX('Our policies'!$P$4:$P$503,_calc!$E$907))=0,"",INDEX('Our policies'!$P$4:$P$503,_calc!$E$907)),IF(LEN(INDEX('Vendor COIs'!$N$4:$N$503,(_calc!$E$907-500)))=0,"",INDEX('Vendor COIs'!$N$4:$N$503,(_calc!$E$907-500)))))</f>
        <v/>
      </c>
    </row>
    <row r="906">
      <c r="A906" s="46">
        <f>IF(_calc!$E$908="","",IF(_calc!$E$908&lt;=500,IF(LEN(INDEX('Our policies'!$A$4:$A$503,_calc!$E$908))=0,"",INDEX('Our policies'!$A$4:$A$503,_calc!$E$908)),"COI – "&amp;IF(LEN(INDEX('Vendor COIs'!$A$4:$A$503,(_calc!$E$908-500)))=0,"",INDEX('Vendor COIs'!$A$4:$A$503,(_calc!$E$908-500)))&amp;" – "&amp;IF(LEN(INDEX('Vendor COIs'!$B$4:$B$503,(_calc!$E$908-500)))=0,"",INDEX('Vendor COIs'!$B$4:$B$503,(_calc!$E$908-500)))))</f>
        <v/>
      </c>
      <c r="B906" s="46">
        <f>IF(_calc!$E$908="","",IF(_calc!$E$908&lt;=500,IF(ISNUMBER(INDEX('Our policies'!$J$4:$J$503,_calc!$E$908)),TEXT(INDEX('Our policies'!$J$4:$J$503,_calc!$E$908),"yyyy-mm-dd"),""),IF(ISNUMBER(INDEX('Vendor COIs'!$H$4:$H$503,(_calc!$E$908-500))),TEXT(INDEX('Vendor COIs'!$H$4:$H$503,(_calc!$E$908-500)),"yyyy-mm-dd"),"")))</f>
        <v/>
      </c>
      <c r="C906" s="46">
        <f>IF(_calc!$E$908="","",IF(_calc!$E$908&lt;=500,"Insurance","Certificate of insurance"))</f>
        <v/>
      </c>
      <c r="D906" s="46">
        <f>IF(_calc!$E$908="","",IF(_calc!$E$908&lt;=500,IF(ISNUMBER(INDEX('Our policies'!$I$4:$I$503,_calc!$E$908)),TEXT(INDEX('Our policies'!$I$4:$I$503,_calc!$E$908),"yyyy-mm-dd"),""),""))</f>
        <v/>
      </c>
      <c r="E906" s="46">
        <f>IF(_calc!$E$908="","",IF(_calc!$E$908&lt;=500,IF(LEN(INDEX('Our policies'!$Q$4:$Q$503,_calc!$E$908))=0,"",INDEX('Our policies'!$Q$4:$Q$503,_calc!$E$908)),"Medium"))</f>
        <v/>
      </c>
      <c r="F906" s="46">
        <f>IF(_calc!$E$908="","",IF(_calc!$E$908&lt;=500,TRIM(IF(LEN(IF(LEN(INDEX('Our policies'!$B$4:$B$503,_calc!$E$908))=0,"",INDEX('Our policies'!$B$4:$B$503,_calc!$E$908)))=0,"","Cover: "&amp;IF(LEN(INDEX('Our policies'!$B$4:$B$503,_calc!$E$908))=0,"",INDEX('Our policies'!$B$4:$B$503,_calc!$E$908))&amp;". ")&amp;IF(LEN(IF(LEN(INDEX('Our policies'!$C$4:$C$503,_calc!$E$908))=0,"",INDEX('Our policies'!$C$4:$C$503,_calc!$E$908)))=0,"","Insurer: "&amp;IF(LEN(INDEX('Our policies'!$C$4:$C$503,_calc!$E$908))=0,"",INDEX('Our policies'!$C$4:$C$503,_calc!$E$908))&amp;". ")&amp;IF(LEN(IF(LEN(INDEX('Our policies'!$D$4:$D$503,_calc!$E$908))=0,"",INDEX('Our policies'!$D$4:$D$503,_calc!$E$908)))=0,"","Broker: "&amp;IF(LEN(INDEX('Our policies'!$D$4:$D$503,_calc!$E$908))=0,"",INDEX('Our policies'!$D$4:$D$503,_calc!$E$908))&amp;". ")&amp;IF(LEN(IF(LEN(INDEX('Our policies'!$E$4:$E$503,_calc!$E$908))=0,"",INDEX('Our policies'!$E$4:$E$503,_calc!$E$908)))=0,"","Policy no.: "&amp;IF(LEN(INDEX('Our policies'!$E$4:$E$503,_calc!$E$908))=0,"",INDEX('Our policies'!$E$4:$E$503,_calc!$E$908))&amp;". ")&amp;IF(LEN(IF(LEN(INDEX('Our policies'!$S$4:$S$503,_calc!$E$908))=0,"",INDEX('Our policies'!$S$4:$S$503,_calc!$E$908)))=0,"",IF(LEN(INDEX('Our policies'!$S$4:$S$503,_calc!$E$908))=0,"",INDEX('Our policies'!$S$4:$S$503,_calc!$E$908)))),TRIM(IF(LEN(IF(LEN(INDEX('Vendor COIs'!$C$4:$C$503,(_calc!$E$908-500)))=0,"",INDEX('Vendor COIs'!$C$4:$C$503,(_calc!$E$908-500))))=0,"","Insurer: "&amp;IF(LEN(INDEX('Vendor COIs'!$C$4:$C$503,(_calc!$E$908-500)))=0,"",INDEX('Vendor COIs'!$C$4:$C$503,(_calc!$E$908-500)))&amp;". ")&amp;IF(LEN(IF(LEN(INDEX('Vendor COIs'!$D$4:$D$503,(_calc!$E$908-500)))=0,"",INDEX('Vendor COIs'!$D$4:$D$503,(_calc!$E$908-500))))=0,"","Policy no.: "&amp;IF(LEN(INDEX('Vendor COIs'!$D$4:$D$503,(_calc!$E$908-500)))=0,"",INDEX('Vendor COIs'!$D$4:$D$503,(_calc!$E$908-500)))&amp;". ")&amp;IF(LEN(IF(LEN(INDEX('Vendor COIs'!$F$4:$F$503,(_calc!$E$908-500)))=0,"",INDEX('Vendor COIs'!$F$4:$F$503,(_calc!$E$908-500))))=0,"","Meets minimum: "&amp;IF(LEN(INDEX('Vendor COIs'!$F$4:$F$503,(_calc!$E$908-500)))=0,"",INDEX('Vendor COIs'!$F$4:$F$503,(_calc!$E$908-500)))&amp;". ")&amp;IF(LEN(IF(LEN(INDEX('Vendor COIs'!$G$4:$G$503,(_calc!$E$908-500)))=0,"",INDEX('Vendor COIs'!$G$4:$G$503,(_calc!$E$908-500))))=0,"","Additional insured: "&amp;IF(LEN(INDEX('Vendor COIs'!$G$4:$G$503,(_calc!$E$908-500)))=0,"",INDEX('Vendor COIs'!$G$4:$G$503,(_calc!$E$908-500)))&amp;". ")&amp;IF(LEN(IF(LEN(INDEX('Vendor COIs'!$M$4:$M$503,(_calc!$E$908-500)))=0,"",INDEX('Vendor COIs'!$M$4:$M$503,(_calc!$E$908-500))))=0,"","Vendor contact: "&amp;IF(LEN(INDEX('Vendor COIs'!$M$4:$M$503,(_calc!$E$908-500)))=0,"",INDEX('Vendor COIs'!$M$4:$M$503,(_calc!$E$908-500)))&amp;". ")&amp;IF(LEN(IF(LEN(INDEX('Vendor COIs'!$P$4:$P$503,(_calc!$E$908-500)))=0,"",INDEX('Vendor COIs'!$P$4:$P$503,(_calc!$E$908-500))))=0,"",IF(LEN(INDEX('Vendor COIs'!$P$4:$P$503,(_calc!$E$908-500)))=0,"",INDEX('Vendor COIs'!$P$4:$P$503,(_calc!$E$908-500)))))))</f>
        <v/>
      </c>
      <c r="G906" s="46">
        <f>IF(_calc!$E$908="","",IF(_calc!$E$908&lt;=500,IF(LEN(INDEX('Our policies'!$R$4:$R$503,_calc!$E$908))=0,"",INDEX('Our policies'!$R$4:$R$503,_calc!$E$908)),IF(LEN(INDEX('Vendor COIs'!$O$4:$O$503,(_calc!$E$908-500)))=0,"",INDEX('Vendor COIs'!$O$4:$O$503,(_calc!$E$908-500)))))</f>
        <v/>
      </c>
      <c r="H906" s="46">
        <f>IF(_calc!$E$908="","",IF(_calc!$E$908&lt;=500,IF(LEN(INDEX('Our policies'!$G$4:$G$503,_calc!$E$908))=0,"",INDEX('Our policies'!$G$4:$G$503,_calc!$E$908)),""))</f>
        <v/>
      </c>
      <c r="I906" s="46">
        <f>IF(_calc!$E$908="","",IF(_calc!$E$908&lt;=500,IF(LEN(INDEX('Our policies'!$H$4:$H$503,_calc!$E$908))=0,"",INDEX('Our policies'!$H$4:$H$503,_calc!$E$908)),""))</f>
        <v/>
      </c>
      <c r="K906" s="46">
        <f>IF(_calc!$E$908="","",IF(_calc!$E$908&lt;=500,IF(LEN(INDEX('Our policies'!$P$4:$P$503,_calc!$E$908))=0,"",INDEX('Our policies'!$P$4:$P$503,_calc!$E$908)),IF(LEN(INDEX('Vendor COIs'!$N$4:$N$503,(_calc!$E$908-500)))=0,"",INDEX('Vendor COIs'!$N$4:$N$503,(_calc!$E$908-500)))))</f>
        <v/>
      </c>
    </row>
    <row r="907">
      <c r="A907" s="46">
        <f>IF(_calc!$E$909="","",IF(_calc!$E$909&lt;=500,IF(LEN(INDEX('Our policies'!$A$4:$A$503,_calc!$E$909))=0,"",INDEX('Our policies'!$A$4:$A$503,_calc!$E$909)),"COI – "&amp;IF(LEN(INDEX('Vendor COIs'!$A$4:$A$503,(_calc!$E$909-500)))=0,"",INDEX('Vendor COIs'!$A$4:$A$503,(_calc!$E$909-500)))&amp;" – "&amp;IF(LEN(INDEX('Vendor COIs'!$B$4:$B$503,(_calc!$E$909-500)))=0,"",INDEX('Vendor COIs'!$B$4:$B$503,(_calc!$E$909-500)))))</f>
        <v/>
      </c>
      <c r="B907" s="46">
        <f>IF(_calc!$E$909="","",IF(_calc!$E$909&lt;=500,IF(ISNUMBER(INDEX('Our policies'!$J$4:$J$503,_calc!$E$909)),TEXT(INDEX('Our policies'!$J$4:$J$503,_calc!$E$909),"yyyy-mm-dd"),""),IF(ISNUMBER(INDEX('Vendor COIs'!$H$4:$H$503,(_calc!$E$909-500))),TEXT(INDEX('Vendor COIs'!$H$4:$H$503,(_calc!$E$909-500)),"yyyy-mm-dd"),"")))</f>
        <v/>
      </c>
      <c r="C907" s="46">
        <f>IF(_calc!$E$909="","",IF(_calc!$E$909&lt;=500,"Insurance","Certificate of insurance"))</f>
        <v/>
      </c>
      <c r="D907" s="46">
        <f>IF(_calc!$E$909="","",IF(_calc!$E$909&lt;=500,IF(ISNUMBER(INDEX('Our policies'!$I$4:$I$503,_calc!$E$909)),TEXT(INDEX('Our policies'!$I$4:$I$503,_calc!$E$909),"yyyy-mm-dd"),""),""))</f>
        <v/>
      </c>
      <c r="E907" s="46">
        <f>IF(_calc!$E$909="","",IF(_calc!$E$909&lt;=500,IF(LEN(INDEX('Our policies'!$Q$4:$Q$503,_calc!$E$909))=0,"",INDEX('Our policies'!$Q$4:$Q$503,_calc!$E$909)),"Medium"))</f>
        <v/>
      </c>
      <c r="F907" s="46">
        <f>IF(_calc!$E$909="","",IF(_calc!$E$909&lt;=500,TRIM(IF(LEN(IF(LEN(INDEX('Our policies'!$B$4:$B$503,_calc!$E$909))=0,"",INDEX('Our policies'!$B$4:$B$503,_calc!$E$909)))=0,"","Cover: "&amp;IF(LEN(INDEX('Our policies'!$B$4:$B$503,_calc!$E$909))=0,"",INDEX('Our policies'!$B$4:$B$503,_calc!$E$909))&amp;". ")&amp;IF(LEN(IF(LEN(INDEX('Our policies'!$C$4:$C$503,_calc!$E$909))=0,"",INDEX('Our policies'!$C$4:$C$503,_calc!$E$909)))=0,"","Insurer: "&amp;IF(LEN(INDEX('Our policies'!$C$4:$C$503,_calc!$E$909))=0,"",INDEX('Our policies'!$C$4:$C$503,_calc!$E$909))&amp;". ")&amp;IF(LEN(IF(LEN(INDEX('Our policies'!$D$4:$D$503,_calc!$E$909))=0,"",INDEX('Our policies'!$D$4:$D$503,_calc!$E$909)))=0,"","Broker: "&amp;IF(LEN(INDEX('Our policies'!$D$4:$D$503,_calc!$E$909))=0,"",INDEX('Our policies'!$D$4:$D$503,_calc!$E$909))&amp;". ")&amp;IF(LEN(IF(LEN(INDEX('Our policies'!$E$4:$E$503,_calc!$E$909))=0,"",INDEX('Our policies'!$E$4:$E$503,_calc!$E$909)))=0,"","Policy no.: "&amp;IF(LEN(INDEX('Our policies'!$E$4:$E$503,_calc!$E$909))=0,"",INDEX('Our policies'!$E$4:$E$503,_calc!$E$909))&amp;". ")&amp;IF(LEN(IF(LEN(INDEX('Our policies'!$S$4:$S$503,_calc!$E$909))=0,"",INDEX('Our policies'!$S$4:$S$503,_calc!$E$909)))=0,"",IF(LEN(INDEX('Our policies'!$S$4:$S$503,_calc!$E$909))=0,"",INDEX('Our policies'!$S$4:$S$503,_calc!$E$909)))),TRIM(IF(LEN(IF(LEN(INDEX('Vendor COIs'!$C$4:$C$503,(_calc!$E$909-500)))=0,"",INDEX('Vendor COIs'!$C$4:$C$503,(_calc!$E$909-500))))=0,"","Insurer: "&amp;IF(LEN(INDEX('Vendor COIs'!$C$4:$C$503,(_calc!$E$909-500)))=0,"",INDEX('Vendor COIs'!$C$4:$C$503,(_calc!$E$909-500)))&amp;". ")&amp;IF(LEN(IF(LEN(INDEX('Vendor COIs'!$D$4:$D$503,(_calc!$E$909-500)))=0,"",INDEX('Vendor COIs'!$D$4:$D$503,(_calc!$E$909-500))))=0,"","Policy no.: "&amp;IF(LEN(INDEX('Vendor COIs'!$D$4:$D$503,(_calc!$E$909-500)))=0,"",INDEX('Vendor COIs'!$D$4:$D$503,(_calc!$E$909-500)))&amp;". ")&amp;IF(LEN(IF(LEN(INDEX('Vendor COIs'!$F$4:$F$503,(_calc!$E$909-500)))=0,"",INDEX('Vendor COIs'!$F$4:$F$503,(_calc!$E$909-500))))=0,"","Meets minimum: "&amp;IF(LEN(INDEX('Vendor COIs'!$F$4:$F$503,(_calc!$E$909-500)))=0,"",INDEX('Vendor COIs'!$F$4:$F$503,(_calc!$E$909-500)))&amp;". ")&amp;IF(LEN(IF(LEN(INDEX('Vendor COIs'!$G$4:$G$503,(_calc!$E$909-500)))=0,"",INDEX('Vendor COIs'!$G$4:$G$503,(_calc!$E$909-500))))=0,"","Additional insured: "&amp;IF(LEN(INDEX('Vendor COIs'!$G$4:$G$503,(_calc!$E$909-500)))=0,"",INDEX('Vendor COIs'!$G$4:$G$503,(_calc!$E$909-500)))&amp;". ")&amp;IF(LEN(IF(LEN(INDEX('Vendor COIs'!$M$4:$M$503,(_calc!$E$909-500)))=0,"",INDEX('Vendor COIs'!$M$4:$M$503,(_calc!$E$909-500))))=0,"","Vendor contact: "&amp;IF(LEN(INDEX('Vendor COIs'!$M$4:$M$503,(_calc!$E$909-500)))=0,"",INDEX('Vendor COIs'!$M$4:$M$503,(_calc!$E$909-500)))&amp;". ")&amp;IF(LEN(IF(LEN(INDEX('Vendor COIs'!$P$4:$P$503,(_calc!$E$909-500)))=0,"",INDEX('Vendor COIs'!$P$4:$P$503,(_calc!$E$909-500))))=0,"",IF(LEN(INDEX('Vendor COIs'!$P$4:$P$503,(_calc!$E$909-500)))=0,"",INDEX('Vendor COIs'!$P$4:$P$503,(_calc!$E$909-500)))))))</f>
        <v/>
      </c>
      <c r="G907" s="46">
        <f>IF(_calc!$E$909="","",IF(_calc!$E$909&lt;=500,IF(LEN(INDEX('Our policies'!$R$4:$R$503,_calc!$E$909))=0,"",INDEX('Our policies'!$R$4:$R$503,_calc!$E$909)),IF(LEN(INDEX('Vendor COIs'!$O$4:$O$503,(_calc!$E$909-500)))=0,"",INDEX('Vendor COIs'!$O$4:$O$503,(_calc!$E$909-500)))))</f>
        <v/>
      </c>
      <c r="H907" s="46">
        <f>IF(_calc!$E$909="","",IF(_calc!$E$909&lt;=500,IF(LEN(INDEX('Our policies'!$G$4:$G$503,_calc!$E$909))=0,"",INDEX('Our policies'!$G$4:$G$503,_calc!$E$909)),""))</f>
        <v/>
      </c>
      <c r="I907" s="46">
        <f>IF(_calc!$E$909="","",IF(_calc!$E$909&lt;=500,IF(LEN(INDEX('Our policies'!$H$4:$H$503,_calc!$E$909))=0,"",INDEX('Our policies'!$H$4:$H$503,_calc!$E$909)),""))</f>
        <v/>
      </c>
      <c r="K907" s="46">
        <f>IF(_calc!$E$909="","",IF(_calc!$E$909&lt;=500,IF(LEN(INDEX('Our policies'!$P$4:$P$503,_calc!$E$909))=0,"",INDEX('Our policies'!$P$4:$P$503,_calc!$E$909)),IF(LEN(INDEX('Vendor COIs'!$N$4:$N$503,(_calc!$E$909-500)))=0,"",INDEX('Vendor COIs'!$N$4:$N$503,(_calc!$E$909-500)))))</f>
        <v/>
      </c>
    </row>
    <row r="908">
      <c r="A908" s="46">
        <f>IF(_calc!$E$910="","",IF(_calc!$E$910&lt;=500,IF(LEN(INDEX('Our policies'!$A$4:$A$503,_calc!$E$910))=0,"",INDEX('Our policies'!$A$4:$A$503,_calc!$E$910)),"COI – "&amp;IF(LEN(INDEX('Vendor COIs'!$A$4:$A$503,(_calc!$E$910-500)))=0,"",INDEX('Vendor COIs'!$A$4:$A$503,(_calc!$E$910-500)))&amp;" – "&amp;IF(LEN(INDEX('Vendor COIs'!$B$4:$B$503,(_calc!$E$910-500)))=0,"",INDEX('Vendor COIs'!$B$4:$B$503,(_calc!$E$910-500)))))</f>
        <v/>
      </c>
      <c r="B908" s="46">
        <f>IF(_calc!$E$910="","",IF(_calc!$E$910&lt;=500,IF(ISNUMBER(INDEX('Our policies'!$J$4:$J$503,_calc!$E$910)),TEXT(INDEX('Our policies'!$J$4:$J$503,_calc!$E$910),"yyyy-mm-dd"),""),IF(ISNUMBER(INDEX('Vendor COIs'!$H$4:$H$503,(_calc!$E$910-500))),TEXT(INDEX('Vendor COIs'!$H$4:$H$503,(_calc!$E$910-500)),"yyyy-mm-dd"),"")))</f>
        <v/>
      </c>
      <c r="C908" s="46">
        <f>IF(_calc!$E$910="","",IF(_calc!$E$910&lt;=500,"Insurance","Certificate of insurance"))</f>
        <v/>
      </c>
      <c r="D908" s="46">
        <f>IF(_calc!$E$910="","",IF(_calc!$E$910&lt;=500,IF(ISNUMBER(INDEX('Our policies'!$I$4:$I$503,_calc!$E$910)),TEXT(INDEX('Our policies'!$I$4:$I$503,_calc!$E$910),"yyyy-mm-dd"),""),""))</f>
        <v/>
      </c>
      <c r="E908" s="46">
        <f>IF(_calc!$E$910="","",IF(_calc!$E$910&lt;=500,IF(LEN(INDEX('Our policies'!$Q$4:$Q$503,_calc!$E$910))=0,"",INDEX('Our policies'!$Q$4:$Q$503,_calc!$E$910)),"Medium"))</f>
        <v/>
      </c>
      <c r="F908" s="46">
        <f>IF(_calc!$E$910="","",IF(_calc!$E$910&lt;=500,TRIM(IF(LEN(IF(LEN(INDEX('Our policies'!$B$4:$B$503,_calc!$E$910))=0,"",INDEX('Our policies'!$B$4:$B$503,_calc!$E$910)))=0,"","Cover: "&amp;IF(LEN(INDEX('Our policies'!$B$4:$B$503,_calc!$E$910))=0,"",INDEX('Our policies'!$B$4:$B$503,_calc!$E$910))&amp;". ")&amp;IF(LEN(IF(LEN(INDEX('Our policies'!$C$4:$C$503,_calc!$E$910))=0,"",INDEX('Our policies'!$C$4:$C$503,_calc!$E$910)))=0,"","Insurer: "&amp;IF(LEN(INDEX('Our policies'!$C$4:$C$503,_calc!$E$910))=0,"",INDEX('Our policies'!$C$4:$C$503,_calc!$E$910))&amp;". ")&amp;IF(LEN(IF(LEN(INDEX('Our policies'!$D$4:$D$503,_calc!$E$910))=0,"",INDEX('Our policies'!$D$4:$D$503,_calc!$E$910)))=0,"","Broker: "&amp;IF(LEN(INDEX('Our policies'!$D$4:$D$503,_calc!$E$910))=0,"",INDEX('Our policies'!$D$4:$D$503,_calc!$E$910))&amp;". ")&amp;IF(LEN(IF(LEN(INDEX('Our policies'!$E$4:$E$503,_calc!$E$910))=0,"",INDEX('Our policies'!$E$4:$E$503,_calc!$E$910)))=0,"","Policy no.: "&amp;IF(LEN(INDEX('Our policies'!$E$4:$E$503,_calc!$E$910))=0,"",INDEX('Our policies'!$E$4:$E$503,_calc!$E$910))&amp;". ")&amp;IF(LEN(IF(LEN(INDEX('Our policies'!$S$4:$S$503,_calc!$E$910))=0,"",INDEX('Our policies'!$S$4:$S$503,_calc!$E$910)))=0,"",IF(LEN(INDEX('Our policies'!$S$4:$S$503,_calc!$E$910))=0,"",INDEX('Our policies'!$S$4:$S$503,_calc!$E$910)))),TRIM(IF(LEN(IF(LEN(INDEX('Vendor COIs'!$C$4:$C$503,(_calc!$E$910-500)))=0,"",INDEX('Vendor COIs'!$C$4:$C$503,(_calc!$E$910-500))))=0,"","Insurer: "&amp;IF(LEN(INDEX('Vendor COIs'!$C$4:$C$503,(_calc!$E$910-500)))=0,"",INDEX('Vendor COIs'!$C$4:$C$503,(_calc!$E$910-500)))&amp;". ")&amp;IF(LEN(IF(LEN(INDEX('Vendor COIs'!$D$4:$D$503,(_calc!$E$910-500)))=0,"",INDEX('Vendor COIs'!$D$4:$D$503,(_calc!$E$910-500))))=0,"","Policy no.: "&amp;IF(LEN(INDEX('Vendor COIs'!$D$4:$D$503,(_calc!$E$910-500)))=0,"",INDEX('Vendor COIs'!$D$4:$D$503,(_calc!$E$910-500)))&amp;". ")&amp;IF(LEN(IF(LEN(INDEX('Vendor COIs'!$F$4:$F$503,(_calc!$E$910-500)))=0,"",INDEX('Vendor COIs'!$F$4:$F$503,(_calc!$E$910-500))))=0,"","Meets minimum: "&amp;IF(LEN(INDEX('Vendor COIs'!$F$4:$F$503,(_calc!$E$910-500)))=0,"",INDEX('Vendor COIs'!$F$4:$F$503,(_calc!$E$910-500)))&amp;". ")&amp;IF(LEN(IF(LEN(INDEX('Vendor COIs'!$G$4:$G$503,(_calc!$E$910-500)))=0,"",INDEX('Vendor COIs'!$G$4:$G$503,(_calc!$E$910-500))))=0,"","Additional insured: "&amp;IF(LEN(INDEX('Vendor COIs'!$G$4:$G$503,(_calc!$E$910-500)))=0,"",INDEX('Vendor COIs'!$G$4:$G$503,(_calc!$E$910-500)))&amp;". ")&amp;IF(LEN(IF(LEN(INDEX('Vendor COIs'!$M$4:$M$503,(_calc!$E$910-500)))=0,"",INDEX('Vendor COIs'!$M$4:$M$503,(_calc!$E$910-500))))=0,"","Vendor contact: "&amp;IF(LEN(INDEX('Vendor COIs'!$M$4:$M$503,(_calc!$E$910-500)))=0,"",INDEX('Vendor COIs'!$M$4:$M$503,(_calc!$E$910-500)))&amp;". ")&amp;IF(LEN(IF(LEN(INDEX('Vendor COIs'!$P$4:$P$503,(_calc!$E$910-500)))=0,"",INDEX('Vendor COIs'!$P$4:$P$503,(_calc!$E$910-500))))=0,"",IF(LEN(INDEX('Vendor COIs'!$P$4:$P$503,(_calc!$E$910-500)))=0,"",INDEX('Vendor COIs'!$P$4:$P$503,(_calc!$E$910-500)))))))</f>
        <v/>
      </c>
      <c r="G908" s="46">
        <f>IF(_calc!$E$910="","",IF(_calc!$E$910&lt;=500,IF(LEN(INDEX('Our policies'!$R$4:$R$503,_calc!$E$910))=0,"",INDEX('Our policies'!$R$4:$R$503,_calc!$E$910)),IF(LEN(INDEX('Vendor COIs'!$O$4:$O$503,(_calc!$E$910-500)))=0,"",INDEX('Vendor COIs'!$O$4:$O$503,(_calc!$E$910-500)))))</f>
        <v/>
      </c>
      <c r="H908" s="46">
        <f>IF(_calc!$E$910="","",IF(_calc!$E$910&lt;=500,IF(LEN(INDEX('Our policies'!$G$4:$G$503,_calc!$E$910))=0,"",INDEX('Our policies'!$G$4:$G$503,_calc!$E$910)),""))</f>
        <v/>
      </c>
      <c r="I908" s="46">
        <f>IF(_calc!$E$910="","",IF(_calc!$E$910&lt;=500,IF(LEN(INDEX('Our policies'!$H$4:$H$503,_calc!$E$910))=0,"",INDEX('Our policies'!$H$4:$H$503,_calc!$E$910)),""))</f>
        <v/>
      </c>
      <c r="K908" s="46">
        <f>IF(_calc!$E$910="","",IF(_calc!$E$910&lt;=500,IF(LEN(INDEX('Our policies'!$P$4:$P$503,_calc!$E$910))=0,"",INDEX('Our policies'!$P$4:$P$503,_calc!$E$910)),IF(LEN(INDEX('Vendor COIs'!$N$4:$N$503,(_calc!$E$910-500)))=0,"",INDEX('Vendor COIs'!$N$4:$N$503,(_calc!$E$910-500)))))</f>
        <v/>
      </c>
    </row>
    <row r="909">
      <c r="A909" s="46">
        <f>IF(_calc!$E$911="","",IF(_calc!$E$911&lt;=500,IF(LEN(INDEX('Our policies'!$A$4:$A$503,_calc!$E$911))=0,"",INDEX('Our policies'!$A$4:$A$503,_calc!$E$911)),"COI – "&amp;IF(LEN(INDEX('Vendor COIs'!$A$4:$A$503,(_calc!$E$911-500)))=0,"",INDEX('Vendor COIs'!$A$4:$A$503,(_calc!$E$911-500)))&amp;" – "&amp;IF(LEN(INDEX('Vendor COIs'!$B$4:$B$503,(_calc!$E$911-500)))=0,"",INDEX('Vendor COIs'!$B$4:$B$503,(_calc!$E$911-500)))))</f>
        <v/>
      </c>
      <c r="B909" s="46">
        <f>IF(_calc!$E$911="","",IF(_calc!$E$911&lt;=500,IF(ISNUMBER(INDEX('Our policies'!$J$4:$J$503,_calc!$E$911)),TEXT(INDEX('Our policies'!$J$4:$J$503,_calc!$E$911),"yyyy-mm-dd"),""),IF(ISNUMBER(INDEX('Vendor COIs'!$H$4:$H$503,(_calc!$E$911-500))),TEXT(INDEX('Vendor COIs'!$H$4:$H$503,(_calc!$E$911-500)),"yyyy-mm-dd"),"")))</f>
        <v/>
      </c>
      <c r="C909" s="46">
        <f>IF(_calc!$E$911="","",IF(_calc!$E$911&lt;=500,"Insurance","Certificate of insurance"))</f>
        <v/>
      </c>
      <c r="D909" s="46">
        <f>IF(_calc!$E$911="","",IF(_calc!$E$911&lt;=500,IF(ISNUMBER(INDEX('Our policies'!$I$4:$I$503,_calc!$E$911)),TEXT(INDEX('Our policies'!$I$4:$I$503,_calc!$E$911),"yyyy-mm-dd"),""),""))</f>
        <v/>
      </c>
      <c r="E909" s="46">
        <f>IF(_calc!$E$911="","",IF(_calc!$E$911&lt;=500,IF(LEN(INDEX('Our policies'!$Q$4:$Q$503,_calc!$E$911))=0,"",INDEX('Our policies'!$Q$4:$Q$503,_calc!$E$911)),"Medium"))</f>
        <v/>
      </c>
      <c r="F909" s="46">
        <f>IF(_calc!$E$911="","",IF(_calc!$E$911&lt;=500,TRIM(IF(LEN(IF(LEN(INDEX('Our policies'!$B$4:$B$503,_calc!$E$911))=0,"",INDEX('Our policies'!$B$4:$B$503,_calc!$E$911)))=0,"","Cover: "&amp;IF(LEN(INDEX('Our policies'!$B$4:$B$503,_calc!$E$911))=0,"",INDEX('Our policies'!$B$4:$B$503,_calc!$E$911))&amp;". ")&amp;IF(LEN(IF(LEN(INDEX('Our policies'!$C$4:$C$503,_calc!$E$911))=0,"",INDEX('Our policies'!$C$4:$C$503,_calc!$E$911)))=0,"","Insurer: "&amp;IF(LEN(INDEX('Our policies'!$C$4:$C$503,_calc!$E$911))=0,"",INDEX('Our policies'!$C$4:$C$503,_calc!$E$911))&amp;". ")&amp;IF(LEN(IF(LEN(INDEX('Our policies'!$D$4:$D$503,_calc!$E$911))=0,"",INDEX('Our policies'!$D$4:$D$503,_calc!$E$911)))=0,"","Broker: "&amp;IF(LEN(INDEX('Our policies'!$D$4:$D$503,_calc!$E$911))=0,"",INDEX('Our policies'!$D$4:$D$503,_calc!$E$911))&amp;". ")&amp;IF(LEN(IF(LEN(INDEX('Our policies'!$E$4:$E$503,_calc!$E$911))=0,"",INDEX('Our policies'!$E$4:$E$503,_calc!$E$911)))=0,"","Policy no.: "&amp;IF(LEN(INDEX('Our policies'!$E$4:$E$503,_calc!$E$911))=0,"",INDEX('Our policies'!$E$4:$E$503,_calc!$E$911))&amp;". ")&amp;IF(LEN(IF(LEN(INDEX('Our policies'!$S$4:$S$503,_calc!$E$911))=0,"",INDEX('Our policies'!$S$4:$S$503,_calc!$E$911)))=0,"",IF(LEN(INDEX('Our policies'!$S$4:$S$503,_calc!$E$911))=0,"",INDEX('Our policies'!$S$4:$S$503,_calc!$E$911)))),TRIM(IF(LEN(IF(LEN(INDEX('Vendor COIs'!$C$4:$C$503,(_calc!$E$911-500)))=0,"",INDEX('Vendor COIs'!$C$4:$C$503,(_calc!$E$911-500))))=0,"","Insurer: "&amp;IF(LEN(INDEX('Vendor COIs'!$C$4:$C$503,(_calc!$E$911-500)))=0,"",INDEX('Vendor COIs'!$C$4:$C$503,(_calc!$E$911-500)))&amp;". ")&amp;IF(LEN(IF(LEN(INDEX('Vendor COIs'!$D$4:$D$503,(_calc!$E$911-500)))=0,"",INDEX('Vendor COIs'!$D$4:$D$503,(_calc!$E$911-500))))=0,"","Policy no.: "&amp;IF(LEN(INDEX('Vendor COIs'!$D$4:$D$503,(_calc!$E$911-500)))=0,"",INDEX('Vendor COIs'!$D$4:$D$503,(_calc!$E$911-500)))&amp;". ")&amp;IF(LEN(IF(LEN(INDEX('Vendor COIs'!$F$4:$F$503,(_calc!$E$911-500)))=0,"",INDEX('Vendor COIs'!$F$4:$F$503,(_calc!$E$911-500))))=0,"","Meets minimum: "&amp;IF(LEN(INDEX('Vendor COIs'!$F$4:$F$503,(_calc!$E$911-500)))=0,"",INDEX('Vendor COIs'!$F$4:$F$503,(_calc!$E$911-500)))&amp;". ")&amp;IF(LEN(IF(LEN(INDEX('Vendor COIs'!$G$4:$G$503,(_calc!$E$911-500)))=0,"",INDEX('Vendor COIs'!$G$4:$G$503,(_calc!$E$911-500))))=0,"","Additional insured: "&amp;IF(LEN(INDEX('Vendor COIs'!$G$4:$G$503,(_calc!$E$911-500)))=0,"",INDEX('Vendor COIs'!$G$4:$G$503,(_calc!$E$911-500)))&amp;". ")&amp;IF(LEN(IF(LEN(INDEX('Vendor COIs'!$M$4:$M$503,(_calc!$E$911-500)))=0,"",INDEX('Vendor COIs'!$M$4:$M$503,(_calc!$E$911-500))))=0,"","Vendor contact: "&amp;IF(LEN(INDEX('Vendor COIs'!$M$4:$M$503,(_calc!$E$911-500)))=0,"",INDEX('Vendor COIs'!$M$4:$M$503,(_calc!$E$911-500)))&amp;". ")&amp;IF(LEN(IF(LEN(INDEX('Vendor COIs'!$P$4:$P$503,(_calc!$E$911-500)))=0,"",INDEX('Vendor COIs'!$P$4:$P$503,(_calc!$E$911-500))))=0,"",IF(LEN(INDEX('Vendor COIs'!$P$4:$P$503,(_calc!$E$911-500)))=0,"",INDEX('Vendor COIs'!$P$4:$P$503,(_calc!$E$911-500)))))))</f>
        <v/>
      </c>
      <c r="G909" s="46">
        <f>IF(_calc!$E$911="","",IF(_calc!$E$911&lt;=500,IF(LEN(INDEX('Our policies'!$R$4:$R$503,_calc!$E$911))=0,"",INDEX('Our policies'!$R$4:$R$503,_calc!$E$911)),IF(LEN(INDEX('Vendor COIs'!$O$4:$O$503,(_calc!$E$911-500)))=0,"",INDEX('Vendor COIs'!$O$4:$O$503,(_calc!$E$911-500)))))</f>
        <v/>
      </c>
      <c r="H909" s="46">
        <f>IF(_calc!$E$911="","",IF(_calc!$E$911&lt;=500,IF(LEN(INDEX('Our policies'!$G$4:$G$503,_calc!$E$911))=0,"",INDEX('Our policies'!$G$4:$G$503,_calc!$E$911)),""))</f>
        <v/>
      </c>
      <c r="I909" s="46">
        <f>IF(_calc!$E$911="","",IF(_calc!$E$911&lt;=500,IF(LEN(INDEX('Our policies'!$H$4:$H$503,_calc!$E$911))=0,"",INDEX('Our policies'!$H$4:$H$503,_calc!$E$911)),""))</f>
        <v/>
      </c>
      <c r="K909" s="46">
        <f>IF(_calc!$E$911="","",IF(_calc!$E$911&lt;=500,IF(LEN(INDEX('Our policies'!$P$4:$P$503,_calc!$E$911))=0,"",INDEX('Our policies'!$P$4:$P$503,_calc!$E$911)),IF(LEN(INDEX('Vendor COIs'!$N$4:$N$503,(_calc!$E$911-500)))=0,"",INDEX('Vendor COIs'!$N$4:$N$503,(_calc!$E$911-500)))))</f>
        <v/>
      </c>
    </row>
    <row r="910">
      <c r="A910" s="46">
        <f>IF(_calc!$E$912="","",IF(_calc!$E$912&lt;=500,IF(LEN(INDEX('Our policies'!$A$4:$A$503,_calc!$E$912))=0,"",INDEX('Our policies'!$A$4:$A$503,_calc!$E$912)),"COI – "&amp;IF(LEN(INDEX('Vendor COIs'!$A$4:$A$503,(_calc!$E$912-500)))=0,"",INDEX('Vendor COIs'!$A$4:$A$503,(_calc!$E$912-500)))&amp;" – "&amp;IF(LEN(INDEX('Vendor COIs'!$B$4:$B$503,(_calc!$E$912-500)))=0,"",INDEX('Vendor COIs'!$B$4:$B$503,(_calc!$E$912-500)))))</f>
        <v/>
      </c>
      <c r="B910" s="46">
        <f>IF(_calc!$E$912="","",IF(_calc!$E$912&lt;=500,IF(ISNUMBER(INDEX('Our policies'!$J$4:$J$503,_calc!$E$912)),TEXT(INDEX('Our policies'!$J$4:$J$503,_calc!$E$912),"yyyy-mm-dd"),""),IF(ISNUMBER(INDEX('Vendor COIs'!$H$4:$H$503,(_calc!$E$912-500))),TEXT(INDEX('Vendor COIs'!$H$4:$H$503,(_calc!$E$912-500)),"yyyy-mm-dd"),"")))</f>
        <v/>
      </c>
      <c r="C910" s="46">
        <f>IF(_calc!$E$912="","",IF(_calc!$E$912&lt;=500,"Insurance","Certificate of insurance"))</f>
        <v/>
      </c>
      <c r="D910" s="46">
        <f>IF(_calc!$E$912="","",IF(_calc!$E$912&lt;=500,IF(ISNUMBER(INDEX('Our policies'!$I$4:$I$503,_calc!$E$912)),TEXT(INDEX('Our policies'!$I$4:$I$503,_calc!$E$912),"yyyy-mm-dd"),""),""))</f>
        <v/>
      </c>
      <c r="E910" s="46">
        <f>IF(_calc!$E$912="","",IF(_calc!$E$912&lt;=500,IF(LEN(INDEX('Our policies'!$Q$4:$Q$503,_calc!$E$912))=0,"",INDEX('Our policies'!$Q$4:$Q$503,_calc!$E$912)),"Medium"))</f>
        <v/>
      </c>
      <c r="F910" s="46">
        <f>IF(_calc!$E$912="","",IF(_calc!$E$912&lt;=500,TRIM(IF(LEN(IF(LEN(INDEX('Our policies'!$B$4:$B$503,_calc!$E$912))=0,"",INDEX('Our policies'!$B$4:$B$503,_calc!$E$912)))=0,"","Cover: "&amp;IF(LEN(INDEX('Our policies'!$B$4:$B$503,_calc!$E$912))=0,"",INDEX('Our policies'!$B$4:$B$503,_calc!$E$912))&amp;". ")&amp;IF(LEN(IF(LEN(INDEX('Our policies'!$C$4:$C$503,_calc!$E$912))=0,"",INDEX('Our policies'!$C$4:$C$503,_calc!$E$912)))=0,"","Insurer: "&amp;IF(LEN(INDEX('Our policies'!$C$4:$C$503,_calc!$E$912))=0,"",INDEX('Our policies'!$C$4:$C$503,_calc!$E$912))&amp;". ")&amp;IF(LEN(IF(LEN(INDEX('Our policies'!$D$4:$D$503,_calc!$E$912))=0,"",INDEX('Our policies'!$D$4:$D$503,_calc!$E$912)))=0,"","Broker: "&amp;IF(LEN(INDEX('Our policies'!$D$4:$D$503,_calc!$E$912))=0,"",INDEX('Our policies'!$D$4:$D$503,_calc!$E$912))&amp;". ")&amp;IF(LEN(IF(LEN(INDEX('Our policies'!$E$4:$E$503,_calc!$E$912))=0,"",INDEX('Our policies'!$E$4:$E$503,_calc!$E$912)))=0,"","Policy no.: "&amp;IF(LEN(INDEX('Our policies'!$E$4:$E$503,_calc!$E$912))=0,"",INDEX('Our policies'!$E$4:$E$503,_calc!$E$912))&amp;". ")&amp;IF(LEN(IF(LEN(INDEX('Our policies'!$S$4:$S$503,_calc!$E$912))=0,"",INDEX('Our policies'!$S$4:$S$503,_calc!$E$912)))=0,"",IF(LEN(INDEX('Our policies'!$S$4:$S$503,_calc!$E$912))=0,"",INDEX('Our policies'!$S$4:$S$503,_calc!$E$912)))),TRIM(IF(LEN(IF(LEN(INDEX('Vendor COIs'!$C$4:$C$503,(_calc!$E$912-500)))=0,"",INDEX('Vendor COIs'!$C$4:$C$503,(_calc!$E$912-500))))=0,"","Insurer: "&amp;IF(LEN(INDEX('Vendor COIs'!$C$4:$C$503,(_calc!$E$912-500)))=0,"",INDEX('Vendor COIs'!$C$4:$C$503,(_calc!$E$912-500)))&amp;". ")&amp;IF(LEN(IF(LEN(INDEX('Vendor COIs'!$D$4:$D$503,(_calc!$E$912-500)))=0,"",INDEX('Vendor COIs'!$D$4:$D$503,(_calc!$E$912-500))))=0,"","Policy no.: "&amp;IF(LEN(INDEX('Vendor COIs'!$D$4:$D$503,(_calc!$E$912-500)))=0,"",INDEX('Vendor COIs'!$D$4:$D$503,(_calc!$E$912-500)))&amp;". ")&amp;IF(LEN(IF(LEN(INDEX('Vendor COIs'!$F$4:$F$503,(_calc!$E$912-500)))=0,"",INDEX('Vendor COIs'!$F$4:$F$503,(_calc!$E$912-500))))=0,"","Meets minimum: "&amp;IF(LEN(INDEX('Vendor COIs'!$F$4:$F$503,(_calc!$E$912-500)))=0,"",INDEX('Vendor COIs'!$F$4:$F$503,(_calc!$E$912-500)))&amp;". ")&amp;IF(LEN(IF(LEN(INDEX('Vendor COIs'!$G$4:$G$503,(_calc!$E$912-500)))=0,"",INDEX('Vendor COIs'!$G$4:$G$503,(_calc!$E$912-500))))=0,"","Additional insured: "&amp;IF(LEN(INDEX('Vendor COIs'!$G$4:$G$503,(_calc!$E$912-500)))=0,"",INDEX('Vendor COIs'!$G$4:$G$503,(_calc!$E$912-500)))&amp;". ")&amp;IF(LEN(IF(LEN(INDEX('Vendor COIs'!$M$4:$M$503,(_calc!$E$912-500)))=0,"",INDEX('Vendor COIs'!$M$4:$M$503,(_calc!$E$912-500))))=0,"","Vendor contact: "&amp;IF(LEN(INDEX('Vendor COIs'!$M$4:$M$503,(_calc!$E$912-500)))=0,"",INDEX('Vendor COIs'!$M$4:$M$503,(_calc!$E$912-500)))&amp;". ")&amp;IF(LEN(IF(LEN(INDEX('Vendor COIs'!$P$4:$P$503,(_calc!$E$912-500)))=0,"",INDEX('Vendor COIs'!$P$4:$P$503,(_calc!$E$912-500))))=0,"",IF(LEN(INDEX('Vendor COIs'!$P$4:$P$503,(_calc!$E$912-500)))=0,"",INDEX('Vendor COIs'!$P$4:$P$503,(_calc!$E$912-500)))))))</f>
        <v/>
      </c>
      <c r="G910" s="46">
        <f>IF(_calc!$E$912="","",IF(_calc!$E$912&lt;=500,IF(LEN(INDEX('Our policies'!$R$4:$R$503,_calc!$E$912))=0,"",INDEX('Our policies'!$R$4:$R$503,_calc!$E$912)),IF(LEN(INDEX('Vendor COIs'!$O$4:$O$503,(_calc!$E$912-500)))=0,"",INDEX('Vendor COIs'!$O$4:$O$503,(_calc!$E$912-500)))))</f>
        <v/>
      </c>
      <c r="H910" s="46">
        <f>IF(_calc!$E$912="","",IF(_calc!$E$912&lt;=500,IF(LEN(INDEX('Our policies'!$G$4:$G$503,_calc!$E$912))=0,"",INDEX('Our policies'!$G$4:$G$503,_calc!$E$912)),""))</f>
        <v/>
      </c>
      <c r="I910" s="46">
        <f>IF(_calc!$E$912="","",IF(_calc!$E$912&lt;=500,IF(LEN(INDEX('Our policies'!$H$4:$H$503,_calc!$E$912))=0,"",INDEX('Our policies'!$H$4:$H$503,_calc!$E$912)),""))</f>
        <v/>
      </c>
      <c r="K910" s="46">
        <f>IF(_calc!$E$912="","",IF(_calc!$E$912&lt;=500,IF(LEN(INDEX('Our policies'!$P$4:$P$503,_calc!$E$912))=0,"",INDEX('Our policies'!$P$4:$P$503,_calc!$E$912)),IF(LEN(INDEX('Vendor COIs'!$N$4:$N$503,(_calc!$E$912-500)))=0,"",INDEX('Vendor COIs'!$N$4:$N$503,(_calc!$E$912-500)))))</f>
        <v/>
      </c>
    </row>
    <row r="911">
      <c r="A911" s="46">
        <f>IF(_calc!$E$913="","",IF(_calc!$E$913&lt;=500,IF(LEN(INDEX('Our policies'!$A$4:$A$503,_calc!$E$913))=0,"",INDEX('Our policies'!$A$4:$A$503,_calc!$E$913)),"COI – "&amp;IF(LEN(INDEX('Vendor COIs'!$A$4:$A$503,(_calc!$E$913-500)))=0,"",INDEX('Vendor COIs'!$A$4:$A$503,(_calc!$E$913-500)))&amp;" – "&amp;IF(LEN(INDEX('Vendor COIs'!$B$4:$B$503,(_calc!$E$913-500)))=0,"",INDEX('Vendor COIs'!$B$4:$B$503,(_calc!$E$913-500)))))</f>
        <v/>
      </c>
      <c r="B911" s="46">
        <f>IF(_calc!$E$913="","",IF(_calc!$E$913&lt;=500,IF(ISNUMBER(INDEX('Our policies'!$J$4:$J$503,_calc!$E$913)),TEXT(INDEX('Our policies'!$J$4:$J$503,_calc!$E$913),"yyyy-mm-dd"),""),IF(ISNUMBER(INDEX('Vendor COIs'!$H$4:$H$503,(_calc!$E$913-500))),TEXT(INDEX('Vendor COIs'!$H$4:$H$503,(_calc!$E$913-500)),"yyyy-mm-dd"),"")))</f>
        <v/>
      </c>
      <c r="C911" s="46">
        <f>IF(_calc!$E$913="","",IF(_calc!$E$913&lt;=500,"Insurance","Certificate of insurance"))</f>
        <v/>
      </c>
      <c r="D911" s="46">
        <f>IF(_calc!$E$913="","",IF(_calc!$E$913&lt;=500,IF(ISNUMBER(INDEX('Our policies'!$I$4:$I$503,_calc!$E$913)),TEXT(INDEX('Our policies'!$I$4:$I$503,_calc!$E$913),"yyyy-mm-dd"),""),""))</f>
        <v/>
      </c>
      <c r="E911" s="46">
        <f>IF(_calc!$E$913="","",IF(_calc!$E$913&lt;=500,IF(LEN(INDEX('Our policies'!$Q$4:$Q$503,_calc!$E$913))=0,"",INDEX('Our policies'!$Q$4:$Q$503,_calc!$E$913)),"Medium"))</f>
        <v/>
      </c>
      <c r="F911" s="46">
        <f>IF(_calc!$E$913="","",IF(_calc!$E$913&lt;=500,TRIM(IF(LEN(IF(LEN(INDEX('Our policies'!$B$4:$B$503,_calc!$E$913))=0,"",INDEX('Our policies'!$B$4:$B$503,_calc!$E$913)))=0,"","Cover: "&amp;IF(LEN(INDEX('Our policies'!$B$4:$B$503,_calc!$E$913))=0,"",INDEX('Our policies'!$B$4:$B$503,_calc!$E$913))&amp;". ")&amp;IF(LEN(IF(LEN(INDEX('Our policies'!$C$4:$C$503,_calc!$E$913))=0,"",INDEX('Our policies'!$C$4:$C$503,_calc!$E$913)))=0,"","Insurer: "&amp;IF(LEN(INDEX('Our policies'!$C$4:$C$503,_calc!$E$913))=0,"",INDEX('Our policies'!$C$4:$C$503,_calc!$E$913))&amp;". ")&amp;IF(LEN(IF(LEN(INDEX('Our policies'!$D$4:$D$503,_calc!$E$913))=0,"",INDEX('Our policies'!$D$4:$D$503,_calc!$E$913)))=0,"","Broker: "&amp;IF(LEN(INDEX('Our policies'!$D$4:$D$503,_calc!$E$913))=0,"",INDEX('Our policies'!$D$4:$D$503,_calc!$E$913))&amp;". ")&amp;IF(LEN(IF(LEN(INDEX('Our policies'!$E$4:$E$503,_calc!$E$913))=0,"",INDEX('Our policies'!$E$4:$E$503,_calc!$E$913)))=0,"","Policy no.: "&amp;IF(LEN(INDEX('Our policies'!$E$4:$E$503,_calc!$E$913))=0,"",INDEX('Our policies'!$E$4:$E$503,_calc!$E$913))&amp;". ")&amp;IF(LEN(IF(LEN(INDEX('Our policies'!$S$4:$S$503,_calc!$E$913))=0,"",INDEX('Our policies'!$S$4:$S$503,_calc!$E$913)))=0,"",IF(LEN(INDEX('Our policies'!$S$4:$S$503,_calc!$E$913))=0,"",INDEX('Our policies'!$S$4:$S$503,_calc!$E$913)))),TRIM(IF(LEN(IF(LEN(INDEX('Vendor COIs'!$C$4:$C$503,(_calc!$E$913-500)))=0,"",INDEX('Vendor COIs'!$C$4:$C$503,(_calc!$E$913-500))))=0,"","Insurer: "&amp;IF(LEN(INDEX('Vendor COIs'!$C$4:$C$503,(_calc!$E$913-500)))=0,"",INDEX('Vendor COIs'!$C$4:$C$503,(_calc!$E$913-500)))&amp;". ")&amp;IF(LEN(IF(LEN(INDEX('Vendor COIs'!$D$4:$D$503,(_calc!$E$913-500)))=0,"",INDEX('Vendor COIs'!$D$4:$D$503,(_calc!$E$913-500))))=0,"","Policy no.: "&amp;IF(LEN(INDEX('Vendor COIs'!$D$4:$D$503,(_calc!$E$913-500)))=0,"",INDEX('Vendor COIs'!$D$4:$D$503,(_calc!$E$913-500)))&amp;". ")&amp;IF(LEN(IF(LEN(INDEX('Vendor COIs'!$F$4:$F$503,(_calc!$E$913-500)))=0,"",INDEX('Vendor COIs'!$F$4:$F$503,(_calc!$E$913-500))))=0,"","Meets minimum: "&amp;IF(LEN(INDEX('Vendor COIs'!$F$4:$F$503,(_calc!$E$913-500)))=0,"",INDEX('Vendor COIs'!$F$4:$F$503,(_calc!$E$913-500)))&amp;". ")&amp;IF(LEN(IF(LEN(INDEX('Vendor COIs'!$G$4:$G$503,(_calc!$E$913-500)))=0,"",INDEX('Vendor COIs'!$G$4:$G$503,(_calc!$E$913-500))))=0,"","Additional insured: "&amp;IF(LEN(INDEX('Vendor COIs'!$G$4:$G$503,(_calc!$E$913-500)))=0,"",INDEX('Vendor COIs'!$G$4:$G$503,(_calc!$E$913-500)))&amp;". ")&amp;IF(LEN(IF(LEN(INDEX('Vendor COIs'!$M$4:$M$503,(_calc!$E$913-500)))=0,"",INDEX('Vendor COIs'!$M$4:$M$503,(_calc!$E$913-500))))=0,"","Vendor contact: "&amp;IF(LEN(INDEX('Vendor COIs'!$M$4:$M$503,(_calc!$E$913-500)))=0,"",INDEX('Vendor COIs'!$M$4:$M$503,(_calc!$E$913-500)))&amp;". ")&amp;IF(LEN(IF(LEN(INDEX('Vendor COIs'!$P$4:$P$503,(_calc!$E$913-500)))=0,"",INDEX('Vendor COIs'!$P$4:$P$503,(_calc!$E$913-500))))=0,"",IF(LEN(INDEX('Vendor COIs'!$P$4:$P$503,(_calc!$E$913-500)))=0,"",INDEX('Vendor COIs'!$P$4:$P$503,(_calc!$E$913-500)))))))</f>
        <v/>
      </c>
      <c r="G911" s="46">
        <f>IF(_calc!$E$913="","",IF(_calc!$E$913&lt;=500,IF(LEN(INDEX('Our policies'!$R$4:$R$503,_calc!$E$913))=0,"",INDEX('Our policies'!$R$4:$R$503,_calc!$E$913)),IF(LEN(INDEX('Vendor COIs'!$O$4:$O$503,(_calc!$E$913-500)))=0,"",INDEX('Vendor COIs'!$O$4:$O$503,(_calc!$E$913-500)))))</f>
        <v/>
      </c>
      <c r="H911" s="46">
        <f>IF(_calc!$E$913="","",IF(_calc!$E$913&lt;=500,IF(LEN(INDEX('Our policies'!$G$4:$G$503,_calc!$E$913))=0,"",INDEX('Our policies'!$G$4:$G$503,_calc!$E$913)),""))</f>
        <v/>
      </c>
      <c r="I911" s="46">
        <f>IF(_calc!$E$913="","",IF(_calc!$E$913&lt;=500,IF(LEN(INDEX('Our policies'!$H$4:$H$503,_calc!$E$913))=0,"",INDEX('Our policies'!$H$4:$H$503,_calc!$E$913)),""))</f>
        <v/>
      </c>
      <c r="K911" s="46">
        <f>IF(_calc!$E$913="","",IF(_calc!$E$913&lt;=500,IF(LEN(INDEX('Our policies'!$P$4:$P$503,_calc!$E$913))=0,"",INDEX('Our policies'!$P$4:$P$503,_calc!$E$913)),IF(LEN(INDEX('Vendor COIs'!$N$4:$N$503,(_calc!$E$913-500)))=0,"",INDEX('Vendor COIs'!$N$4:$N$503,(_calc!$E$913-500)))))</f>
        <v/>
      </c>
    </row>
    <row r="912">
      <c r="A912" s="46">
        <f>IF(_calc!$E$914="","",IF(_calc!$E$914&lt;=500,IF(LEN(INDEX('Our policies'!$A$4:$A$503,_calc!$E$914))=0,"",INDEX('Our policies'!$A$4:$A$503,_calc!$E$914)),"COI – "&amp;IF(LEN(INDEX('Vendor COIs'!$A$4:$A$503,(_calc!$E$914-500)))=0,"",INDEX('Vendor COIs'!$A$4:$A$503,(_calc!$E$914-500)))&amp;" – "&amp;IF(LEN(INDEX('Vendor COIs'!$B$4:$B$503,(_calc!$E$914-500)))=0,"",INDEX('Vendor COIs'!$B$4:$B$503,(_calc!$E$914-500)))))</f>
        <v/>
      </c>
      <c r="B912" s="46">
        <f>IF(_calc!$E$914="","",IF(_calc!$E$914&lt;=500,IF(ISNUMBER(INDEX('Our policies'!$J$4:$J$503,_calc!$E$914)),TEXT(INDEX('Our policies'!$J$4:$J$503,_calc!$E$914),"yyyy-mm-dd"),""),IF(ISNUMBER(INDEX('Vendor COIs'!$H$4:$H$503,(_calc!$E$914-500))),TEXT(INDEX('Vendor COIs'!$H$4:$H$503,(_calc!$E$914-500)),"yyyy-mm-dd"),"")))</f>
        <v/>
      </c>
      <c r="C912" s="46">
        <f>IF(_calc!$E$914="","",IF(_calc!$E$914&lt;=500,"Insurance","Certificate of insurance"))</f>
        <v/>
      </c>
      <c r="D912" s="46">
        <f>IF(_calc!$E$914="","",IF(_calc!$E$914&lt;=500,IF(ISNUMBER(INDEX('Our policies'!$I$4:$I$503,_calc!$E$914)),TEXT(INDEX('Our policies'!$I$4:$I$503,_calc!$E$914),"yyyy-mm-dd"),""),""))</f>
        <v/>
      </c>
      <c r="E912" s="46">
        <f>IF(_calc!$E$914="","",IF(_calc!$E$914&lt;=500,IF(LEN(INDEX('Our policies'!$Q$4:$Q$503,_calc!$E$914))=0,"",INDEX('Our policies'!$Q$4:$Q$503,_calc!$E$914)),"Medium"))</f>
        <v/>
      </c>
      <c r="F912" s="46">
        <f>IF(_calc!$E$914="","",IF(_calc!$E$914&lt;=500,TRIM(IF(LEN(IF(LEN(INDEX('Our policies'!$B$4:$B$503,_calc!$E$914))=0,"",INDEX('Our policies'!$B$4:$B$503,_calc!$E$914)))=0,"","Cover: "&amp;IF(LEN(INDEX('Our policies'!$B$4:$B$503,_calc!$E$914))=0,"",INDEX('Our policies'!$B$4:$B$503,_calc!$E$914))&amp;". ")&amp;IF(LEN(IF(LEN(INDEX('Our policies'!$C$4:$C$503,_calc!$E$914))=0,"",INDEX('Our policies'!$C$4:$C$503,_calc!$E$914)))=0,"","Insurer: "&amp;IF(LEN(INDEX('Our policies'!$C$4:$C$503,_calc!$E$914))=0,"",INDEX('Our policies'!$C$4:$C$503,_calc!$E$914))&amp;". ")&amp;IF(LEN(IF(LEN(INDEX('Our policies'!$D$4:$D$503,_calc!$E$914))=0,"",INDEX('Our policies'!$D$4:$D$503,_calc!$E$914)))=0,"","Broker: "&amp;IF(LEN(INDEX('Our policies'!$D$4:$D$503,_calc!$E$914))=0,"",INDEX('Our policies'!$D$4:$D$503,_calc!$E$914))&amp;". ")&amp;IF(LEN(IF(LEN(INDEX('Our policies'!$E$4:$E$503,_calc!$E$914))=0,"",INDEX('Our policies'!$E$4:$E$503,_calc!$E$914)))=0,"","Policy no.: "&amp;IF(LEN(INDEX('Our policies'!$E$4:$E$503,_calc!$E$914))=0,"",INDEX('Our policies'!$E$4:$E$503,_calc!$E$914))&amp;". ")&amp;IF(LEN(IF(LEN(INDEX('Our policies'!$S$4:$S$503,_calc!$E$914))=0,"",INDEX('Our policies'!$S$4:$S$503,_calc!$E$914)))=0,"",IF(LEN(INDEX('Our policies'!$S$4:$S$503,_calc!$E$914))=0,"",INDEX('Our policies'!$S$4:$S$503,_calc!$E$914)))),TRIM(IF(LEN(IF(LEN(INDEX('Vendor COIs'!$C$4:$C$503,(_calc!$E$914-500)))=0,"",INDEX('Vendor COIs'!$C$4:$C$503,(_calc!$E$914-500))))=0,"","Insurer: "&amp;IF(LEN(INDEX('Vendor COIs'!$C$4:$C$503,(_calc!$E$914-500)))=0,"",INDEX('Vendor COIs'!$C$4:$C$503,(_calc!$E$914-500)))&amp;". ")&amp;IF(LEN(IF(LEN(INDEX('Vendor COIs'!$D$4:$D$503,(_calc!$E$914-500)))=0,"",INDEX('Vendor COIs'!$D$4:$D$503,(_calc!$E$914-500))))=0,"","Policy no.: "&amp;IF(LEN(INDEX('Vendor COIs'!$D$4:$D$503,(_calc!$E$914-500)))=0,"",INDEX('Vendor COIs'!$D$4:$D$503,(_calc!$E$914-500)))&amp;". ")&amp;IF(LEN(IF(LEN(INDEX('Vendor COIs'!$F$4:$F$503,(_calc!$E$914-500)))=0,"",INDEX('Vendor COIs'!$F$4:$F$503,(_calc!$E$914-500))))=0,"","Meets minimum: "&amp;IF(LEN(INDEX('Vendor COIs'!$F$4:$F$503,(_calc!$E$914-500)))=0,"",INDEX('Vendor COIs'!$F$4:$F$503,(_calc!$E$914-500)))&amp;". ")&amp;IF(LEN(IF(LEN(INDEX('Vendor COIs'!$G$4:$G$503,(_calc!$E$914-500)))=0,"",INDEX('Vendor COIs'!$G$4:$G$503,(_calc!$E$914-500))))=0,"","Additional insured: "&amp;IF(LEN(INDEX('Vendor COIs'!$G$4:$G$503,(_calc!$E$914-500)))=0,"",INDEX('Vendor COIs'!$G$4:$G$503,(_calc!$E$914-500)))&amp;". ")&amp;IF(LEN(IF(LEN(INDEX('Vendor COIs'!$M$4:$M$503,(_calc!$E$914-500)))=0,"",INDEX('Vendor COIs'!$M$4:$M$503,(_calc!$E$914-500))))=0,"","Vendor contact: "&amp;IF(LEN(INDEX('Vendor COIs'!$M$4:$M$503,(_calc!$E$914-500)))=0,"",INDEX('Vendor COIs'!$M$4:$M$503,(_calc!$E$914-500)))&amp;". ")&amp;IF(LEN(IF(LEN(INDEX('Vendor COIs'!$P$4:$P$503,(_calc!$E$914-500)))=0,"",INDEX('Vendor COIs'!$P$4:$P$503,(_calc!$E$914-500))))=0,"",IF(LEN(INDEX('Vendor COIs'!$P$4:$P$503,(_calc!$E$914-500)))=0,"",INDEX('Vendor COIs'!$P$4:$P$503,(_calc!$E$914-500)))))))</f>
        <v/>
      </c>
      <c r="G912" s="46">
        <f>IF(_calc!$E$914="","",IF(_calc!$E$914&lt;=500,IF(LEN(INDEX('Our policies'!$R$4:$R$503,_calc!$E$914))=0,"",INDEX('Our policies'!$R$4:$R$503,_calc!$E$914)),IF(LEN(INDEX('Vendor COIs'!$O$4:$O$503,(_calc!$E$914-500)))=0,"",INDEX('Vendor COIs'!$O$4:$O$503,(_calc!$E$914-500)))))</f>
        <v/>
      </c>
      <c r="H912" s="46">
        <f>IF(_calc!$E$914="","",IF(_calc!$E$914&lt;=500,IF(LEN(INDEX('Our policies'!$G$4:$G$503,_calc!$E$914))=0,"",INDEX('Our policies'!$G$4:$G$503,_calc!$E$914)),""))</f>
        <v/>
      </c>
      <c r="I912" s="46">
        <f>IF(_calc!$E$914="","",IF(_calc!$E$914&lt;=500,IF(LEN(INDEX('Our policies'!$H$4:$H$503,_calc!$E$914))=0,"",INDEX('Our policies'!$H$4:$H$503,_calc!$E$914)),""))</f>
        <v/>
      </c>
      <c r="K912" s="46">
        <f>IF(_calc!$E$914="","",IF(_calc!$E$914&lt;=500,IF(LEN(INDEX('Our policies'!$P$4:$P$503,_calc!$E$914))=0,"",INDEX('Our policies'!$P$4:$P$503,_calc!$E$914)),IF(LEN(INDEX('Vendor COIs'!$N$4:$N$503,(_calc!$E$914-500)))=0,"",INDEX('Vendor COIs'!$N$4:$N$503,(_calc!$E$914-500)))))</f>
        <v/>
      </c>
    </row>
    <row r="913">
      <c r="A913" s="46">
        <f>IF(_calc!$E$915="","",IF(_calc!$E$915&lt;=500,IF(LEN(INDEX('Our policies'!$A$4:$A$503,_calc!$E$915))=0,"",INDEX('Our policies'!$A$4:$A$503,_calc!$E$915)),"COI – "&amp;IF(LEN(INDEX('Vendor COIs'!$A$4:$A$503,(_calc!$E$915-500)))=0,"",INDEX('Vendor COIs'!$A$4:$A$503,(_calc!$E$915-500)))&amp;" – "&amp;IF(LEN(INDEX('Vendor COIs'!$B$4:$B$503,(_calc!$E$915-500)))=0,"",INDEX('Vendor COIs'!$B$4:$B$503,(_calc!$E$915-500)))))</f>
        <v/>
      </c>
      <c r="B913" s="46">
        <f>IF(_calc!$E$915="","",IF(_calc!$E$915&lt;=500,IF(ISNUMBER(INDEX('Our policies'!$J$4:$J$503,_calc!$E$915)),TEXT(INDEX('Our policies'!$J$4:$J$503,_calc!$E$915),"yyyy-mm-dd"),""),IF(ISNUMBER(INDEX('Vendor COIs'!$H$4:$H$503,(_calc!$E$915-500))),TEXT(INDEX('Vendor COIs'!$H$4:$H$503,(_calc!$E$915-500)),"yyyy-mm-dd"),"")))</f>
        <v/>
      </c>
      <c r="C913" s="46">
        <f>IF(_calc!$E$915="","",IF(_calc!$E$915&lt;=500,"Insurance","Certificate of insurance"))</f>
        <v/>
      </c>
      <c r="D913" s="46">
        <f>IF(_calc!$E$915="","",IF(_calc!$E$915&lt;=500,IF(ISNUMBER(INDEX('Our policies'!$I$4:$I$503,_calc!$E$915)),TEXT(INDEX('Our policies'!$I$4:$I$503,_calc!$E$915),"yyyy-mm-dd"),""),""))</f>
        <v/>
      </c>
      <c r="E913" s="46">
        <f>IF(_calc!$E$915="","",IF(_calc!$E$915&lt;=500,IF(LEN(INDEX('Our policies'!$Q$4:$Q$503,_calc!$E$915))=0,"",INDEX('Our policies'!$Q$4:$Q$503,_calc!$E$915)),"Medium"))</f>
        <v/>
      </c>
      <c r="F913" s="46">
        <f>IF(_calc!$E$915="","",IF(_calc!$E$915&lt;=500,TRIM(IF(LEN(IF(LEN(INDEX('Our policies'!$B$4:$B$503,_calc!$E$915))=0,"",INDEX('Our policies'!$B$4:$B$503,_calc!$E$915)))=0,"","Cover: "&amp;IF(LEN(INDEX('Our policies'!$B$4:$B$503,_calc!$E$915))=0,"",INDEX('Our policies'!$B$4:$B$503,_calc!$E$915))&amp;". ")&amp;IF(LEN(IF(LEN(INDEX('Our policies'!$C$4:$C$503,_calc!$E$915))=0,"",INDEX('Our policies'!$C$4:$C$503,_calc!$E$915)))=0,"","Insurer: "&amp;IF(LEN(INDEX('Our policies'!$C$4:$C$503,_calc!$E$915))=0,"",INDEX('Our policies'!$C$4:$C$503,_calc!$E$915))&amp;". ")&amp;IF(LEN(IF(LEN(INDEX('Our policies'!$D$4:$D$503,_calc!$E$915))=0,"",INDEX('Our policies'!$D$4:$D$503,_calc!$E$915)))=0,"","Broker: "&amp;IF(LEN(INDEX('Our policies'!$D$4:$D$503,_calc!$E$915))=0,"",INDEX('Our policies'!$D$4:$D$503,_calc!$E$915))&amp;". ")&amp;IF(LEN(IF(LEN(INDEX('Our policies'!$E$4:$E$503,_calc!$E$915))=0,"",INDEX('Our policies'!$E$4:$E$503,_calc!$E$915)))=0,"","Policy no.: "&amp;IF(LEN(INDEX('Our policies'!$E$4:$E$503,_calc!$E$915))=0,"",INDEX('Our policies'!$E$4:$E$503,_calc!$E$915))&amp;". ")&amp;IF(LEN(IF(LEN(INDEX('Our policies'!$S$4:$S$503,_calc!$E$915))=0,"",INDEX('Our policies'!$S$4:$S$503,_calc!$E$915)))=0,"",IF(LEN(INDEX('Our policies'!$S$4:$S$503,_calc!$E$915))=0,"",INDEX('Our policies'!$S$4:$S$503,_calc!$E$915)))),TRIM(IF(LEN(IF(LEN(INDEX('Vendor COIs'!$C$4:$C$503,(_calc!$E$915-500)))=0,"",INDEX('Vendor COIs'!$C$4:$C$503,(_calc!$E$915-500))))=0,"","Insurer: "&amp;IF(LEN(INDEX('Vendor COIs'!$C$4:$C$503,(_calc!$E$915-500)))=0,"",INDEX('Vendor COIs'!$C$4:$C$503,(_calc!$E$915-500)))&amp;". ")&amp;IF(LEN(IF(LEN(INDEX('Vendor COIs'!$D$4:$D$503,(_calc!$E$915-500)))=0,"",INDEX('Vendor COIs'!$D$4:$D$503,(_calc!$E$915-500))))=0,"","Policy no.: "&amp;IF(LEN(INDEX('Vendor COIs'!$D$4:$D$503,(_calc!$E$915-500)))=0,"",INDEX('Vendor COIs'!$D$4:$D$503,(_calc!$E$915-500)))&amp;". ")&amp;IF(LEN(IF(LEN(INDEX('Vendor COIs'!$F$4:$F$503,(_calc!$E$915-500)))=0,"",INDEX('Vendor COIs'!$F$4:$F$503,(_calc!$E$915-500))))=0,"","Meets minimum: "&amp;IF(LEN(INDEX('Vendor COIs'!$F$4:$F$503,(_calc!$E$915-500)))=0,"",INDEX('Vendor COIs'!$F$4:$F$503,(_calc!$E$915-500)))&amp;". ")&amp;IF(LEN(IF(LEN(INDEX('Vendor COIs'!$G$4:$G$503,(_calc!$E$915-500)))=0,"",INDEX('Vendor COIs'!$G$4:$G$503,(_calc!$E$915-500))))=0,"","Additional insured: "&amp;IF(LEN(INDEX('Vendor COIs'!$G$4:$G$503,(_calc!$E$915-500)))=0,"",INDEX('Vendor COIs'!$G$4:$G$503,(_calc!$E$915-500)))&amp;". ")&amp;IF(LEN(IF(LEN(INDEX('Vendor COIs'!$M$4:$M$503,(_calc!$E$915-500)))=0,"",INDEX('Vendor COIs'!$M$4:$M$503,(_calc!$E$915-500))))=0,"","Vendor contact: "&amp;IF(LEN(INDEX('Vendor COIs'!$M$4:$M$503,(_calc!$E$915-500)))=0,"",INDEX('Vendor COIs'!$M$4:$M$503,(_calc!$E$915-500)))&amp;". ")&amp;IF(LEN(IF(LEN(INDEX('Vendor COIs'!$P$4:$P$503,(_calc!$E$915-500)))=0,"",INDEX('Vendor COIs'!$P$4:$P$503,(_calc!$E$915-500))))=0,"",IF(LEN(INDEX('Vendor COIs'!$P$4:$P$503,(_calc!$E$915-500)))=0,"",INDEX('Vendor COIs'!$P$4:$P$503,(_calc!$E$915-500)))))))</f>
        <v/>
      </c>
      <c r="G913" s="46">
        <f>IF(_calc!$E$915="","",IF(_calc!$E$915&lt;=500,IF(LEN(INDEX('Our policies'!$R$4:$R$503,_calc!$E$915))=0,"",INDEX('Our policies'!$R$4:$R$503,_calc!$E$915)),IF(LEN(INDEX('Vendor COIs'!$O$4:$O$503,(_calc!$E$915-500)))=0,"",INDEX('Vendor COIs'!$O$4:$O$503,(_calc!$E$915-500)))))</f>
        <v/>
      </c>
      <c r="H913" s="46">
        <f>IF(_calc!$E$915="","",IF(_calc!$E$915&lt;=500,IF(LEN(INDEX('Our policies'!$G$4:$G$503,_calc!$E$915))=0,"",INDEX('Our policies'!$G$4:$G$503,_calc!$E$915)),""))</f>
        <v/>
      </c>
      <c r="I913" s="46">
        <f>IF(_calc!$E$915="","",IF(_calc!$E$915&lt;=500,IF(LEN(INDEX('Our policies'!$H$4:$H$503,_calc!$E$915))=0,"",INDEX('Our policies'!$H$4:$H$503,_calc!$E$915)),""))</f>
        <v/>
      </c>
      <c r="K913" s="46">
        <f>IF(_calc!$E$915="","",IF(_calc!$E$915&lt;=500,IF(LEN(INDEX('Our policies'!$P$4:$P$503,_calc!$E$915))=0,"",INDEX('Our policies'!$P$4:$P$503,_calc!$E$915)),IF(LEN(INDEX('Vendor COIs'!$N$4:$N$503,(_calc!$E$915-500)))=0,"",INDEX('Vendor COIs'!$N$4:$N$503,(_calc!$E$915-500)))))</f>
        <v/>
      </c>
    </row>
    <row r="914">
      <c r="A914" s="46">
        <f>IF(_calc!$E$916="","",IF(_calc!$E$916&lt;=500,IF(LEN(INDEX('Our policies'!$A$4:$A$503,_calc!$E$916))=0,"",INDEX('Our policies'!$A$4:$A$503,_calc!$E$916)),"COI – "&amp;IF(LEN(INDEX('Vendor COIs'!$A$4:$A$503,(_calc!$E$916-500)))=0,"",INDEX('Vendor COIs'!$A$4:$A$503,(_calc!$E$916-500)))&amp;" – "&amp;IF(LEN(INDEX('Vendor COIs'!$B$4:$B$503,(_calc!$E$916-500)))=0,"",INDEX('Vendor COIs'!$B$4:$B$503,(_calc!$E$916-500)))))</f>
        <v/>
      </c>
      <c r="B914" s="46">
        <f>IF(_calc!$E$916="","",IF(_calc!$E$916&lt;=500,IF(ISNUMBER(INDEX('Our policies'!$J$4:$J$503,_calc!$E$916)),TEXT(INDEX('Our policies'!$J$4:$J$503,_calc!$E$916),"yyyy-mm-dd"),""),IF(ISNUMBER(INDEX('Vendor COIs'!$H$4:$H$503,(_calc!$E$916-500))),TEXT(INDEX('Vendor COIs'!$H$4:$H$503,(_calc!$E$916-500)),"yyyy-mm-dd"),"")))</f>
        <v/>
      </c>
      <c r="C914" s="46">
        <f>IF(_calc!$E$916="","",IF(_calc!$E$916&lt;=500,"Insurance","Certificate of insurance"))</f>
        <v/>
      </c>
      <c r="D914" s="46">
        <f>IF(_calc!$E$916="","",IF(_calc!$E$916&lt;=500,IF(ISNUMBER(INDEX('Our policies'!$I$4:$I$503,_calc!$E$916)),TEXT(INDEX('Our policies'!$I$4:$I$503,_calc!$E$916),"yyyy-mm-dd"),""),""))</f>
        <v/>
      </c>
      <c r="E914" s="46">
        <f>IF(_calc!$E$916="","",IF(_calc!$E$916&lt;=500,IF(LEN(INDEX('Our policies'!$Q$4:$Q$503,_calc!$E$916))=0,"",INDEX('Our policies'!$Q$4:$Q$503,_calc!$E$916)),"Medium"))</f>
        <v/>
      </c>
      <c r="F914" s="46">
        <f>IF(_calc!$E$916="","",IF(_calc!$E$916&lt;=500,TRIM(IF(LEN(IF(LEN(INDEX('Our policies'!$B$4:$B$503,_calc!$E$916))=0,"",INDEX('Our policies'!$B$4:$B$503,_calc!$E$916)))=0,"","Cover: "&amp;IF(LEN(INDEX('Our policies'!$B$4:$B$503,_calc!$E$916))=0,"",INDEX('Our policies'!$B$4:$B$503,_calc!$E$916))&amp;". ")&amp;IF(LEN(IF(LEN(INDEX('Our policies'!$C$4:$C$503,_calc!$E$916))=0,"",INDEX('Our policies'!$C$4:$C$503,_calc!$E$916)))=0,"","Insurer: "&amp;IF(LEN(INDEX('Our policies'!$C$4:$C$503,_calc!$E$916))=0,"",INDEX('Our policies'!$C$4:$C$503,_calc!$E$916))&amp;". ")&amp;IF(LEN(IF(LEN(INDEX('Our policies'!$D$4:$D$503,_calc!$E$916))=0,"",INDEX('Our policies'!$D$4:$D$503,_calc!$E$916)))=0,"","Broker: "&amp;IF(LEN(INDEX('Our policies'!$D$4:$D$503,_calc!$E$916))=0,"",INDEX('Our policies'!$D$4:$D$503,_calc!$E$916))&amp;". ")&amp;IF(LEN(IF(LEN(INDEX('Our policies'!$E$4:$E$503,_calc!$E$916))=0,"",INDEX('Our policies'!$E$4:$E$503,_calc!$E$916)))=0,"","Policy no.: "&amp;IF(LEN(INDEX('Our policies'!$E$4:$E$503,_calc!$E$916))=0,"",INDEX('Our policies'!$E$4:$E$503,_calc!$E$916))&amp;". ")&amp;IF(LEN(IF(LEN(INDEX('Our policies'!$S$4:$S$503,_calc!$E$916))=0,"",INDEX('Our policies'!$S$4:$S$503,_calc!$E$916)))=0,"",IF(LEN(INDEX('Our policies'!$S$4:$S$503,_calc!$E$916))=0,"",INDEX('Our policies'!$S$4:$S$503,_calc!$E$916)))),TRIM(IF(LEN(IF(LEN(INDEX('Vendor COIs'!$C$4:$C$503,(_calc!$E$916-500)))=0,"",INDEX('Vendor COIs'!$C$4:$C$503,(_calc!$E$916-500))))=0,"","Insurer: "&amp;IF(LEN(INDEX('Vendor COIs'!$C$4:$C$503,(_calc!$E$916-500)))=0,"",INDEX('Vendor COIs'!$C$4:$C$503,(_calc!$E$916-500)))&amp;". ")&amp;IF(LEN(IF(LEN(INDEX('Vendor COIs'!$D$4:$D$503,(_calc!$E$916-500)))=0,"",INDEX('Vendor COIs'!$D$4:$D$503,(_calc!$E$916-500))))=0,"","Policy no.: "&amp;IF(LEN(INDEX('Vendor COIs'!$D$4:$D$503,(_calc!$E$916-500)))=0,"",INDEX('Vendor COIs'!$D$4:$D$503,(_calc!$E$916-500)))&amp;". ")&amp;IF(LEN(IF(LEN(INDEX('Vendor COIs'!$F$4:$F$503,(_calc!$E$916-500)))=0,"",INDEX('Vendor COIs'!$F$4:$F$503,(_calc!$E$916-500))))=0,"","Meets minimum: "&amp;IF(LEN(INDEX('Vendor COIs'!$F$4:$F$503,(_calc!$E$916-500)))=0,"",INDEX('Vendor COIs'!$F$4:$F$503,(_calc!$E$916-500)))&amp;". ")&amp;IF(LEN(IF(LEN(INDEX('Vendor COIs'!$G$4:$G$503,(_calc!$E$916-500)))=0,"",INDEX('Vendor COIs'!$G$4:$G$503,(_calc!$E$916-500))))=0,"","Additional insured: "&amp;IF(LEN(INDEX('Vendor COIs'!$G$4:$G$503,(_calc!$E$916-500)))=0,"",INDEX('Vendor COIs'!$G$4:$G$503,(_calc!$E$916-500)))&amp;". ")&amp;IF(LEN(IF(LEN(INDEX('Vendor COIs'!$M$4:$M$503,(_calc!$E$916-500)))=0,"",INDEX('Vendor COIs'!$M$4:$M$503,(_calc!$E$916-500))))=0,"","Vendor contact: "&amp;IF(LEN(INDEX('Vendor COIs'!$M$4:$M$503,(_calc!$E$916-500)))=0,"",INDEX('Vendor COIs'!$M$4:$M$503,(_calc!$E$916-500)))&amp;". ")&amp;IF(LEN(IF(LEN(INDEX('Vendor COIs'!$P$4:$P$503,(_calc!$E$916-500)))=0,"",INDEX('Vendor COIs'!$P$4:$P$503,(_calc!$E$916-500))))=0,"",IF(LEN(INDEX('Vendor COIs'!$P$4:$P$503,(_calc!$E$916-500)))=0,"",INDEX('Vendor COIs'!$P$4:$P$503,(_calc!$E$916-500)))))))</f>
        <v/>
      </c>
      <c r="G914" s="46">
        <f>IF(_calc!$E$916="","",IF(_calc!$E$916&lt;=500,IF(LEN(INDEX('Our policies'!$R$4:$R$503,_calc!$E$916))=0,"",INDEX('Our policies'!$R$4:$R$503,_calc!$E$916)),IF(LEN(INDEX('Vendor COIs'!$O$4:$O$503,(_calc!$E$916-500)))=0,"",INDEX('Vendor COIs'!$O$4:$O$503,(_calc!$E$916-500)))))</f>
        <v/>
      </c>
      <c r="H914" s="46">
        <f>IF(_calc!$E$916="","",IF(_calc!$E$916&lt;=500,IF(LEN(INDEX('Our policies'!$G$4:$G$503,_calc!$E$916))=0,"",INDEX('Our policies'!$G$4:$G$503,_calc!$E$916)),""))</f>
        <v/>
      </c>
      <c r="I914" s="46">
        <f>IF(_calc!$E$916="","",IF(_calc!$E$916&lt;=500,IF(LEN(INDEX('Our policies'!$H$4:$H$503,_calc!$E$916))=0,"",INDEX('Our policies'!$H$4:$H$503,_calc!$E$916)),""))</f>
        <v/>
      </c>
      <c r="K914" s="46">
        <f>IF(_calc!$E$916="","",IF(_calc!$E$916&lt;=500,IF(LEN(INDEX('Our policies'!$P$4:$P$503,_calc!$E$916))=0,"",INDEX('Our policies'!$P$4:$P$503,_calc!$E$916)),IF(LEN(INDEX('Vendor COIs'!$N$4:$N$503,(_calc!$E$916-500)))=0,"",INDEX('Vendor COIs'!$N$4:$N$503,(_calc!$E$916-500)))))</f>
        <v/>
      </c>
    </row>
    <row r="915">
      <c r="A915" s="46">
        <f>IF(_calc!$E$917="","",IF(_calc!$E$917&lt;=500,IF(LEN(INDEX('Our policies'!$A$4:$A$503,_calc!$E$917))=0,"",INDEX('Our policies'!$A$4:$A$503,_calc!$E$917)),"COI – "&amp;IF(LEN(INDEX('Vendor COIs'!$A$4:$A$503,(_calc!$E$917-500)))=0,"",INDEX('Vendor COIs'!$A$4:$A$503,(_calc!$E$917-500)))&amp;" – "&amp;IF(LEN(INDEX('Vendor COIs'!$B$4:$B$503,(_calc!$E$917-500)))=0,"",INDEX('Vendor COIs'!$B$4:$B$503,(_calc!$E$917-500)))))</f>
        <v/>
      </c>
      <c r="B915" s="46">
        <f>IF(_calc!$E$917="","",IF(_calc!$E$917&lt;=500,IF(ISNUMBER(INDEX('Our policies'!$J$4:$J$503,_calc!$E$917)),TEXT(INDEX('Our policies'!$J$4:$J$503,_calc!$E$917),"yyyy-mm-dd"),""),IF(ISNUMBER(INDEX('Vendor COIs'!$H$4:$H$503,(_calc!$E$917-500))),TEXT(INDEX('Vendor COIs'!$H$4:$H$503,(_calc!$E$917-500)),"yyyy-mm-dd"),"")))</f>
        <v/>
      </c>
      <c r="C915" s="46">
        <f>IF(_calc!$E$917="","",IF(_calc!$E$917&lt;=500,"Insurance","Certificate of insurance"))</f>
        <v/>
      </c>
      <c r="D915" s="46">
        <f>IF(_calc!$E$917="","",IF(_calc!$E$917&lt;=500,IF(ISNUMBER(INDEX('Our policies'!$I$4:$I$503,_calc!$E$917)),TEXT(INDEX('Our policies'!$I$4:$I$503,_calc!$E$917),"yyyy-mm-dd"),""),""))</f>
        <v/>
      </c>
      <c r="E915" s="46">
        <f>IF(_calc!$E$917="","",IF(_calc!$E$917&lt;=500,IF(LEN(INDEX('Our policies'!$Q$4:$Q$503,_calc!$E$917))=0,"",INDEX('Our policies'!$Q$4:$Q$503,_calc!$E$917)),"Medium"))</f>
        <v/>
      </c>
      <c r="F915" s="46">
        <f>IF(_calc!$E$917="","",IF(_calc!$E$917&lt;=500,TRIM(IF(LEN(IF(LEN(INDEX('Our policies'!$B$4:$B$503,_calc!$E$917))=0,"",INDEX('Our policies'!$B$4:$B$503,_calc!$E$917)))=0,"","Cover: "&amp;IF(LEN(INDEX('Our policies'!$B$4:$B$503,_calc!$E$917))=0,"",INDEX('Our policies'!$B$4:$B$503,_calc!$E$917))&amp;". ")&amp;IF(LEN(IF(LEN(INDEX('Our policies'!$C$4:$C$503,_calc!$E$917))=0,"",INDEX('Our policies'!$C$4:$C$503,_calc!$E$917)))=0,"","Insurer: "&amp;IF(LEN(INDEX('Our policies'!$C$4:$C$503,_calc!$E$917))=0,"",INDEX('Our policies'!$C$4:$C$503,_calc!$E$917))&amp;". ")&amp;IF(LEN(IF(LEN(INDEX('Our policies'!$D$4:$D$503,_calc!$E$917))=0,"",INDEX('Our policies'!$D$4:$D$503,_calc!$E$917)))=0,"","Broker: "&amp;IF(LEN(INDEX('Our policies'!$D$4:$D$503,_calc!$E$917))=0,"",INDEX('Our policies'!$D$4:$D$503,_calc!$E$917))&amp;". ")&amp;IF(LEN(IF(LEN(INDEX('Our policies'!$E$4:$E$503,_calc!$E$917))=0,"",INDEX('Our policies'!$E$4:$E$503,_calc!$E$917)))=0,"","Policy no.: "&amp;IF(LEN(INDEX('Our policies'!$E$4:$E$503,_calc!$E$917))=0,"",INDEX('Our policies'!$E$4:$E$503,_calc!$E$917))&amp;". ")&amp;IF(LEN(IF(LEN(INDEX('Our policies'!$S$4:$S$503,_calc!$E$917))=0,"",INDEX('Our policies'!$S$4:$S$503,_calc!$E$917)))=0,"",IF(LEN(INDEX('Our policies'!$S$4:$S$503,_calc!$E$917))=0,"",INDEX('Our policies'!$S$4:$S$503,_calc!$E$917)))),TRIM(IF(LEN(IF(LEN(INDEX('Vendor COIs'!$C$4:$C$503,(_calc!$E$917-500)))=0,"",INDEX('Vendor COIs'!$C$4:$C$503,(_calc!$E$917-500))))=0,"","Insurer: "&amp;IF(LEN(INDEX('Vendor COIs'!$C$4:$C$503,(_calc!$E$917-500)))=0,"",INDEX('Vendor COIs'!$C$4:$C$503,(_calc!$E$917-500)))&amp;". ")&amp;IF(LEN(IF(LEN(INDEX('Vendor COIs'!$D$4:$D$503,(_calc!$E$917-500)))=0,"",INDEX('Vendor COIs'!$D$4:$D$503,(_calc!$E$917-500))))=0,"","Policy no.: "&amp;IF(LEN(INDEX('Vendor COIs'!$D$4:$D$503,(_calc!$E$917-500)))=0,"",INDEX('Vendor COIs'!$D$4:$D$503,(_calc!$E$917-500)))&amp;". ")&amp;IF(LEN(IF(LEN(INDEX('Vendor COIs'!$F$4:$F$503,(_calc!$E$917-500)))=0,"",INDEX('Vendor COIs'!$F$4:$F$503,(_calc!$E$917-500))))=0,"","Meets minimum: "&amp;IF(LEN(INDEX('Vendor COIs'!$F$4:$F$503,(_calc!$E$917-500)))=0,"",INDEX('Vendor COIs'!$F$4:$F$503,(_calc!$E$917-500)))&amp;". ")&amp;IF(LEN(IF(LEN(INDEX('Vendor COIs'!$G$4:$G$503,(_calc!$E$917-500)))=0,"",INDEX('Vendor COIs'!$G$4:$G$503,(_calc!$E$917-500))))=0,"","Additional insured: "&amp;IF(LEN(INDEX('Vendor COIs'!$G$4:$G$503,(_calc!$E$917-500)))=0,"",INDEX('Vendor COIs'!$G$4:$G$503,(_calc!$E$917-500)))&amp;". ")&amp;IF(LEN(IF(LEN(INDEX('Vendor COIs'!$M$4:$M$503,(_calc!$E$917-500)))=0,"",INDEX('Vendor COIs'!$M$4:$M$503,(_calc!$E$917-500))))=0,"","Vendor contact: "&amp;IF(LEN(INDEX('Vendor COIs'!$M$4:$M$503,(_calc!$E$917-500)))=0,"",INDEX('Vendor COIs'!$M$4:$M$503,(_calc!$E$917-500)))&amp;". ")&amp;IF(LEN(IF(LEN(INDEX('Vendor COIs'!$P$4:$P$503,(_calc!$E$917-500)))=0,"",INDEX('Vendor COIs'!$P$4:$P$503,(_calc!$E$917-500))))=0,"",IF(LEN(INDEX('Vendor COIs'!$P$4:$P$503,(_calc!$E$917-500)))=0,"",INDEX('Vendor COIs'!$P$4:$P$503,(_calc!$E$917-500)))))))</f>
        <v/>
      </c>
      <c r="G915" s="46">
        <f>IF(_calc!$E$917="","",IF(_calc!$E$917&lt;=500,IF(LEN(INDEX('Our policies'!$R$4:$R$503,_calc!$E$917))=0,"",INDEX('Our policies'!$R$4:$R$503,_calc!$E$917)),IF(LEN(INDEX('Vendor COIs'!$O$4:$O$503,(_calc!$E$917-500)))=0,"",INDEX('Vendor COIs'!$O$4:$O$503,(_calc!$E$917-500)))))</f>
        <v/>
      </c>
      <c r="H915" s="46">
        <f>IF(_calc!$E$917="","",IF(_calc!$E$917&lt;=500,IF(LEN(INDEX('Our policies'!$G$4:$G$503,_calc!$E$917))=0,"",INDEX('Our policies'!$G$4:$G$503,_calc!$E$917)),""))</f>
        <v/>
      </c>
      <c r="I915" s="46">
        <f>IF(_calc!$E$917="","",IF(_calc!$E$917&lt;=500,IF(LEN(INDEX('Our policies'!$H$4:$H$503,_calc!$E$917))=0,"",INDEX('Our policies'!$H$4:$H$503,_calc!$E$917)),""))</f>
        <v/>
      </c>
      <c r="K915" s="46">
        <f>IF(_calc!$E$917="","",IF(_calc!$E$917&lt;=500,IF(LEN(INDEX('Our policies'!$P$4:$P$503,_calc!$E$917))=0,"",INDEX('Our policies'!$P$4:$P$503,_calc!$E$917)),IF(LEN(INDEX('Vendor COIs'!$N$4:$N$503,(_calc!$E$917-500)))=0,"",INDEX('Vendor COIs'!$N$4:$N$503,(_calc!$E$917-500)))))</f>
        <v/>
      </c>
    </row>
    <row r="916">
      <c r="A916" s="46">
        <f>IF(_calc!$E$918="","",IF(_calc!$E$918&lt;=500,IF(LEN(INDEX('Our policies'!$A$4:$A$503,_calc!$E$918))=0,"",INDEX('Our policies'!$A$4:$A$503,_calc!$E$918)),"COI – "&amp;IF(LEN(INDEX('Vendor COIs'!$A$4:$A$503,(_calc!$E$918-500)))=0,"",INDEX('Vendor COIs'!$A$4:$A$503,(_calc!$E$918-500)))&amp;" – "&amp;IF(LEN(INDEX('Vendor COIs'!$B$4:$B$503,(_calc!$E$918-500)))=0,"",INDEX('Vendor COIs'!$B$4:$B$503,(_calc!$E$918-500)))))</f>
        <v/>
      </c>
      <c r="B916" s="46">
        <f>IF(_calc!$E$918="","",IF(_calc!$E$918&lt;=500,IF(ISNUMBER(INDEX('Our policies'!$J$4:$J$503,_calc!$E$918)),TEXT(INDEX('Our policies'!$J$4:$J$503,_calc!$E$918),"yyyy-mm-dd"),""),IF(ISNUMBER(INDEX('Vendor COIs'!$H$4:$H$503,(_calc!$E$918-500))),TEXT(INDEX('Vendor COIs'!$H$4:$H$503,(_calc!$E$918-500)),"yyyy-mm-dd"),"")))</f>
        <v/>
      </c>
      <c r="C916" s="46">
        <f>IF(_calc!$E$918="","",IF(_calc!$E$918&lt;=500,"Insurance","Certificate of insurance"))</f>
        <v/>
      </c>
      <c r="D916" s="46">
        <f>IF(_calc!$E$918="","",IF(_calc!$E$918&lt;=500,IF(ISNUMBER(INDEX('Our policies'!$I$4:$I$503,_calc!$E$918)),TEXT(INDEX('Our policies'!$I$4:$I$503,_calc!$E$918),"yyyy-mm-dd"),""),""))</f>
        <v/>
      </c>
      <c r="E916" s="46">
        <f>IF(_calc!$E$918="","",IF(_calc!$E$918&lt;=500,IF(LEN(INDEX('Our policies'!$Q$4:$Q$503,_calc!$E$918))=0,"",INDEX('Our policies'!$Q$4:$Q$503,_calc!$E$918)),"Medium"))</f>
        <v/>
      </c>
      <c r="F916" s="46">
        <f>IF(_calc!$E$918="","",IF(_calc!$E$918&lt;=500,TRIM(IF(LEN(IF(LEN(INDEX('Our policies'!$B$4:$B$503,_calc!$E$918))=0,"",INDEX('Our policies'!$B$4:$B$503,_calc!$E$918)))=0,"","Cover: "&amp;IF(LEN(INDEX('Our policies'!$B$4:$B$503,_calc!$E$918))=0,"",INDEX('Our policies'!$B$4:$B$503,_calc!$E$918))&amp;". ")&amp;IF(LEN(IF(LEN(INDEX('Our policies'!$C$4:$C$503,_calc!$E$918))=0,"",INDEX('Our policies'!$C$4:$C$503,_calc!$E$918)))=0,"","Insurer: "&amp;IF(LEN(INDEX('Our policies'!$C$4:$C$503,_calc!$E$918))=0,"",INDEX('Our policies'!$C$4:$C$503,_calc!$E$918))&amp;". ")&amp;IF(LEN(IF(LEN(INDEX('Our policies'!$D$4:$D$503,_calc!$E$918))=0,"",INDEX('Our policies'!$D$4:$D$503,_calc!$E$918)))=0,"","Broker: "&amp;IF(LEN(INDEX('Our policies'!$D$4:$D$503,_calc!$E$918))=0,"",INDEX('Our policies'!$D$4:$D$503,_calc!$E$918))&amp;". ")&amp;IF(LEN(IF(LEN(INDEX('Our policies'!$E$4:$E$503,_calc!$E$918))=0,"",INDEX('Our policies'!$E$4:$E$503,_calc!$E$918)))=0,"","Policy no.: "&amp;IF(LEN(INDEX('Our policies'!$E$4:$E$503,_calc!$E$918))=0,"",INDEX('Our policies'!$E$4:$E$503,_calc!$E$918))&amp;". ")&amp;IF(LEN(IF(LEN(INDEX('Our policies'!$S$4:$S$503,_calc!$E$918))=0,"",INDEX('Our policies'!$S$4:$S$503,_calc!$E$918)))=0,"",IF(LEN(INDEX('Our policies'!$S$4:$S$503,_calc!$E$918))=0,"",INDEX('Our policies'!$S$4:$S$503,_calc!$E$918)))),TRIM(IF(LEN(IF(LEN(INDEX('Vendor COIs'!$C$4:$C$503,(_calc!$E$918-500)))=0,"",INDEX('Vendor COIs'!$C$4:$C$503,(_calc!$E$918-500))))=0,"","Insurer: "&amp;IF(LEN(INDEX('Vendor COIs'!$C$4:$C$503,(_calc!$E$918-500)))=0,"",INDEX('Vendor COIs'!$C$4:$C$503,(_calc!$E$918-500)))&amp;". ")&amp;IF(LEN(IF(LEN(INDEX('Vendor COIs'!$D$4:$D$503,(_calc!$E$918-500)))=0,"",INDEX('Vendor COIs'!$D$4:$D$503,(_calc!$E$918-500))))=0,"","Policy no.: "&amp;IF(LEN(INDEX('Vendor COIs'!$D$4:$D$503,(_calc!$E$918-500)))=0,"",INDEX('Vendor COIs'!$D$4:$D$503,(_calc!$E$918-500)))&amp;". ")&amp;IF(LEN(IF(LEN(INDEX('Vendor COIs'!$F$4:$F$503,(_calc!$E$918-500)))=0,"",INDEX('Vendor COIs'!$F$4:$F$503,(_calc!$E$918-500))))=0,"","Meets minimum: "&amp;IF(LEN(INDEX('Vendor COIs'!$F$4:$F$503,(_calc!$E$918-500)))=0,"",INDEX('Vendor COIs'!$F$4:$F$503,(_calc!$E$918-500)))&amp;". ")&amp;IF(LEN(IF(LEN(INDEX('Vendor COIs'!$G$4:$G$503,(_calc!$E$918-500)))=0,"",INDEX('Vendor COIs'!$G$4:$G$503,(_calc!$E$918-500))))=0,"","Additional insured: "&amp;IF(LEN(INDEX('Vendor COIs'!$G$4:$G$503,(_calc!$E$918-500)))=0,"",INDEX('Vendor COIs'!$G$4:$G$503,(_calc!$E$918-500)))&amp;". ")&amp;IF(LEN(IF(LEN(INDEX('Vendor COIs'!$M$4:$M$503,(_calc!$E$918-500)))=0,"",INDEX('Vendor COIs'!$M$4:$M$503,(_calc!$E$918-500))))=0,"","Vendor contact: "&amp;IF(LEN(INDEX('Vendor COIs'!$M$4:$M$503,(_calc!$E$918-500)))=0,"",INDEX('Vendor COIs'!$M$4:$M$503,(_calc!$E$918-500)))&amp;". ")&amp;IF(LEN(IF(LEN(INDEX('Vendor COIs'!$P$4:$P$503,(_calc!$E$918-500)))=0,"",INDEX('Vendor COIs'!$P$4:$P$503,(_calc!$E$918-500))))=0,"",IF(LEN(INDEX('Vendor COIs'!$P$4:$P$503,(_calc!$E$918-500)))=0,"",INDEX('Vendor COIs'!$P$4:$P$503,(_calc!$E$918-500)))))))</f>
        <v/>
      </c>
      <c r="G916" s="46">
        <f>IF(_calc!$E$918="","",IF(_calc!$E$918&lt;=500,IF(LEN(INDEX('Our policies'!$R$4:$R$503,_calc!$E$918))=0,"",INDEX('Our policies'!$R$4:$R$503,_calc!$E$918)),IF(LEN(INDEX('Vendor COIs'!$O$4:$O$503,(_calc!$E$918-500)))=0,"",INDEX('Vendor COIs'!$O$4:$O$503,(_calc!$E$918-500)))))</f>
        <v/>
      </c>
      <c r="H916" s="46">
        <f>IF(_calc!$E$918="","",IF(_calc!$E$918&lt;=500,IF(LEN(INDEX('Our policies'!$G$4:$G$503,_calc!$E$918))=0,"",INDEX('Our policies'!$G$4:$G$503,_calc!$E$918)),""))</f>
        <v/>
      </c>
      <c r="I916" s="46">
        <f>IF(_calc!$E$918="","",IF(_calc!$E$918&lt;=500,IF(LEN(INDEX('Our policies'!$H$4:$H$503,_calc!$E$918))=0,"",INDEX('Our policies'!$H$4:$H$503,_calc!$E$918)),""))</f>
        <v/>
      </c>
      <c r="K916" s="46">
        <f>IF(_calc!$E$918="","",IF(_calc!$E$918&lt;=500,IF(LEN(INDEX('Our policies'!$P$4:$P$503,_calc!$E$918))=0,"",INDEX('Our policies'!$P$4:$P$503,_calc!$E$918)),IF(LEN(INDEX('Vendor COIs'!$N$4:$N$503,(_calc!$E$918-500)))=0,"",INDEX('Vendor COIs'!$N$4:$N$503,(_calc!$E$918-500)))))</f>
        <v/>
      </c>
    </row>
    <row r="917">
      <c r="A917" s="46">
        <f>IF(_calc!$E$919="","",IF(_calc!$E$919&lt;=500,IF(LEN(INDEX('Our policies'!$A$4:$A$503,_calc!$E$919))=0,"",INDEX('Our policies'!$A$4:$A$503,_calc!$E$919)),"COI – "&amp;IF(LEN(INDEX('Vendor COIs'!$A$4:$A$503,(_calc!$E$919-500)))=0,"",INDEX('Vendor COIs'!$A$4:$A$503,(_calc!$E$919-500)))&amp;" – "&amp;IF(LEN(INDEX('Vendor COIs'!$B$4:$B$503,(_calc!$E$919-500)))=0,"",INDEX('Vendor COIs'!$B$4:$B$503,(_calc!$E$919-500)))))</f>
        <v/>
      </c>
      <c r="B917" s="46">
        <f>IF(_calc!$E$919="","",IF(_calc!$E$919&lt;=500,IF(ISNUMBER(INDEX('Our policies'!$J$4:$J$503,_calc!$E$919)),TEXT(INDEX('Our policies'!$J$4:$J$503,_calc!$E$919),"yyyy-mm-dd"),""),IF(ISNUMBER(INDEX('Vendor COIs'!$H$4:$H$503,(_calc!$E$919-500))),TEXT(INDEX('Vendor COIs'!$H$4:$H$503,(_calc!$E$919-500)),"yyyy-mm-dd"),"")))</f>
        <v/>
      </c>
      <c r="C917" s="46">
        <f>IF(_calc!$E$919="","",IF(_calc!$E$919&lt;=500,"Insurance","Certificate of insurance"))</f>
        <v/>
      </c>
      <c r="D917" s="46">
        <f>IF(_calc!$E$919="","",IF(_calc!$E$919&lt;=500,IF(ISNUMBER(INDEX('Our policies'!$I$4:$I$503,_calc!$E$919)),TEXT(INDEX('Our policies'!$I$4:$I$503,_calc!$E$919),"yyyy-mm-dd"),""),""))</f>
        <v/>
      </c>
      <c r="E917" s="46">
        <f>IF(_calc!$E$919="","",IF(_calc!$E$919&lt;=500,IF(LEN(INDEX('Our policies'!$Q$4:$Q$503,_calc!$E$919))=0,"",INDEX('Our policies'!$Q$4:$Q$503,_calc!$E$919)),"Medium"))</f>
        <v/>
      </c>
      <c r="F917" s="46">
        <f>IF(_calc!$E$919="","",IF(_calc!$E$919&lt;=500,TRIM(IF(LEN(IF(LEN(INDEX('Our policies'!$B$4:$B$503,_calc!$E$919))=0,"",INDEX('Our policies'!$B$4:$B$503,_calc!$E$919)))=0,"","Cover: "&amp;IF(LEN(INDEX('Our policies'!$B$4:$B$503,_calc!$E$919))=0,"",INDEX('Our policies'!$B$4:$B$503,_calc!$E$919))&amp;". ")&amp;IF(LEN(IF(LEN(INDEX('Our policies'!$C$4:$C$503,_calc!$E$919))=0,"",INDEX('Our policies'!$C$4:$C$503,_calc!$E$919)))=0,"","Insurer: "&amp;IF(LEN(INDEX('Our policies'!$C$4:$C$503,_calc!$E$919))=0,"",INDEX('Our policies'!$C$4:$C$503,_calc!$E$919))&amp;". ")&amp;IF(LEN(IF(LEN(INDEX('Our policies'!$D$4:$D$503,_calc!$E$919))=0,"",INDEX('Our policies'!$D$4:$D$503,_calc!$E$919)))=0,"","Broker: "&amp;IF(LEN(INDEX('Our policies'!$D$4:$D$503,_calc!$E$919))=0,"",INDEX('Our policies'!$D$4:$D$503,_calc!$E$919))&amp;". ")&amp;IF(LEN(IF(LEN(INDEX('Our policies'!$E$4:$E$503,_calc!$E$919))=0,"",INDEX('Our policies'!$E$4:$E$503,_calc!$E$919)))=0,"","Policy no.: "&amp;IF(LEN(INDEX('Our policies'!$E$4:$E$503,_calc!$E$919))=0,"",INDEX('Our policies'!$E$4:$E$503,_calc!$E$919))&amp;". ")&amp;IF(LEN(IF(LEN(INDEX('Our policies'!$S$4:$S$503,_calc!$E$919))=0,"",INDEX('Our policies'!$S$4:$S$503,_calc!$E$919)))=0,"",IF(LEN(INDEX('Our policies'!$S$4:$S$503,_calc!$E$919))=0,"",INDEX('Our policies'!$S$4:$S$503,_calc!$E$919)))),TRIM(IF(LEN(IF(LEN(INDEX('Vendor COIs'!$C$4:$C$503,(_calc!$E$919-500)))=0,"",INDEX('Vendor COIs'!$C$4:$C$503,(_calc!$E$919-500))))=0,"","Insurer: "&amp;IF(LEN(INDEX('Vendor COIs'!$C$4:$C$503,(_calc!$E$919-500)))=0,"",INDEX('Vendor COIs'!$C$4:$C$503,(_calc!$E$919-500)))&amp;". ")&amp;IF(LEN(IF(LEN(INDEX('Vendor COIs'!$D$4:$D$503,(_calc!$E$919-500)))=0,"",INDEX('Vendor COIs'!$D$4:$D$503,(_calc!$E$919-500))))=0,"","Policy no.: "&amp;IF(LEN(INDEX('Vendor COIs'!$D$4:$D$503,(_calc!$E$919-500)))=0,"",INDEX('Vendor COIs'!$D$4:$D$503,(_calc!$E$919-500)))&amp;". ")&amp;IF(LEN(IF(LEN(INDEX('Vendor COIs'!$F$4:$F$503,(_calc!$E$919-500)))=0,"",INDEX('Vendor COIs'!$F$4:$F$503,(_calc!$E$919-500))))=0,"","Meets minimum: "&amp;IF(LEN(INDEX('Vendor COIs'!$F$4:$F$503,(_calc!$E$919-500)))=0,"",INDEX('Vendor COIs'!$F$4:$F$503,(_calc!$E$919-500)))&amp;". ")&amp;IF(LEN(IF(LEN(INDEX('Vendor COIs'!$G$4:$G$503,(_calc!$E$919-500)))=0,"",INDEX('Vendor COIs'!$G$4:$G$503,(_calc!$E$919-500))))=0,"","Additional insured: "&amp;IF(LEN(INDEX('Vendor COIs'!$G$4:$G$503,(_calc!$E$919-500)))=0,"",INDEX('Vendor COIs'!$G$4:$G$503,(_calc!$E$919-500)))&amp;". ")&amp;IF(LEN(IF(LEN(INDEX('Vendor COIs'!$M$4:$M$503,(_calc!$E$919-500)))=0,"",INDEX('Vendor COIs'!$M$4:$M$503,(_calc!$E$919-500))))=0,"","Vendor contact: "&amp;IF(LEN(INDEX('Vendor COIs'!$M$4:$M$503,(_calc!$E$919-500)))=0,"",INDEX('Vendor COIs'!$M$4:$M$503,(_calc!$E$919-500)))&amp;". ")&amp;IF(LEN(IF(LEN(INDEX('Vendor COIs'!$P$4:$P$503,(_calc!$E$919-500)))=0,"",INDEX('Vendor COIs'!$P$4:$P$503,(_calc!$E$919-500))))=0,"",IF(LEN(INDEX('Vendor COIs'!$P$4:$P$503,(_calc!$E$919-500)))=0,"",INDEX('Vendor COIs'!$P$4:$P$503,(_calc!$E$919-500)))))))</f>
        <v/>
      </c>
      <c r="G917" s="46">
        <f>IF(_calc!$E$919="","",IF(_calc!$E$919&lt;=500,IF(LEN(INDEX('Our policies'!$R$4:$R$503,_calc!$E$919))=0,"",INDEX('Our policies'!$R$4:$R$503,_calc!$E$919)),IF(LEN(INDEX('Vendor COIs'!$O$4:$O$503,(_calc!$E$919-500)))=0,"",INDEX('Vendor COIs'!$O$4:$O$503,(_calc!$E$919-500)))))</f>
        <v/>
      </c>
      <c r="H917" s="46">
        <f>IF(_calc!$E$919="","",IF(_calc!$E$919&lt;=500,IF(LEN(INDEX('Our policies'!$G$4:$G$503,_calc!$E$919))=0,"",INDEX('Our policies'!$G$4:$G$503,_calc!$E$919)),""))</f>
        <v/>
      </c>
      <c r="I917" s="46">
        <f>IF(_calc!$E$919="","",IF(_calc!$E$919&lt;=500,IF(LEN(INDEX('Our policies'!$H$4:$H$503,_calc!$E$919))=0,"",INDEX('Our policies'!$H$4:$H$503,_calc!$E$919)),""))</f>
        <v/>
      </c>
      <c r="K917" s="46">
        <f>IF(_calc!$E$919="","",IF(_calc!$E$919&lt;=500,IF(LEN(INDEX('Our policies'!$P$4:$P$503,_calc!$E$919))=0,"",INDEX('Our policies'!$P$4:$P$503,_calc!$E$919)),IF(LEN(INDEX('Vendor COIs'!$N$4:$N$503,(_calc!$E$919-500)))=0,"",INDEX('Vendor COIs'!$N$4:$N$503,(_calc!$E$919-500)))))</f>
        <v/>
      </c>
    </row>
    <row r="918">
      <c r="A918" s="46">
        <f>IF(_calc!$E$920="","",IF(_calc!$E$920&lt;=500,IF(LEN(INDEX('Our policies'!$A$4:$A$503,_calc!$E$920))=0,"",INDEX('Our policies'!$A$4:$A$503,_calc!$E$920)),"COI – "&amp;IF(LEN(INDEX('Vendor COIs'!$A$4:$A$503,(_calc!$E$920-500)))=0,"",INDEX('Vendor COIs'!$A$4:$A$503,(_calc!$E$920-500)))&amp;" – "&amp;IF(LEN(INDEX('Vendor COIs'!$B$4:$B$503,(_calc!$E$920-500)))=0,"",INDEX('Vendor COIs'!$B$4:$B$503,(_calc!$E$920-500)))))</f>
        <v/>
      </c>
      <c r="B918" s="46">
        <f>IF(_calc!$E$920="","",IF(_calc!$E$920&lt;=500,IF(ISNUMBER(INDEX('Our policies'!$J$4:$J$503,_calc!$E$920)),TEXT(INDEX('Our policies'!$J$4:$J$503,_calc!$E$920),"yyyy-mm-dd"),""),IF(ISNUMBER(INDEX('Vendor COIs'!$H$4:$H$503,(_calc!$E$920-500))),TEXT(INDEX('Vendor COIs'!$H$4:$H$503,(_calc!$E$920-500)),"yyyy-mm-dd"),"")))</f>
        <v/>
      </c>
      <c r="C918" s="46">
        <f>IF(_calc!$E$920="","",IF(_calc!$E$920&lt;=500,"Insurance","Certificate of insurance"))</f>
        <v/>
      </c>
      <c r="D918" s="46">
        <f>IF(_calc!$E$920="","",IF(_calc!$E$920&lt;=500,IF(ISNUMBER(INDEX('Our policies'!$I$4:$I$503,_calc!$E$920)),TEXT(INDEX('Our policies'!$I$4:$I$503,_calc!$E$920),"yyyy-mm-dd"),""),""))</f>
        <v/>
      </c>
      <c r="E918" s="46">
        <f>IF(_calc!$E$920="","",IF(_calc!$E$920&lt;=500,IF(LEN(INDEX('Our policies'!$Q$4:$Q$503,_calc!$E$920))=0,"",INDEX('Our policies'!$Q$4:$Q$503,_calc!$E$920)),"Medium"))</f>
        <v/>
      </c>
      <c r="F918" s="46">
        <f>IF(_calc!$E$920="","",IF(_calc!$E$920&lt;=500,TRIM(IF(LEN(IF(LEN(INDEX('Our policies'!$B$4:$B$503,_calc!$E$920))=0,"",INDEX('Our policies'!$B$4:$B$503,_calc!$E$920)))=0,"","Cover: "&amp;IF(LEN(INDEX('Our policies'!$B$4:$B$503,_calc!$E$920))=0,"",INDEX('Our policies'!$B$4:$B$503,_calc!$E$920))&amp;". ")&amp;IF(LEN(IF(LEN(INDEX('Our policies'!$C$4:$C$503,_calc!$E$920))=0,"",INDEX('Our policies'!$C$4:$C$503,_calc!$E$920)))=0,"","Insurer: "&amp;IF(LEN(INDEX('Our policies'!$C$4:$C$503,_calc!$E$920))=0,"",INDEX('Our policies'!$C$4:$C$503,_calc!$E$920))&amp;". ")&amp;IF(LEN(IF(LEN(INDEX('Our policies'!$D$4:$D$503,_calc!$E$920))=0,"",INDEX('Our policies'!$D$4:$D$503,_calc!$E$920)))=0,"","Broker: "&amp;IF(LEN(INDEX('Our policies'!$D$4:$D$503,_calc!$E$920))=0,"",INDEX('Our policies'!$D$4:$D$503,_calc!$E$920))&amp;". ")&amp;IF(LEN(IF(LEN(INDEX('Our policies'!$E$4:$E$503,_calc!$E$920))=0,"",INDEX('Our policies'!$E$4:$E$503,_calc!$E$920)))=0,"","Policy no.: "&amp;IF(LEN(INDEX('Our policies'!$E$4:$E$503,_calc!$E$920))=0,"",INDEX('Our policies'!$E$4:$E$503,_calc!$E$920))&amp;". ")&amp;IF(LEN(IF(LEN(INDEX('Our policies'!$S$4:$S$503,_calc!$E$920))=0,"",INDEX('Our policies'!$S$4:$S$503,_calc!$E$920)))=0,"",IF(LEN(INDEX('Our policies'!$S$4:$S$503,_calc!$E$920))=0,"",INDEX('Our policies'!$S$4:$S$503,_calc!$E$920)))),TRIM(IF(LEN(IF(LEN(INDEX('Vendor COIs'!$C$4:$C$503,(_calc!$E$920-500)))=0,"",INDEX('Vendor COIs'!$C$4:$C$503,(_calc!$E$920-500))))=0,"","Insurer: "&amp;IF(LEN(INDEX('Vendor COIs'!$C$4:$C$503,(_calc!$E$920-500)))=0,"",INDEX('Vendor COIs'!$C$4:$C$503,(_calc!$E$920-500)))&amp;". ")&amp;IF(LEN(IF(LEN(INDEX('Vendor COIs'!$D$4:$D$503,(_calc!$E$920-500)))=0,"",INDEX('Vendor COIs'!$D$4:$D$503,(_calc!$E$920-500))))=0,"","Policy no.: "&amp;IF(LEN(INDEX('Vendor COIs'!$D$4:$D$503,(_calc!$E$920-500)))=0,"",INDEX('Vendor COIs'!$D$4:$D$503,(_calc!$E$920-500)))&amp;". ")&amp;IF(LEN(IF(LEN(INDEX('Vendor COIs'!$F$4:$F$503,(_calc!$E$920-500)))=0,"",INDEX('Vendor COIs'!$F$4:$F$503,(_calc!$E$920-500))))=0,"","Meets minimum: "&amp;IF(LEN(INDEX('Vendor COIs'!$F$4:$F$503,(_calc!$E$920-500)))=0,"",INDEX('Vendor COIs'!$F$4:$F$503,(_calc!$E$920-500)))&amp;". ")&amp;IF(LEN(IF(LEN(INDEX('Vendor COIs'!$G$4:$G$503,(_calc!$E$920-500)))=0,"",INDEX('Vendor COIs'!$G$4:$G$503,(_calc!$E$920-500))))=0,"","Additional insured: "&amp;IF(LEN(INDEX('Vendor COIs'!$G$4:$G$503,(_calc!$E$920-500)))=0,"",INDEX('Vendor COIs'!$G$4:$G$503,(_calc!$E$920-500)))&amp;". ")&amp;IF(LEN(IF(LEN(INDEX('Vendor COIs'!$M$4:$M$503,(_calc!$E$920-500)))=0,"",INDEX('Vendor COIs'!$M$4:$M$503,(_calc!$E$920-500))))=0,"","Vendor contact: "&amp;IF(LEN(INDEX('Vendor COIs'!$M$4:$M$503,(_calc!$E$920-500)))=0,"",INDEX('Vendor COIs'!$M$4:$M$503,(_calc!$E$920-500)))&amp;". ")&amp;IF(LEN(IF(LEN(INDEX('Vendor COIs'!$P$4:$P$503,(_calc!$E$920-500)))=0,"",INDEX('Vendor COIs'!$P$4:$P$503,(_calc!$E$920-500))))=0,"",IF(LEN(INDEX('Vendor COIs'!$P$4:$P$503,(_calc!$E$920-500)))=0,"",INDEX('Vendor COIs'!$P$4:$P$503,(_calc!$E$920-500)))))))</f>
        <v/>
      </c>
      <c r="G918" s="46">
        <f>IF(_calc!$E$920="","",IF(_calc!$E$920&lt;=500,IF(LEN(INDEX('Our policies'!$R$4:$R$503,_calc!$E$920))=0,"",INDEX('Our policies'!$R$4:$R$503,_calc!$E$920)),IF(LEN(INDEX('Vendor COIs'!$O$4:$O$503,(_calc!$E$920-500)))=0,"",INDEX('Vendor COIs'!$O$4:$O$503,(_calc!$E$920-500)))))</f>
        <v/>
      </c>
      <c r="H918" s="46">
        <f>IF(_calc!$E$920="","",IF(_calc!$E$920&lt;=500,IF(LEN(INDEX('Our policies'!$G$4:$G$503,_calc!$E$920))=0,"",INDEX('Our policies'!$G$4:$G$503,_calc!$E$920)),""))</f>
        <v/>
      </c>
      <c r="I918" s="46">
        <f>IF(_calc!$E$920="","",IF(_calc!$E$920&lt;=500,IF(LEN(INDEX('Our policies'!$H$4:$H$503,_calc!$E$920))=0,"",INDEX('Our policies'!$H$4:$H$503,_calc!$E$920)),""))</f>
        <v/>
      </c>
      <c r="K918" s="46">
        <f>IF(_calc!$E$920="","",IF(_calc!$E$920&lt;=500,IF(LEN(INDEX('Our policies'!$P$4:$P$503,_calc!$E$920))=0,"",INDEX('Our policies'!$P$4:$P$503,_calc!$E$920)),IF(LEN(INDEX('Vendor COIs'!$N$4:$N$503,(_calc!$E$920-500)))=0,"",INDEX('Vendor COIs'!$N$4:$N$503,(_calc!$E$920-500)))))</f>
        <v/>
      </c>
    </row>
    <row r="919">
      <c r="A919" s="46">
        <f>IF(_calc!$E$921="","",IF(_calc!$E$921&lt;=500,IF(LEN(INDEX('Our policies'!$A$4:$A$503,_calc!$E$921))=0,"",INDEX('Our policies'!$A$4:$A$503,_calc!$E$921)),"COI – "&amp;IF(LEN(INDEX('Vendor COIs'!$A$4:$A$503,(_calc!$E$921-500)))=0,"",INDEX('Vendor COIs'!$A$4:$A$503,(_calc!$E$921-500)))&amp;" – "&amp;IF(LEN(INDEX('Vendor COIs'!$B$4:$B$503,(_calc!$E$921-500)))=0,"",INDEX('Vendor COIs'!$B$4:$B$503,(_calc!$E$921-500)))))</f>
        <v/>
      </c>
      <c r="B919" s="46">
        <f>IF(_calc!$E$921="","",IF(_calc!$E$921&lt;=500,IF(ISNUMBER(INDEX('Our policies'!$J$4:$J$503,_calc!$E$921)),TEXT(INDEX('Our policies'!$J$4:$J$503,_calc!$E$921),"yyyy-mm-dd"),""),IF(ISNUMBER(INDEX('Vendor COIs'!$H$4:$H$503,(_calc!$E$921-500))),TEXT(INDEX('Vendor COIs'!$H$4:$H$503,(_calc!$E$921-500)),"yyyy-mm-dd"),"")))</f>
        <v/>
      </c>
      <c r="C919" s="46">
        <f>IF(_calc!$E$921="","",IF(_calc!$E$921&lt;=500,"Insurance","Certificate of insurance"))</f>
        <v/>
      </c>
      <c r="D919" s="46">
        <f>IF(_calc!$E$921="","",IF(_calc!$E$921&lt;=500,IF(ISNUMBER(INDEX('Our policies'!$I$4:$I$503,_calc!$E$921)),TEXT(INDEX('Our policies'!$I$4:$I$503,_calc!$E$921),"yyyy-mm-dd"),""),""))</f>
        <v/>
      </c>
      <c r="E919" s="46">
        <f>IF(_calc!$E$921="","",IF(_calc!$E$921&lt;=500,IF(LEN(INDEX('Our policies'!$Q$4:$Q$503,_calc!$E$921))=0,"",INDEX('Our policies'!$Q$4:$Q$503,_calc!$E$921)),"Medium"))</f>
        <v/>
      </c>
      <c r="F919" s="46">
        <f>IF(_calc!$E$921="","",IF(_calc!$E$921&lt;=500,TRIM(IF(LEN(IF(LEN(INDEX('Our policies'!$B$4:$B$503,_calc!$E$921))=0,"",INDEX('Our policies'!$B$4:$B$503,_calc!$E$921)))=0,"","Cover: "&amp;IF(LEN(INDEX('Our policies'!$B$4:$B$503,_calc!$E$921))=0,"",INDEX('Our policies'!$B$4:$B$503,_calc!$E$921))&amp;". ")&amp;IF(LEN(IF(LEN(INDEX('Our policies'!$C$4:$C$503,_calc!$E$921))=0,"",INDEX('Our policies'!$C$4:$C$503,_calc!$E$921)))=0,"","Insurer: "&amp;IF(LEN(INDEX('Our policies'!$C$4:$C$503,_calc!$E$921))=0,"",INDEX('Our policies'!$C$4:$C$503,_calc!$E$921))&amp;". ")&amp;IF(LEN(IF(LEN(INDEX('Our policies'!$D$4:$D$503,_calc!$E$921))=0,"",INDEX('Our policies'!$D$4:$D$503,_calc!$E$921)))=0,"","Broker: "&amp;IF(LEN(INDEX('Our policies'!$D$4:$D$503,_calc!$E$921))=0,"",INDEX('Our policies'!$D$4:$D$503,_calc!$E$921))&amp;". ")&amp;IF(LEN(IF(LEN(INDEX('Our policies'!$E$4:$E$503,_calc!$E$921))=0,"",INDEX('Our policies'!$E$4:$E$503,_calc!$E$921)))=0,"","Policy no.: "&amp;IF(LEN(INDEX('Our policies'!$E$4:$E$503,_calc!$E$921))=0,"",INDEX('Our policies'!$E$4:$E$503,_calc!$E$921))&amp;". ")&amp;IF(LEN(IF(LEN(INDEX('Our policies'!$S$4:$S$503,_calc!$E$921))=0,"",INDEX('Our policies'!$S$4:$S$503,_calc!$E$921)))=0,"",IF(LEN(INDEX('Our policies'!$S$4:$S$503,_calc!$E$921))=0,"",INDEX('Our policies'!$S$4:$S$503,_calc!$E$921)))),TRIM(IF(LEN(IF(LEN(INDEX('Vendor COIs'!$C$4:$C$503,(_calc!$E$921-500)))=0,"",INDEX('Vendor COIs'!$C$4:$C$503,(_calc!$E$921-500))))=0,"","Insurer: "&amp;IF(LEN(INDEX('Vendor COIs'!$C$4:$C$503,(_calc!$E$921-500)))=0,"",INDEX('Vendor COIs'!$C$4:$C$503,(_calc!$E$921-500)))&amp;". ")&amp;IF(LEN(IF(LEN(INDEX('Vendor COIs'!$D$4:$D$503,(_calc!$E$921-500)))=0,"",INDEX('Vendor COIs'!$D$4:$D$503,(_calc!$E$921-500))))=0,"","Policy no.: "&amp;IF(LEN(INDEX('Vendor COIs'!$D$4:$D$503,(_calc!$E$921-500)))=0,"",INDEX('Vendor COIs'!$D$4:$D$503,(_calc!$E$921-500)))&amp;". ")&amp;IF(LEN(IF(LEN(INDEX('Vendor COIs'!$F$4:$F$503,(_calc!$E$921-500)))=0,"",INDEX('Vendor COIs'!$F$4:$F$503,(_calc!$E$921-500))))=0,"","Meets minimum: "&amp;IF(LEN(INDEX('Vendor COIs'!$F$4:$F$503,(_calc!$E$921-500)))=0,"",INDEX('Vendor COIs'!$F$4:$F$503,(_calc!$E$921-500)))&amp;". ")&amp;IF(LEN(IF(LEN(INDEX('Vendor COIs'!$G$4:$G$503,(_calc!$E$921-500)))=0,"",INDEX('Vendor COIs'!$G$4:$G$503,(_calc!$E$921-500))))=0,"","Additional insured: "&amp;IF(LEN(INDEX('Vendor COIs'!$G$4:$G$503,(_calc!$E$921-500)))=0,"",INDEX('Vendor COIs'!$G$4:$G$503,(_calc!$E$921-500)))&amp;". ")&amp;IF(LEN(IF(LEN(INDEX('Vendor COIs'!$M$4:$M$503,(_calc!$E$921-500)))=0,"",INDEX('Vendor COIs'!$M$4:$M$503,(_calc!$E$921-500))))=0,"","Vendor contact: "&amp;IF(LEN(INDEX('Vendor COIs'!$M$4:$M$503,(_calc!$E$921-500)))=0,"",INDEX('Vendor COIs'!$M$4:$M$503,(_calc!$E$921-500)))&amp;". ")&amp;IF(LEN(IF(LEN(INDEX('Vendor COIs'!$P$4:$P$503,(_calc!$E$921-500)))=0,"",INDEX('Vendor COIs'!$P$4:$P$503,(_calc!$E$921-500))))=0,"",IF(LEN(INDEX('Vendor COIs'!$P$4:$P$503,(_calc!$E$921-500)))=0,"",INDEX('Vendor COIs'!$P$4:$P$503,(_calc!$E$921-500)))))))</f>
        <v/>
      </c>
      <c r="G919" s="46">
        <f>IF(_calc!$E$921="","",IF(_calc!$E$921&lt;=500,IF(LEN(INDEX('Our policies'!$R$4:$R$503,_calc!$E$921))=0,"",INDEX('Our policies'!$R$4:$R$503,_calc!$E$921)),IF(LEN(INDEX('Vendor COIs'!$O$4:$O$503,(_calc!$E$921-500)))=0,"",INDEX('Vendor COIs'!$O$4:$O$503,(_calc!$E$921-500)))))</f>
        <v/>
      </c>
      <c r="H919" s="46">
        <f>IF(_calc!$E$921="","",IF(_calc!$E$921&lt;=500,IF(LEN(INDEX('Our policies'!$G$4:$G$503,_calc!$E$921))=0,"",INDEX('Our policies'!$G$4:$G$503,_calc!$E$921)),""))</f>
        <v/>
      </c>
      <c r="I919" s="46">
        <f>IF(_calc!$E$921="","",IF(_calc!$E$921&lt;=500,IF(LEN(INDEX('Our policies'!$H$4:$H$503,_calc!$E$921))=0,"",INDEX('Our policies'!$H$4:$H$503,_calc!$E$921)),""))</f>
        <v/>
      </c>
      <c r="K919" s="46">
        <f>IF(_calc!$E$921="","",IF(_calc!$E$921&lt;=500,IF(LEN(INDEX('Our policies'!$P$4:$P$503,_calc!$E$921))=0,"",INDEX('Our policies'!$P$4:$P$503,_calc!$E$921)),IF(LEN(INDEX('Vendor COIs'!$N$4:$N$503,(_calc!$E$921-500)))=0,"",INDEX('Vendor COIs'!$N$4:$N$503,(_calc!$E$921-500)))))</f>
        <v/>
      </c>
    </row>
    <row r="920">
      <c r="A920" s="46">
        <f>IF(_calc!$E$922="","",IF(_calc!$E$922&lt;=500,IF(LEN(INDEX('Our policies'!$A$4:$A$503,_calc!$E$922))=0,"",INDEX('Our policies'!$A$4:$A$503,_calc!$E$922)),"COI – "&amp;IF(LEN(INDEX('Vendor COIs'!$A$4:$A$503,(_calc!$E$922-500)))=0,"",INDEX('Vendor COIs'!$A$4:$A$503,(_calc!$E$922-500)))&amp;" – "&amp;IF(LEN(INDEX('Vendor COIs'!$B$4:$B$503,(_calc!$E$922-500)))=0,"",INDEX('Vendor COIs'!$B$4:$B$503,(_calc!$E$922-500)))))</f>
        <v/>
      </c>
      <c r="B920" s="46">
        <f>IF(_calc!$E$922="","",IF(_calc!$E$922&lt;=500,IF(ISNUMBER(INDEX('Our policies'!$J$4:$J$503,_calc!$E$922)),TEXT(INDEX('Our policies'!$J$4:$J$503,_calc!$E$922),"yyyy-mm-dd"),""),IF(ISNUMBER(INDEX('Vendor COIs'!$H$4:$H$503,(_calc!$E$922-500))),TEXT(INDEX('Vendor COIs'!$H$4:$H$503,(_calc!$E$922-500)),"yyyy-mm-dd"),"")))</f>
        <v/>
      </c>
      <c r="C920" s="46">
        <f>IF(_calc!$E$922="","",IF(_calc!$E$922&lt;=500,"Insurance","Certificate of insurance"))</f>
        <v/>
      </c>
      <c r="D920" s="46">
        <f>IF(_calc!$E$922="","",IF(_calc!$E$922&lt;=500,IF(ISNUMBER(INDEX('Our policies'!$I$4:$I$503,_calc!$E$922)),TEXT(INDEX('Our policies'!$I$4:$I$503,_calc!$E$922),"yyyy-mm-dd"),""),""))</f>
        <v/>
      </c>
      <c r="E920" s="46">
        <f>IF(_calc!$E$922="","",IF(_calc!$E$922&lt;=500,IF(LEN(INDEX('Our policies'!$Q$4:$Q$503,_calc!$E$922))=0,"",INDEX('Our policies'!$Q$4:$Q$503,_calc!$E$922)),"Medium"))</f>
        <v/>
      </c>
      <c r="F920" s="46">
        <f>IF(_calc!$E$922="","",IF(_calc!$E$922&lt;=500,TRIM(IF(LEN(IF(LEN(INDEX('Our policies'!$B$4:$B$503,_calc!$E$922))=0,"",INDEX('Our policies'!$B$4:$B$503,_calc!$E$922)))=0,"","Cover: "&amp;IF(LEN(INDEX('Our policies'!$B$4:$B$503,_calc!$E$922))=0,"",INDEX('Our policies'!$B$4:$B$503,_calc!$E$922))&amp;". ")&amp;IF(LEN(IF(LEN(INDEX('Our policies'!$C$4:$C$503,_calc!$E$922))=0,"",INDEX('Our policies'!$C$4:$C$503,_calc!$E$922)))=0,"","Insurer: "&amp;IF(LEN(INDEX('Our policies'!$C$4:$C$503,_calc!$E$922))=0,"",INDEX('Our policies'!$C$4:$C$503,_calc!$E$922))&amp;". ")&amp;IF(LEN(IF(LEN(INDEX('Our policies'!$D$4:$D$503,_calc!$E$922))=0,"",INDEX('Our policies'!$D$4:$D$503,_calc!$E$922)))=0,"","Broker: "&amp;IF(LEN(INDEX('Our policies'!$D$4:$D$503,_calc!$E$922))=0,"",INDEX('Our policies'!$D$4:$D$503,_calc!$E$922))&amp;". ")&amp;IF(LEN(IF(LEN(INDEX('Our policies'!$E$4:$E$503,_calc!$E$922))=0,"",INDEX('Our policies'!$E$4:$E$503,_calc!$E$922)))=0,"","Policy no.: "&amp;IF(LEN(INDEX('Our policies'!$E$4:$E$503,_calc!$E$922))=0,"",INDEX('Our policies'!$E$4:$E$503,_calc!$E$922))&amp;". ")&amp;IF(LEN(IF(LEN(INDEX('Our policies'!$S$4:$S$503,_calc!$E$922))=0,"",INDEX('Our policies'!$S$4:$S$503,_calc!$E$922)))=0,"",IF(LEN(INDEX('Our policies'!$S$4:$S$503,_calc!$E$922))=0,"",INDEX('Our policies'!$S$4:$S$503,_calc!$E$922)))),TRIM(IF(LEN(IF(LEN(INDEX('Vendor COIs'!$C$4:$C$503,(_calc!$E$922-500)))=0,"",INDEX('Vendor COIs'!$C$4:$C$503,(_calc!$E$922-500))))=0,"","Insurer: "&amp;IF(LEN(INDEX('Vendor COIs'!$C$4:$C$503,(_calc!$E$922-500)))=0,"",INDEX('Vendor COIs'!$C$4:$C$503,(_calc!$E$922-500)))&amp;". ")&amp;IF(LEN(IF(LEN(INDEX('Vendor COIs'!$D$4:$D$503,(_calc!$E$922-500)))=0,"",INDEX('Vendor COIs'!$D$4:$D$503,(_calc!$E$922-500))))=0,"","Policy no.: "&amp;IF(LEN(INDEX('Vendor COIs'!$D$4:$D$503,(_calc!$E$922-500)))=0,"",INDEX('Vendor COIs'!$D$4:$D$503,(_calc!$E$922-500)))&amp;". ")&amp;IF(LEN(IF(LEN(INDEX('Vendor COIs'!$F$4:$F$503,(_calc!$E$922-500)))=0,"",INDEX('Vendor COIs'!$F$4:$F$503,(_calc!$E$922-500))))=0,"","Meets minimum: "&amp;IF(LEN(INDEX('Vendor COIs'!$F$4:$F$503,(_calc!$E$922-500)))=0,"",INDEX('Vendor COIs'!$F$4:$F$503,(_calc!$E$922-500)))&amp;". ")&amp;IF(LEN(IF(LEN(INDEX('Vendor COIs'!$G$4:$G$503,(_calc!$E$922-500)))=0,"",INDEX('Vendor COIs'!$G$4:$G$503,(_calc!$E$922-500))))=0,"","Additional insured: "&amp;IF(LEN(INDEX('Vendor COIs'!$G$4:$G$503,(_calc!$E$922-500)))=0,"",INDEX('Vendor COIs'!$G$4:$G$503,(_calc!$E$922-500)))&amp;". ")&amp;IF(LEN(IF(LEN(INDEX('Vendor COIs'!$M$4:$M$503,(_calc!$E$922-500)))=0,"",INDEX('Vendor COIs'!$M$4:$M$503,(_calc!$E$922-500))))=0,"","Vendor contact: "&amp;IF(LEN(INDEX('Vendor COIs'!$M$4:$M$503,(_calc!$E$922-500)))=0,"",INDEX('Vendor COIs'!$M$4:$M$503,(_calc!$E$922-500)))&amp;". ")&amp;IF(LEN(IF(LEN(INDEX('Vendor COIs'!$P$4:$P$503,(_calc!$E$922-500)))=0,"",INDEX('Vendor COIs'!$P$4:$P$503,(_calc!$E$922-500))))=0,"",IF(LEN(INDEX('Vendor COIs'!$P$4:$P$503,(_calc!$E$922-500)))=0,"",INDEX('Vendor COIs'!$P$4:$P$503,(_calc!$E$922-500)))))))</f>
        <v/>
      </c>
      <c r="G920" s="46">
        <f>IF(_calc!$E$922="","",IF(_calc!$E$922&lt;=500,IF(LEN(INDEX('Our policies'!$R$4:$R$503,_calc!$E$922))=0,"",INDEX('Our policies'!$R$4:$R$503,_calc!$E$922)),IF(LEN(INDEX('Vendor COIs'!$O$4:$O$503,(_calc!$E$922-500)))=0,"",INDEX('Vendor COIs'!$O$4:$O$503,(_calc!$E$922-500)))))</f>
        <v/>
      </c>
      <c r="H920" s="46">
        <f>IF(_calc!$E$922="","",IF(_calc!$E$922&lt;=500,IF(LEN(INDEX('Our policies'!$G$4:$G$503,_calc!$E$922))=0,"",INDEX('Our policies'!$G$4:$G$503,_calc!$E$922)),""))</f>
        <v/>
      </c>
      <c r="I920" s="46">
        <f>IF(_calc!$E$922="","",IF(_calc!$E$922&lt;=500,IF(LEN(INDEX('Our policies'!$H$4:$H$503,_calc!$E$922))=0,"",INDEX('Our policies'!$H$4:$H$503,_calc!$E$922)),""))</f>
        <v/>
      </c>
      <c r="K920" s="46">
        <f>IF(_calc!$E$922="","",IF(_calc!$E$922&lt;=500,IF(LEN(INDEX('Our policies'!$P$4:$P$503,_calc!$E$922))=0,"",INDEX('Our policies'!$P$4:$P$503,_calc!$E$922)),IF(LEN(INDEX('Vendor COIs'!$N$4:$N$503,(_calc!$E$922-500)))=0,"",INDEX('Vendor COIs'!$N$4:$N$503,(_calc!$E$922-500)))))</f>
        <v/>
      </c>
    </row>
    <row r="921">
      <c r="A921" s="46">
        <f>IF(_calc!$E$923="","",IF(_calc!$E$923&lt;=500,IF(LEN(INDEX('Our policies'!$A$4:$A$503,_calc!$E$923))=0,"",INDEX('Our policies'!$A$4:$A$503,_calc!$E$923)),"COI – "&amp;IF(LEN(INDEX('Vendor COIs'!$A$4:$A$503,(_calc!$E$923-500)))=0,"",INDEX('Vendor COIs'!$A$4:$A$503,(_calc!$E$923-500)))&amp;" – "&amp;IF(LEN(INDEX('Vendor COIs'!$B$4:$B$503,(_calc!$E$923-500)))=0,"",INDEX('Vendor COIs'!$B$4:$B$503,(_calc!$E$923-500)))))</f>
        <v/>
      </c>
      <c r="B921" s="46">
        <f>IF(_calc!$E$923="","",IF(_calc!$E$923&lt;=500,IF(ISNUMBER(INDEX('Our policies'!$J$4:$J$503,_calc!$E$923)),TEXT(INDEX('Our policies'!$J$4:$J$503,_calc!$E$923),"yyyy-mm-dd"),""),IF(ISNUMBER(INDEX('Vendor COIs'!$H$4:$H$503,(_calc!$E$923-500))),TEXT(INDEX('Vendor COIs'!$H$4:$H$503,(_calc!$E$923-500)),"yyyy-mm-dd"),"")))</f>
        <v/>
      </c>
      <c r="C921" s="46">
        <f>IF(_calc!$E$923="","",IF(_calc!$E$923&lt;=500,"Insurance","Certificate of insurance"))</f>
        <v/>
      </c>
      <c r="D921" s="46">
        <f>IF(_calc!$E$923="","",IF(_calc!$E$923&lt;=500,IF(ISNUMBER(INDEX('Our policies'!$I$4:$I$503,_calc!$E$923)),TEXT(INDEX('Our policies'!$I$4:$I$503,_calc!$E$923),"yyyy-mm-dd"),""),""))</f>
        <v/>
      </c>
      <c r="E921" s="46">
        <f>IF(_calc!$E$923="","",IF(_calc!$E$923&lt;=500,IF(LEN(INDEX('Our policies'!$Q$4:$Q$503,_calc!$E$923))=0,"",INDEX('Our policies'!$Q$4:$Q$503,_calc!$E$923)),"Medium"))</f>
        <v/>
      </c>
      <c r="F921" s="46">
        <f>IF(_calc!$E$923="","",IF(_calc!$E$923&lt;=500,TRIM(IF(LEN(IF(LEN(INDEX('Our policies'!$B$4:$B$503,_calc!$E$923))=0,"",INDEX('Our policies'!$B$4:$B$503,_calc!$E$923)))=0,"","Cover: "&amp;IF(LEN(INDEX('Our policies'!$B$4:$B$503,_calc!$E$923))=0,"",INDEX('Our policies'!$B$4:$B$503,_calc!$E$923))&amp;". ")&amp;IF(LEN(IF(LEN(INDEX('Our policies'!$C$4:$C$503,_calc!$E$923))=0,"",INDEX('Our policies'!$C$4:$C$503,_calc!$E$923)))=0,"","Insurer: "&amp;IF(LEN(INDEX('Our policies'!$C$4:$C$503,_calc!$E$923))=0,"",INDEX('Our policies'!$C$4:$C$503,_calc!$E$923))&amp;". ")&amp;IF(LEN(IF(LEN(INDEX('Our policies'!$D$4:$D$503,_calc!$E$923))=0,"",INDEX('Our policies'!$D$4:$D$503,_calc!$E$923)))=0,"","Broker: "&amp;IF(LEN(INDEX('Our policies'!$D$4:$D$503,_calc!$E$923))=0,"",INDEX('Our policies'!$D$4:$D$503,_calc!$E$923))&amp;". ")&amp;IF(LEN(IF(LEN(INDEX('Our policies'!$E$4:$E$503,_calc!$E$923))=0,"",INDEX('Our policies'!$E$4:$E$503,_calc!$E$923)))=0,"","Policy no.: "&amp;IF(LEN(INDEX('Our policies'!$E$4:$E$503,_calc!$E$923))=0,"",INDEX('Our policies'!$E$4:$E$503,_calc!$E$923))&amp;". ")&amp;IF(LEN(IF(LEN(INDEX('Our policies'!$S$4:$S$503,_calc!$E$923))=0,"",INDEX('Our policies'!$S$4:$S$503,_calc!$E$923)))=0,"",IF(LEN(INDEX('Our policies'!$S$4:$S$503,_calc!$E$923))=0,"",INDEX('Our policies'!$S$4:$S$503,_calc!$E$923)))),TRIM(IF(LEN(IF(LEN(INDEX('Vendor COIs'!$C$4:$C$503,(_calc!$E$923-500)))=0,"",INDEX('Vendor COIs'!$C$4:$C$503,(_calc!$E$923-500))))=0,"","Insurer: "&amp;IF(LEN(INDEX('Vendor COIs'!$C$4:$C$503,(_calc!$E$923-500)))=0,"",INDEX('Vendor COIs'!$C$4:$C$503,(_calc!$E$923-500)))&amp;". ")&amp;IF(LEN(IF(LEN(INDEX('Vendor COIs'!$D$4:$D$503,(_calc!$E$923-500)))=0,"",INDEX('Vendor COIs'!$D$4:$D$503,(_calc!$E$923-500))))=0,"","Policy no.: "&amp;IF(LEN(INDEX('Vendor COIs'!$D$4:$D$503,(_calc!$E$923-500)))=0,"",INDEX('Vendor COIs'!$D$4:$D$503,(_calc!$E$923-500)))&amp;". ")&amp;IF(LEN(IF(LEN(INDEX('Vendor COIs'!$F$4:$F$503,(_calc!$E$923-500)))=0,"",INDEX('Vendor COIs'!$F$4:$F$503,(_calc!$E$923-500))))=0,"","Meets minimum: "&amp;IF(LEN(INDEX('Vendor COIs'!$F$4:$F$503,(_calc!$E$923-500)))=0,"",INDEX('Vendor COIs'!$F$4:$F$503,(_calc!$E$923-500)))&amp;". ")&amp;IF(LEN(IF(LEN(INDEX('Vendor COIs'!$G$4:$G$503,(_calc!$E$923-500)))=0,"",INDEX('Vendor COIs'!$G$4:$G$503,(_calc!$E$923-500))))=0,"","Additional insured: "&amp;IF(LEN(INDEX('Vendor COIs'!$G$4:$G$503,(_calc!$E$923-500)))=0,"",INDEX('Vendor COIs'!$G$4:$G$503,(_calc!$E$923-500)))&amp;". ")&amp;IF(LEN(IF(LEN(INDEX('Vendor COIs'!$M$4:$M$503,(_calc!$E$923-500)))=0,"",INDEX('Vendor COIs'!$M$4:$M$503,(_calc!$E$923-500))))=0,"","Vendor contact: "&amp;IF(LEN(INDEX('Vendor COIs'!$M$4:$M$503,(_calc!$E$923-500)))=0,"",INDEX('Vendor COIs'!$M$4:$M$503,(_calc!$E$923-500)))&amp;". ")&amp;IF(LEN(IF(LEN(INDEX('Vendor COIs'!$P$4:$P$503,(_calc!$E$923-500)))=0,"",INDEX('Vendor COIs'!$P$4:$P$503,(_calc!$E$923-500))))=0,"",IF(LEN(INDEX('Vendor COIs'!$P$4:$P$503,(_calc!$E$923-500)))=0,"",INDEX('Vendor COIs'!$P$4:$P$503,(_calc!$E$923-500)))))))</f>
        <v/>
      </c>
      <c r="G921" s="46">
        <f>IF(_calc!$E$923="","",IF(_calc!$E$923&lt;=500,IF(LEN(INDEX('Our policies'!$R$4:$R$503,_calc!$E$923))=0,"",INDEX('Our policies'!$R$4:$R$503,_calc!$E$923)),IF(LEN(INDEX('Vendor COIs'!$O$4:$O$503,(_calc!$E$923-500)))=0,"",INDEX('Vendor COIs'!$O$4:$O$503,(_calc!$E$923-500)))))</f>
        <v/>
      </c>
      <c r="H921" s="46">
        <f>IF(_calc!$E$923="","",IF(_calc!$E$923&lt;=500,IF(LEN(INDEX('Our policies'!$G$4:$G$503,_calc!$E$923))=0,"",INDEX('Our policies'!$G$4:$G$503,_calc!$E$923)),""))</f>
        <v/>
      </c>
      <c r="I921" s="46">
        <f>IF(_calc!$E$923="","",IF(_calc!$E$923&lt;=500,IF(LEN(INDEX('Our policies'!$H$4:$H$503,_calc!$E$923))=0,"",INDEX('Our policies'!$H$4:$H$503,_calc!$E$923)),""))</f>
        <v/>
      </c>
      <c r="K921" s="46">
        <f>IF(_calc!$E$923="","",IF(_calc!$E$923&lt;=500,IF(LEN(INDEX('Our policies'!$P$4:$P$503,_calc!$E$923))=0,"",INDEX('Our policies'!$P$4:$P$503,_calc!$E$923)),IF(LEN(INDEX('Vendor COIs'!$N$4:$N$503,(_calc!$E$923-500)))=0,"",INDEX('Vendor COIs'!$N$4:$N$503,(_calc!$E$923-500)))))</f>
        <v/>
      </c>
    </row>
    <row r="922">
      <c r="A922" s="46">
        <f>IF(_calc!$E$924="","",IF(_calc!$E$924&lt;=500,IF(LEN(INDEX('Our policies'!$A$4:$A$503,_calc!$E$924))=0,"",INDEX('Our policies'!$A$4:$A$503,_calc!$E$924)),"COI – "&amp;IF(LEN(INDEX('Vendor COIs'!$A$4:$A$503,(_calc!$E$924-500)))=0,"",INDEX('Vendor COIs'!$A$4:$A$503,(_calc!$E$924-500)))&amp;" – "&amp;IF(LEN(INDEX('Vendor COIs'!$B$4:$B$503,(_calc!$E$924-500)))=0,"",INDEX('Vendor COIs'!$B$4:$B$503,(_calc!$E$924-500)))))</f>
        <v/>
      </c>
      <c r="B922" s="46">
        <f>IF(_calc!$E$924="","",IF(_calc!$E$924&lt;=500,IF(ISNUMBER(INDEX('Our policies'!$J$4:$J$503,_calc!$E$924)),TEXT(INDEX('Our policies'!$J$4:$J$503,_calc!$E$924),"yyyy-mm-dd"),""),IF(ISNUMBER(INDEX('Vendor COIs'!$H$4:$H$503,(_calc!$E$924-500))),TEXT(INDEX('Vendor COIs'!$H$4:$H$503,(_calc!$E$924-500)),"yyyy-mm-dd"),"")))</f>
        <v/>
      </c>
      <c r="C922" s="46">
        <f>IF(_calc!$E$924="","",IF(_calc!$E$924&lt;=500,"Insurance","Certificate of insurance"))</f>
        <v/>
      </c>
      <c r="D922" s="46">
        <f>IF(_calc!$E$924="","",IF(_calc!$E$924&lt;=500,IF(ISNUMBER(INDEX('Our policies'!$I$4:$I$503,_calc!$E$924)),TEXT(INDEX('Our policies'!$I$4:$I$503,_calc!$E$924),"yyyy-mm-dd"),""),""))</f>
        <v/>
      </c>
      <c r="E922" s="46">
        <f>IF(_calc!$E$924="","",IF(_calc!$E$924&lt;=500,IF(LEN(INDEX('Our policies'!$Q$4:$Q$503,_calc!$E$924))=0,"",INDEX('Our policies'!$Q$4:$Q$503,_calc!$E$924)),"Medium"))</f>
        <v/>
      </c>
      <c r="F922" s="46">
        <f>IF(_calc!$E$924="","",IF(_calc!$E$924&lt;=500,TRIM(IF(LEN(IF(LEN(INDEX('Our policies'!$B$4:$B$503,_calc!$E$924))=0,"",INDEX('Our policies'!$B$4:$B$503,_calc!$E$924)))=0,"","Cover: "&amp;IF(LEN(INDEX('Our policies'!$B$4:$B$503,_calc!$E$924))=0,"",INDEX('Our policies'!$B$4:$B$503,_calc!$E$924))&amp;". ")&amp;IF(LEN(IF(LEN(INDEX('Our policies'!$C$4:$C$503,_calc!$E$924))=0,"",INDEX('Our policies'!$C$4:$C$503,_calc!$E$924)))=0,"","Insurer: "&amp;IF(LEN(INDEX('Our policies'!$C$4:$C$503,_calc!$E$924))=0,"",INDEX('Our policies'!$C$4:$C$503,_calc!$E$924))&amp;". ")&amp;IF(LEN(IF(LEN(INDEX('Our policies'!$D$4:$D$503,_calc!$E$924))=0,"",INDEX('Our policies'!$D$4:$D$503,_calc!$E$924)))=0,"","Broker: "&amp;IF(LEN(INDEX('Our policies'!$D$4:$D$503,_calc!$E$924))=0,"",INDEX('Our policies'!$D$4:$D$503,_calc!$E$924))&amp;". ")&amp;IF(LEN(IF(LEN(INDEX('Our policies'!$E$4:$E$503,_calc!$E$924))=0,"",INDEX('Our policies'!$E$4:$E$503,_calc!$E$924)))=0,"","Policy no.: "&amp;IF(LEN(INDEX('Our policies'!$E$4:$E$503,_calc!$E$924))=0,"",INDEX('Our policies'!$E$4:$E$503,_calc!$E$924))&amp;". ")&amp;IF(LEN(IF(LEN(INDEX('Our policies'!$S$4:$S$503,_calc!$E$924))=0,"",INDEX('Our policies'!$S$4:$S$503,_calc!$E$924)))=0,"",IF(LEN(INDEX('Our policies'!$S$4:$S$503,_calc!$E$924))=0,"",INDEX('Our policies'!$S$4:$S$503,_calc!$E$924)))),TRIM(IF(LEN(IF(LEN(INDEX('Vendor COIs'!$C$4:$C$503,(_calc!$E$924-500)))=0,"",INDEX('Vendor COIs'!$C$4:$C$503,(_calc!$E$924-500))))=0,"","Insurer: "&amp;IF(LEN(INDEX('Vendor COIs'!$C$4:$C$503,(_calc!$E$924-500)))=0,"",INDEX('Vendor COIs'!$C$4:$C$503,(_calc!$E$924-500)))&amp;". ")&amp;IF(LEN(IF(LEN(INDEX('Vendor COIs'!$D$4:$D$503,(_calc!$E$924-500)))=0,"",INDEX('Vendor COIs'!$D$4:$D$503,(_calc!$E$924-500))))=0,"","Policy no.: "&amp;IF(LEN(INDEX('Vendor COIs'!$D$4:$D$503,(_calc!$E$924-500)))=0,"",INDEX('Vendor COIs'!$D$4:$D$503,(_calc!$E$924-500)))&amp;". ")&amp;IF(LEN(IF(LEN(INDEX('Vendor COIs'!$F$4:$F$503,(_calc!$E$924-500)))=0,"",INDEX('Vendor COIs'!$F$4:$F$503,(_calc!$E$924-500))))=0,"","Meets minimum: "&amp;IF(LEN(INDEX('Vendor COIs'!$F$4:$F$503,(_calc!$E$924-500)))=0,"",INDEX('Vendor COIs'!$F$4:$F$503,(_calc!$E$924-500)))&amp;". ")&amp;IF(LEN(IF(LEN(INDEX('Vendor COIs'!$G$4:$G$503,(_calc!$E$924-500)))=0,"",INDEX('Vendor COIs'!$G$4:$G$503,(_calc!$E$924-500))))=0,"","Additional insured: "&amp;IF(LEN(INDEX('Vendor COIs'!$G$4:$G$503,(_calc!$E$924-500)))=0,"",INDEX('Vendor COIs'!$G$4:$G$503,(_calc!$E$924-500)))&amp;". ")&amp;IF(LEN(IF(LEN(INDEX('Vendor COIs'!$M$4:$M$503,(_calc!$E$924-500)))=0,"",INDEX('Vendor COIs'!$M$4:$M$503,(_calc!$E$924-500))))=0,"","Vendor contact: "&amp;IF(LEN(INDEX('Vendor COIs'!$M$4:$M$503,(_calc!$E$924-500)))=0,"",INDEX('Vendor COIs'!$M$4:$M$503,(_calc!$E$924-500)))&amp;". ")&amp;IF(LEN(IF(LEN(INDEX('Vendor COIs'!$P$4:$P$503,(_calc!$E$924-500)))=0,"",INDEX('Vendor COIs'!$P$4:$P$503,(_calc!$E$924-500))))=0,"",IF(LEN(INDEX('Vendor COIs'!$P$4:$P$503,(_calc!$E$924-500)))=0,"",INDEX('Vendor COIs'!$P$4:$P$503,(_calc!$E$924-500)))))))</f>
        <v/>
      </c>
      <c r="G922" s="46">
        <f>IF(_calc!$E$924="","",IF(_calc!$E$924&lt;=500,IF(LEN(INDEX('Our policies'!$R$4:$R$503,_calc!$E$924))=0,"",INDEX('Our policies'!$R$4:$R$503,_calc!$E$924)),IF(LEN(INDEX('Vendor COIs'!$O$4:$O$503,(_calc!$E$924-500)))=0,"",INDEX('Vendor COIs'!$O$4:$O$503,(_calc!$E$924-500)))))</f>
        <v/>
      </c>
      <c r="H922" s="46">
        <f>IF(_calc!$E$924="","",IF(_calc!$E$924&lt;=500,IF(LEN(INDEX('Our policies'!$G$4:$G$503,_calc!$E$924))=0,"",INDEX('Our policies'!$G$4:$G$503,_calc!$E$924)),""))</f>
        <v/>
      </c>
      <c r="I922" s="46">
        <f>IF(_calc!$E$924="","",IF(_calc!$E$924&lt;=500,IF(LEN(INDEX('Our policies'!$H$4:$H$503,_calc!$E$924))=0,"",INDEX('Our policies'!$H$4:$H$503,_calc!$E$924)),""))</f>
        <v/>
      </c>
      <c r="K922" s="46">
        <f>IF(_calc!$E$924="","",IF(_calc!$E$924&lt;=500,IF(LEN(INDEX('Our policies'!$P$4:$P$503,_calc!$E$924))=0,"",INDEX('Our policies'!$P$4:$P$503,_calc!$E$924)),IF(LEN(INDEX('Vendor COIs'!$N$4:$N$503,(_calc!$E$924-500)))=0,"",INDEX('Vendor COIs'!$N$4:$N$503,(_calc!$E$924-500)))))</f>
        <v/>
      </c>
    </row>
    <row r="923">
      <c r="A923" s="46">
        <f>IF(_calc!$E$925="","",IF(_calc!$E$925&lt;=500,IF(LEN(INDEX('Our policies'!$A$4:$A$503,_calc!$E$925))=0,"",INDEX('Our policies'!$A$4:$A$503,_calc!$E$925)),"COI – "&amp;IF(LEN(INDEX('Vendor COIs'!$A$4:$A$503,(_calc!$E$925-500)))=0,"",INDEX('Vendor COIs'!$A$4:$A$503,(_calc!$E$925-500)))&amp;" – "&amp;IF(LEN(INDEX('Vendor COIs'!$B$4:$B$503,(_calc!$E$925-500)))=0,"",INDEX('Vendor COIs'!$B$4:$B$503,(_calc!$E$925-500)))))</f>
        <v/>
      </c>
      <c r="B923" s="46">
        <f>IF(_calc!$E$925="","",IF(_calc!$E$925&lt;=500,IF(ISNUMBER(INDEX('Our policies'!$J$4:$J$503,_calc!$E$925)),TEXT(INDEX('Our policies'!$J$4:$J$503,_calc!$E$925),"yyyy-mm-dd"),""),IF(ISNUMBER(INDEX('Vendor COIs'!$H$4:$H$503,(_calc!$E$925-500))),TEXT(INDEX('Vendor COIs'!$H$4:$H$503,(_calc!$E$925-500)),"yyyy-mm-dd"),"")))</f>
        <v/>
      </c>
      <c r="C923" s="46">
        <f>IF(_calc!$E$925="","",IF(_calc!$E$925&lt;=500,"Insurance","Certificate of insurance"))</f>
        <v/>
      </c>
      <c r="D923" s="46">
        <f>IF(_calc!$E$925="","",IF(_calc!$E$925&lt;=500,IF(ISNUMBER(INDEX('Our policies'!$I$4:$I$503,_calc!$E$925)),TEXT(INDEX('Our policies'!$I$4:$I$503,_calc!$E$925),"yyyy-mm-dd"),""),""))</f>
        <v/>
      </c>
      <c r="E923" s="46">
        <f>IF(_calc!$E$925="","",IF(_calc!$E$925&lt;=500,IF(LEN(INDEX('Our policies'!$Q$4:$Q$503,_calc!$E$925))=0,"",INDEX('Our policies'!$Q$4:$Q$503,_calc!$E$925)),"Medium"))</f>
        <v/>
      </c>
      <c r="F923" s="46">
        <f>IF(_calc!$E$925="","",IF(_calc!$E$925&lt;=500,TRIM(IF(LEN(IF(LEN(INDEX('Our policies'!$B$4:$B$503,_calc!$E$925))=0,"",INDEX('Our policies'!$B$4:$B$503,_calc!$E$925)))=0,"","Cover: "&amp;IF(LEN(INDEX('Our policies'!$B$4:$B$503,_calc!$E$925))=0,"",INDEX('Our policies'!$B$4:$B$503,_calc!$E$925))&amp;". ")&amp;IF(LEN(IF(LEN(INDEX('Our policies'!$C$4:$C$503,_calc!$E$925))=0,"",INDEX('Our policies'!$C$4:$C$503,_calc!$E$925)))=0,"","Insurer: "&amp;IF(LEN(INDEX('Our policies'!$C$4:$C$503,_calc!$E$925))=0,"",INDEX('Our policies'!$C$4:$C$503,_calc!$E$925))&amp;". ")&amp;IF(LEN(IF(LEN(INDEX('Our policies'!$D$4:$D$503,_calc!$E$925))=0,"",INDEX('Our policies'!$D$4:$D$503,_calc!$E$925)))=0,"","Broker: "&amp;IF(LEN(INDEX('Our policies'!$D$4:$D$503,_calc!$E$925))=0,"",INDEX('Our policies'!$D$4:$D$503,_calc!$E$925))&amp;". ")&amp;IF(LEN(IF(LEN(INDEX('Our policies'!$E$4:$E$503,_calc!$E$925))=0,"",INDEX('Our policies'!$E$4:$E$503,_calc!$E$925)))=0,"","Policy no.: "&amp;IF(LEN(INDEX('Our policies'!$E$4:$E$503,_calc!$E$925))=0,"",INDEX('Our policies'!$E$4:$E$503,_calc!$E$925))&amp;". ")&amp;IF(LEN(IF(LEN(INDEX('Our policies'!$S$4:$S$503,_calc!$E$925))=0,"",INDEX('Our policies'!$S$4:$S$503,_calc!$E$925)))=0,"",IF(LEN(INDEX('Our policies'!$S$4:$S$503,_calc!$E$925))=0,"",INDEX('Our policies'!$S$4:$S$503,_calc!$E$925)))),TRIM(IF(LEN(IF(LEN(INDEX('Vendor COIs'!$C$4:$C$503,(_calc!$E$925-500)))=0,"",INDEX('Vendor COIs'!$C$4:$C$503,(_calc!$E$925-500))))=0,"","Insurer: "&amp;IF(LEN(INDEX('Vendor COIs'!$C$4:$C$503,(_calc!$E$925-500)))=0,"",INDEX('Vendor COIs'!$C$4:$C$503,(_calc!$E$925-500)))&amp;". ")&amp;IF(LEN(IF(LEN(INDEX('Vendor COIs'!$D$4:$D$503,(_calc!$E$925-500)))=0,"",INDEX('Vendor COIs'!$D$4:$D$503,(_calc!$E$925-500))))=0,"","Policy no.: "&amp;IF(LEN(INDEX('Vendor COIs'!$D$4:$D$503,(_calc!$E$925-500)))=0,"",INDEX('Vendor COIs'!$D$4:$D$503,(_calc!$E$925-500)))&amp;". ")&amp;IF(LEN(IF(LEN(INDEX('Vendor COIs'!$F$4:$F$503,(_calc!$E$925-500)))=0,"",INDEX('Vendor COIs'!$F$4:$F$503,(_calc!$E$925-500))))=0,"","Meets minimum: "&amp;IF(LEN(INDEX('Vendor COIs'!$F$4:$F$503,(_calc!$E$925-500)))=0,"",INDEX('Vendor COIs'!$F$4:$F$503,(_calc!$E$925-500)))&amp;". ")&amp;IF(LEN(IF(LEN(INDEX('Vendor COIs'!$G$4:$G$503,(_calc!$E$925-500)))=0,"",INDEX('Vendor COIs'!$G$4:$G$503,(_calc!$E$925-500))))=0,"","Additional insured: "&amp;IF(LEN(INDEX('Vendor COIs'!$G$4:$G$503,(_calc!$E$925-500)))=0,"",INDEX('Vendor COIs'!$G$4:$G$503,(_calc!$E$925-500)))&amp;". ")&amp;IF(LEN(IF(LEN(INDEX('Vendor COIs'!$M$4:$M$503,(_calc!$E$925-500)))=0,"",INDEX('Vendor COIs'!$M$4:$M$503,(_calc!$E$925-500))))=0,"","Vendor contact: "&amp;IF(LEN(INDEX('Vendor COIs'!$M$4:$M$503,(_calc!$E$925-500)))=0,"",INDEX('Vendor COIs'!$M$4:$M$503,(_calc!$E$925-500)))&amp;". ")&amp;IF(LEN(IF(LEN(INDEX('Vendor COIs'!$P$4:$P$503,(_calc!$E$925-500)))=0,"",INDEX('Vendor COIs'!$P$4:$P$503,(_calc!$E$925-500))))=0,"",IF(LEN(INDEX('Vendor COIs'!$P$4:$P$503,(_calc!$E$925-500)))=0,"",INDEX('Vendor COIs'!$P$4:$P$503,(_calc!$E$925-500)))))))</f>
        <v/>
      </c>
      <c r="G923" s="46">
        <f>IF(_calc!$E$925="","",IF(_calc!$E$925&lt;=500,IF(LEN(INDEX('Our policies'!$R$4:$R$503,_calc!$E$925))=0,"",INDEX('Our policies'!$R$4:$R$503,_calc!$E$925)),IF(LEN(INDEX('Vendor COIs'!$O$4:$O$503,(_calc!$E$925-500)))=0,"",INDEX('Vendor COIs'!$O$4:$O$503,(_calc!$E$925-500)))))</f>
        <v/>
      </c>
      <c r="H923" s="46">
        <f>IF(_calc!$E$925="","",IF(_calc!$E$925&lt;=500,IF(LEN(INDEX('Our policies'!$G$4:$G$503,_calc!$E$925))=0,"",INDEX('Our policies'!$G$4:$G$503,_calc!$E$925)),""))</f>
        <v/>
      </c>
      <c r="I923" s="46">
        <f>IF(_calc!$E$925="","",IF(_calc!$E$925&lt;=500,IF(LEN(INDEX('Our policies'!$H$4:$H$503,_calc!$E$925))=0,"",INDEX('Our policies'!$H$4:$H$503,_calc!$E$925)),""))</f>
        <v/>
      </c>
      <c r="K923" s="46">
        <f>IF(_calc!$E$925="","",IF(_calc!$E$925&lt;=500,IF(LEN(INDEX('Our policies'!$P$4:$P$503,_calc!$E$925))=0,"",INDEX('Our policies'!$P$4:$P$503,_calc!$E$925)),IF(LEN(INDEX('Vendor COIs'!$N$4:$N$503,(_calc!$E$925-500)))=0,"",INDEX('Vendor COIs'!$N$4:$N$503,(_calc!$E$925-500)))))</f>
        <v/>
      </c>
    </row>
    <row r="924">
      <c r="A924" s="46">
        <f>IF(_calc!$E$926="","",IF(_calc!$E$926&lt;=500,IF(LEN(INDEX('Our policies'!$A$4:$A$503,_calc!$E$926))=0,"",INDEX('Our policies'!$A$4:$A$503,_calc!$E$926)),"COI – "&amp;IF(LEN(INDEX('Vendor COIs'!$A$4:$A$503,(_calc!$E$926-500)))=0,"",INDEX('Vendor COIs'!$A$4:$A$503,(_calc!$E$926-500)))&amp;" – "&amp;IF(LEN(INDEX('Vendor COIs'!$B$4:$B$503,(_calc!$E$926-500)))=0,"",INDEX('Vendor COIs'!$B$4:$B$503,(_calc!$E$926-500)))))</f>
        <v/>
      </c>
      <c r="B924" s="46">
        <f>IF(_calc!$E$926="","",IF(_calc!$E$926&lt;=500,IF(ISNUMBER(INDEX('Our policies'!$J$4:$J$503,_calc!$E$926)),TEXT(INDEX('Our policies'!$J$4:$J$503,_calc!$E$926),"yyyy-mm-dd"),""),IF(ISNUMBER(INDEX('Vendor COIs'!$H$4:$H$503,(_calc!$E$926-500))),TEXT(INDEX('Vendor COIs'!$H$4:$H$503,(_calc!$E$926-500)),"yyyy-mm-dd"),"")))</f>
        <v/>
      </c>
      <c r="C924" s="46">
        <f>IF(_calc!$E$926="","",IF(_calc!$E$926&lt;=500,"Insurance","Certificate of insurance"))</f>
        <v/>
      </c>
      <c r="D924" s="46">
        <f>IF(_calc!$E$926="","",IF(_calc!$E$926&lt;=500,IF(ISNUMBER(INDEX('Our policies'!$I$4:$I$503,_calc!$E$926)),TEXT(INDEX('Our policies'!$I$4:$I$503,_calc!$E$926),"yyyy-mm-dd"),""),""))</f>
        <v/>
      </c>
      <c r="E924" s="46">
        <f>IF(_calc!$E$926="","",IF(_calc!$E$926&lt;=500,IF(LEN(INDEX('Our policies'!$Q$4:$Q$503,_calc!$E$926))=0,"",INDEX('Our policies'!$Q$4:$Q$503,_calc!$E$926)),"Medium"))</f>
        <v/>
      </c>
      <c r="F924" s="46">
        <f>IF(_calc!$E$926="","",IF(_calc!$E$926&lt;=500,TRIM(IF(LEN(IF(LEN(INDEX('Our policies'!$B$4:$B$503,_calc!$E$926))=0,"",INDEX('Our policies'!$B$4:$B$503,_calc!$E$926)))=0,"","Cover: "&amp;IF(LEN(INDEX('Our policies'!$B$4:$B$503,_calc!$E$926))=0,"",INDEX('Our policies'!$B$4:$B$503,_calc!$E$926))&amp;". ")&amp;IF(LEN(IF(LEN(INDEX('Our policies'!$C$4:$C$503,_calc!$E$926))=0,"",INDEX('Our policies'!$C$4:$C$503,_calc!$E$926)))=0,"","Insurer: "&amp;IF(LEN(INDEX('Our policies'!$C$4:$C$503,_calc!$E$926))=0,"",INDEX('Our policies'!$C$4:$C$503,_calc!$E$926))&amp;". ")&amp;IF(LEN(IF(LEN(INDEX('Our policies'!$D$4:$D$503,_calc!$E$926))=0,"",INDEX('Our policies'!$D$4:$D$503,_calc!$E$926)))=0,"","Broker: "&amp;IF(LEN(INDEX('Our policies'!$D$4:$D$503,_calc!$E$926))=0,"",INDEX('Our policies'!$D$4:$D$503,_calc!$E$926))&amp;". ")&amp;IF(LEN(IF(LEN(INDEX('Our policies'!$E$4:$E$503,_calc!$E$926))=0,"",INDEX('Our policies'!$E$4:$E$503,_calc!$E$926)))=0,"","Policy no.: "&amp;IF(LEN(INDEX('Our policies'!$E$4:$E$503,_calc!$E$926))=0,"",INDEX('Our policies'!$E$4:$E$503,_calc!$E$926))&amp;". ")&amp;IF(LEN(IF(LEN(INDEX('Our policies'!$S$4:$S$503,_calc!$E$926))=0,"",INDEX('Our policies'!$S$4:$S$503,_calc!$E$926)))=0,"",IF(LEN(INDEX('Our policies'!$S$4:$S$503,_calc!$E$926))=0,"",INDEX('Our policies'!$S$4:$S$503,_calc!$E$926)))),TRIM(IF(LEN(IF(LEN(INDEX('Vendor COIs'!$C$4:$C$503,(_calc!$E$926-500)))=0,"",INDEX('Vendor COIs'!$C$4:$C$503,(_calc!$E$926-500))))=0,"","Insurer: "&amp;IF(LEN(INDEX('Vendor COIs'!$C$4:$C$503,(_calc!$E$926-500)))=0,"",INDEX('Vendor COIs'!$C$4:$C$503,(_calc!$E$926-500)))&amp;". ")&amp;IF(LEN(IF(LEN(INDEX('Vendor COIs'!$D$4:$D$503,(_calc!$E$926-500)))=0,"",INDEX('Vendor COIs'!$D$4:$D$503,(_calc!$E$926-500))))=0,"","Policy no.: "&amp;IF(LEN(INDEX('Vendor COIs'!$D$4:$D$503,(_calc!$E$926-500)))=0,"",INDEX('Vendor COIs'!$D$4:$D$503,(_calc!$E$926-500)))&amp;". ")&amp;IF(LEN(IF(LEN(INDEX('Vendor COIs'!$F$4:$F$503,(_calc!$E$926-500)))=0,"",INDEX('Vendor COIs'!$F$4:$F$503,(_calc!$E$926-500))))=0,"","Meets minimum: "&amp;IF(LEN(INDEX('Vendor COIs'!$F$4:$F$503,(_calc!$E$926-500)))=0,"",INDEX('Vendor COIs'!$F$4:$F$503,(_calc!$E$926-500)))&amp;". ")&amp;IF(LEN(IF(LEN(INDEX('Vendor COIs'!$G$4:$G$503,(_calc!$E$926-500)))=0,"",INDEX('Vendor COIs'!$G$4:$G$503,(_calc!$E$926-500))))=0,"","Additional insured: "&amp;IF(LEN(INDEX('Vendor COIs'!$G$4:$G$503,(_calc!$E$926-500)))=0,"",INDEX('Vendor COIs'!$G$4:$G$503,(_calc!$E$926-500)))&amp;". ")&amp;IF(LEN(IF(LEN(INDEX('Vendor COIs'!$M$4:$M$503,(_calc!$E$926-500)))=0,"",INDEX('Vendor COIs'!$M$4:$M$503,(_calc!$E$926-500))))=0,"","Vendor contact: "&amp;IF(LEN(INDEX('Vendor COIs'!$M$4:$M$503,(_calc!$E$926-500)))=0,"",INDEX('Vendor COIs'!$M$4:$M$503,(_calc!$E$926-500)))&amp;". ")&amp;IF(LEN(IF(LEN(INDEX('Vendor COIs'!$P$4:$P$503,(_calc!$E$926-500)))=0,"",INDEX('Vendor COIs'!$P$4:$P$503,(_calc!$E$926-500))))=0,"",IF(LEN(INDEX('Vendor COIs'!$P$4:$P$503,(_calc!$E$926-500)))=0,"",INDEX('Vendor COIs'!$P$4:$P$503,(_calc!$E$926-500)))))))</f>
        <v/>
      </c>
      <c r="G924" s="46">
        <f>IF(_calc!$E$926="","",IF(_calc!$E$926&lt;=500,IF(LEN(INDEX('Our policies'!$R$4:$R$503,_calc!$E$926))=0,"",INDEX('Our policies'!$R$4:$R$503,_calc!$E$926)),IF(LEN(INDEX('Vendor COIs'!$O$4:$O$503,(_calc!$E$926-500)))=0,"",INDEX('Vendor COIs'!$O$4:$O$503,(_calc!$E$926-500)))))</f>
        <v/>
      </c>
      <c r="H924" s="46">
        <f>IF(_calc!$E$926="","",IF(_calc!$E$926&lt;=500,IF(LEN(INDEX('Our policies'!$G$4:$G$503,_calc!$E$926))=0,"",INDEX('Our policies'!$G$4:$G$503,_calc!$E$926)),""))</f>
        <v/>
      </c>
      <c r="I924" s="46">
        <f>IF(_calc!$E$926="","",IF(_calc!$E$926&lt;=500,IF(LEN(INDEX('Our policies'!$H$4:$H$503,_calc!$E$926))=0,"",INDEX('Our policies'!$H$4:$H$503,_calc!$E$926)),""))</f>
        <v/>
      </c>
      <c r="K924" s="46">
        <f>IF(_calc!$E$926="","",IF(_calc!$E$926&lt;=500,IF(LEN(INDEX('Our policies'!$P$4:$P$503,_calc!$E$926))=0,"",INDEX('Our policies'!$P$4:$P$503,_calc!$E$926)),IF(LEN(INDEX('Vendor COIs'!$N$4:$N$503,(_calc!$E$926-500)))=0,"",INDEX('Vendor COIs'!$N$4:$N$503,(_calc!$E$926-500)))))</f>
        <v/>
      </c>
    </row>
    <row r="925">
      <c r="A925" s="46">
        <f>IF(_calc!$E$927="","",IF(_calc!$E$927&lt;=500,IF(LEN(INDEX('Our policies'!$A$4:$A$503,_calc!$E$927))=0,"",INDEX('Our policies'!$A$4:$A$503,_calc!$E$927)),"COI – "&amp;IF(LEN(INDEX('Vendor COIs'!$A$4:$A$503,(_calc!$E$927-500)))=0,"",INDEX('Vendor COIs'!$A$4:$A$503,(_calc!$E$927-500)))&amp;" – "&amp;IF(LEN(INDEX('Vendor COIs'!$B$4:$B$503,(_calc!$E$927-500)))=0,"",INDEX('Vendor COIs'!$B$4:$B$503,(_calc!$E$927-500)))))</f>
        <v/>
      </c>
      <c r="B925" s="46">
        <f>IF(_calc!$E$927="","",IF(_calc!$E$927&lt;=500,IF(ISNUMBER(INDEX('Our policies'!$J$4:$J$503,_calc!$E$927)),TEXT(INDEX('Our policies'!$J$4:$J$503,_calc!$E$927),"yyyy-mm-dd"),""),IF(ISNUMBER(INDEX('Vendor COIs'!$H$4:$H$503,(_calc!$E$927-500))),TEXT(INDEX('Vendor COIs'!$H$4:$H$503,(_calc!$E$927-500)),"yyyy-mm-dd"),"")))</f>
        <v/>
      </c>
      <c r="C925" s="46">
        <f>IF(_calc!$E$927="","",IF(_calc!$E$927&lt;=500,"Insurance","Certificate of insurance"))</f>
        <v/>
      </c>
      <c r="D925" s="46">
        <f>IF(_calc!$E$927="","",IF(_calc!$E$927&lt;=500,IF(ISNUMBER(INDEX('Our policies'!$I$4:$I$503,_calc!$E$927)),TEXT(INDEX('Our policies'!$I$4:$I$503,_calc!$E$927),"yyyy-mm-dd"),""),""))</f>
        <v/>
      </c>
      <c r="E925" s="46">
        <f>IF(_calc!$E$927="","",IF(_calc!$E$927&lt;=500,IF(LEN(INDEX('Our policies'!$Q$4:$Q$503,_calc!$E$927))=0,"",INDEX('Our policies'!$Q$4:$Q$503,_calc!$E$927)),"Medium"))</f>
        <v/>
      </c>
      <c r="F925" s="46">
        <f>IF(_calc!$E$927="","",IF(_calc!$E$927&lt;=500,TRIM(IF(LEN(IF(LEN(INDEX('Our policies'!$B$4:$B$503,_calc!$E$927))=0,"",INDEX('Our policies'!$B$4:$B$503,_calc!$E$927)))=0,"","Cover: "&amp;IF(LEN(INDEX('Our policies'!$B$4:$B$503,_calc!$E$927))=0,"",INDEX('Our policies'!$B$4:$B$503,_calc!$E$927))&amp;". ")&amp;IF(LEN(IF(LEN(INDEX('Our policies'!$C$4:$C$503,_calc!$E$927))=0,"",INDEX('Our policies'!$C$4:$C$503,_calc!$E$927)))=0,"","Insurer: "&amp;IF(LEN(INDEX('Our policies'!$C$4:$C$503,_calc!$E$927))=0,"",INDEX('Our policies'!$C$4:$C$503,_calc!$E$927))&amp;". ")&amp;IF(LEN(IF(LEN(INDEX('Our policies'!$D$4:$D$503,_calc!$E$927))=0,"",INDEX('Our policies'!$D$4:$D$503,_calc!$E$927)))=0,"","Broker: "&amp;IF(LEN(INDEX('Our policies'!$D$4:$D$503,_calc!$E$927))=0,"",INDEX('Our policies'!$D$4:$D$503,_calc!$E$927))&amp;". ")&amp;IF(LEN(IF(LEN(INDEX('Our policies'!$E$4:$E$503,_calc!$E$927))=0,"",INDEX('Our policies'!$E$4:$E$503,_calc!$E$927)))=0,"","Policy no.: "&amp;IF(LEN(INDEX('Our policies'!$E$4:$E$503,_calc!$E$927))=0,"",INDEX('Our policies'!$E$4:$E$503,_calc!$E$927))&amp;". ")&amp;IF(LEN(IF(LEN(INDEX('Our policies'!$S$4:$S$503,_calc!$E$927))=0,"",INDEX('Our policies'!$S$4:$S$503,_calc!$E$927)))=0,"",IF(LEN(INDEX('Our policies'!$S$4:$S$503,_calc!$E$927))=0,"",INDEX('Our policies'!$S$4:$S$503,_calc!$E$927)))),TRIM(IF(LEN(IF(LEN(INDEX('Vendor COIs'!$C$4:$C$503,(_calc!$E$927-500)))=0,"",INDEX('Vendor COIs'!$C$4:$C$503,(_calc!$E$927-500))))=0,"","Insurer: "&amp;IF(LEN(INDEX('Vendor COIs'!$C$4:$C$503,(_calc!$E$927-500)))=0,"",INDEX('Vendor COIs'!$C$4:$C$503,(_calc!$E$927-500)))&amp;". ")&amp;IF(LEN(IF(LEN(INDEX('Vendor COIs'!$D$4:$D$503,(_calc!$E$927-500)))=0,"",INDEX('Vendor COIs'!$D$4:$D$503,(_calc!$E$927-500))))=0,"","Policy no.: "&amp;IF(LEN(INDEX('Vendor COIs'!$D$4:$D$503,(_calc!$E$927-500)))=0,"",INDEX('Vendor COIs'!$D$4:$D$503,(_calc!$E$927-500)))&amp;". ")&amp;IF(LEN(IF(LEN(INDEX('Vendor COIs'!$F$4:$F$503,(_calc!$E$927-500)))=0,"",INDEX('Vendor COIs'!$F$4:$F$503,(_calc!$E$927-500))))=0,"","Meets minimum: "&amp;IF(LEN(INDEX('Vendor COIs'!$F$4:$F$503,(_calc!$E$927-500)))=0,"",INDEX('Vendor COIs'!$F$4:$F$503,(_calc!$E$927-500)))&amp;". ")&amp;IF(LEN(IF(LEN(INDEX('Vendor COIs'!$G$4:$G$503,(_calc!$E$927-500)))=0,"",INDEX('Vendor COIs'!$G$4:$G$503,(_calc!$E$927-500))))=0,"","Additional insured: "&amp;IF(LEN(INDEX('Vendor COIs'!$G$4:$G$503,(_calc!$E$927-500)))=0,"",INDEX('Vendor COIs'!$G$4:$G$503,(_calc!$E$927-500)))&amp;". ")&amp;IF(LEN(IF(LEN(INDEX('Vendor COIs'!$M$4:$M$503,(_calc!$E$927-500)))=0,"",INDEX('Vendor COIs'!$M$4:$M$503,(_calc!$E$927-500))))=0,"","Vendor contact: "&amp;IF(LEN(INDEX('Vendor COIs'!$M$4:$M$503,(_calc!$E$927-500)))=0,"",INDEX('Vendor COIs'!$M$4:$M$503,(_calc!$E$927-500)))&amp;". ")&amp;IF(LEN(IF(LEN(INDEX('Vendor COIs'!$P$4:$P$503,(_calc!$E$927-500)))=0,"",INDEX('Vendor COIs'!$P$4:$P$503,(_calc!$E$927-500))))=0,"",IF(LEN(INDEX('Vendor COIs'!$P$4:$P$503,(_calc!$E$927-500)))=0,"",INDEX('Vendor COIs'!$P$4:$P$503,(_calc!$E$927-500)))))))</f>
        <v/>
      </c>
      <c r="G925" s="46">
        <f>IF(_calc!$E$927="","",IF(_calc!$E$927&lt;=500,IF(LEN(INDEX('Our policies'!$R$4:$R$503,_calc!$E$927))=0,"",INDEX('Our policies'!$R$4:$R$503,_calc!$E$927)),IF(LEN(INDEX('Vendor COIs'!$O$4:$O$503,(_calc!$E$927-500)))=0,"",INDEX('Vendor COIs'!$O$4:$O$503,(_calc!$E$927-500)))))</f>
        <v/>
      </c>
      <c r="H925" s="46">
        <f>IF(_calc!$E$927="","",IF(_calc!$E$927&lt;=500,IF(LEN(INDEX('Our policies'!$G$4:$G$503,_calc!$E$927))=0,"",INDEX('Our policies'!$G$4:$G$503,_calc!$E$927)),""))</f>
        <v/>
      </c>
      <c r="I925" s="46">
        <f>IF(_calc!$E$927="","",IF(_calc!$E$927&lt;=500,IF(LEN(INDEX('Our policies'!$H$4:$H$503,_calc!$E$927))=0,"",INDEX('Our policies'!$H$4:$H$503,_calc!$E$927)),""))</f>
        <v/>
      </c>
      <c r="K925" s="46">
        <f>IF(_calc!$E$927="","",IF(_calc!$E$927&lt;=500,IF(LEN(INDEX('Our policies'!$P$4:$P$503,_calc!$E$927))=0,"",INDEX('Our policies'!$P$4:$P$503,_calc!$E$927)),IF(LEN(INDEX('Vendor COIs'!$N$4:$N$503,(_calc!$E$927-500)))=0,"",INDEX('Vendor COIs'!$N$4:$N$503,(_calc!$E$927-500)))))</f>
        <v/>
      </c>
    </row>
    <row r="926">
      <c r="A926" s="46">
        <f>IF(_calc!$E$928="","",IF(_calc!$E$928&lt;=500,IF(LEN(INDEX('Our policies'!$A$4:$A$503,_calc!$E$928))=0,"",INDEX('Our policies'!$A$4:$A$503,_calc!$E$928)),"COI – "&amp;IF(LEN(INDEX('Vendor COIs'!$A$4:$A$503,(_calc!$E$928-500)))=0,"",INDEX('Vendor COIs'!$A$4:$A$503,(_calc!$E$928-500)))&amp;" – "&amp;IF(LEN(INDEX('Vendor COIs'!$B$4:$B$503,(_calc!$E$928-500)))=0,"",INDEX('Vendor COIs'!$B$4:$B$503,(_calc!$E$928-500)))))</f>
        <v/>
      </c>
      <c r="B926" s="46">
        <f>IF(_calc!$E$928="","",IF(_calc!$E$928&lt;=500,IF(ISNUMBER(INDEX('Our policies'!$J$4:$J$503,_calc!$E$928)),TEXT(INDEX('Our policies'!$J$4:$J$503,_calc!$E$928),"yyyy-mm-dd"),""),IF(ISNUMBER(INDEX('Vendor COIs'!$H$4:$H$503,(_calc!$E$928-500))),TEXT(INDEX('Vendor COIs'!$H$4:$H$503,(_calc!$E$928-500)),"yyyy-mm-dd"),"")))</f>
        <v/>
      </c>
      <c r="C926" s="46">
        <f>IF(_calc!$E$928="","",IF(_calc!$E$928&lt;=500,"Insurance","Certificate of insurance"))</f>
        <v/>
      </c>
      <c r="D926" s="46">
        <f>IF(_calc!$E$928="","",IF(_calc!$E$928&lt;=500,IF(ISNUMBER(INDEX('Our policies'!$I$4:$I$503,_calc!$E$928)),TEXT(INDEX('Our policies'!$I$4:$I$503,_calc!$E$928),"yyyy-mm-dd"),""),""))</f>
        <v/>
      </c>
      <c r="E926" s="46">
        <f>IF(_calc!$E$928="","",IF(_calc!$E$928&lt;=500,IF(LEN(INDEX('Our policies'!$Q$4:$Q$503,_calc!$E$928))=0,"",INDEX('Our policies'!$Q$4:$Q$503,_calc!$E$928)),"Medium"))</f>
        <v/>
      </c>
      <c r="F926" s="46">
        <f>IF(_calc!$E$928="","",IF(_calc!$E$928&lt;=500,TRIM(IF(LEN(IF(LEN(INDEX('Our policies'!$B$4:$B$503,_calc!$E$928))=0,"",INDEX('Our policies'!$B$4:$B$503,_calc!$E$928)))=0,"","Cover: "&amp;IF(LEN(INDEX('Our policies'!$B$4:$B$503,_calc!$E$928))=0,"",INDEX('Our policies'!$B$4:$B$503,_calc!$E$928))&amp;". ")&amp;IF(LEN(IF(LEN(INDEX('Our policies'!$C$4:$C$503,_calc!$E$928))=0,"",INDEX('Our policies'!$C$4:$C$503,_calc!$E$928)))=0,"","Insurer: "&amp;IF(LEN(INDEX('Our policies'!$C$4:$C$503,_calc!$E$928))=0,"",INDEX('Our policies'!$C$4:$C$503,_calc!$E$928))&amp;". ")&amp;IF(LEN(IF(LEN(INDEX('Our policies'!$D$4:$D$503,_calc!$E$928))=0,"",INDEX('Our policies'!$D$4:$D$503,_calc!$E$928)))=0,"","Broker: "&amp;IF(LEN(INDEX('Our policies'!$D$4:$D$503,_calc!$E$928))=0,"",INDEX('Our policies'!$D$4:$D$503,_calc!$E$928))&amp;". ")&amp;IF(LEN(IF(LEN(INDEX('Our policies'!$E$4:$E$503,_calc!$E$928))=0,"",INDEX('Our policies'!$E$4:$E$503,_calc!$E$928)))=0,"","Policy no.: "&amp;IF(LEN(INDEX('Our policies'!$E$4:$E$503,_calc!$E$928))=0,"",INDEX('Our policies'!$E$4:$E$503,_calc!$E$928))&amp;". ")&amp;IF(LEN(IF(LEN(INDEX('Our policies'!$S$4:$S$503,_calc!$E$928))=0,"",INDEX('Our policies'!$S$4:$S$503,_calc!$E$928)))=0,"",IF(LEN(INDEX('Our policies'!$S$4:$S$503,_calc!$E$928))=0,"",INDEX('Our policies'!$S$4:$S$503,_calc!$E$928)))),TRIM(IF(LEN(IF(LEN(INDEX('Vendor COIs'!$C$4:$C$503,(_calc!$E$928-500)))=0,"",INDEX('Vendor COIs'!$C$4:$C$503,(_calc!$E$928-500))))=0,"","Insurer: "&amp;IF(LEN(INDEX('Vendor COIs'!$C$4:$C$503,(_calc!$E$928-500)))=0,"",INDEX('Vendor COIs'!$C$4:$C$503,(_calc!$E$928-500)))&amp;". ")&amp;IF(LEN(IF(LEN(INDEX('Vendor COIs'!$D$4:$D$503,(_calc!$E$928-500)))=0,"",INDEX('Vendor COIs'!$D$4:$D$503,(_calc!$E$928-500))))=0,"","Policy no.: "&amp;IF(LEN(INDEX('Vendor COIs'!$D$4:$D$503,(_calc!$E$928-500)))=0,"",INDEX('Vendor COIs'!$D$4:$D$503,(_calc!$E$928-500)))&amp;". ")&amp;IF(LEN(IF(LEN(INDEX('Vendor COIs'!$F$4:$F$503,(_calc!$E$928-500)))=0,"",INDEX('Vendor COIs'!$F$4:$F$503,(_calc!$E$928-500))))=0,"","Meets minimum: "&amp;IF(LEN(INDEX('Vendor COIs'!$F$4:$F$503,(_calc!$E$928-500)))=0,"",INDEX('Vendor COIs'!$F$4:$F$503,(_calc!$E$928-500)))&amp;". ")&amp;IF(LEN(IF(LEN(INDEX('Vendor COIs'!$G$4:$G$503,(_calc!$E$928-500)))=0,"",INDEX('Vendor COIs'!$G$4:$G$503,(_calc!$E$928-500))))=0,"","Additional insured: "&amp;IF(LEN(INDEX('Vendor COIs'!$G$4:$G$503,(_calc!$E$928-500)))=0,"",INDEX('Vendor COIs'!$G$4:$G$503,(_calc!$E$928-500)))&amp;". ")&amp;IF(LEN(IF(LEN(INDEX('Vendor COIs'!$M$4:$M$503,(_calc!$E$928-500)))=0,"",INDEX('Vendor COIs'!$M$4:$M$503,(_calc!$E$928-500))))=0,"","Vendor contact: "&amp;IF(LEN(INDEX('Vendor COIs'!$M$4:$M$503,(_calc!$E$928-500)))=0,"",INDEX('Vendor COIs'!$M$4:$M$503,(_calc!$E$928-500)))&amp;". ")&amp;IF(LEN(IF(LEN(INDEX('Vendor COIs'!$P$4:$P$503,(_calc!$E$928-500)))=0,"",INDEX('Vendor COIs'!$P$4:$P$503,(_calc!$E$928-500))))=0,"",IF(LEN(INDEX('Vendor COIs'!$P$4:$P$503,(_calc!$E$928-500)))=0,"",INDEX('Vendor COIs'!$P$4:$P$503,(_calc!$E$928-500)))))))</f>
        <v/>
      </c>
      <c r="G926" s="46">
        <f>IF(_calc!$E$928="","",IF(_calc!$E$928&lt;=500,IF(LEN(INDEX('Our policies'!$R$4:$R$503,_calc!$E$928))=0,"",INDEX('Our policies'!$R$4:$R$503,_calc!$E$928)),IF(LEN(INDEX('Vendor COIs'!$O$4:$O$503,(_calc!$E$928-500)))=0,"",INDEX('Vendor COIs'!$O$4:$O$503,(_calc!$E$928-500)))))</f>
        <v/>
      </c>
      <c r="H926" s="46">
        <f>IF(_calc!$E$928="","",IF(_calc!$E$928&lt;=500,IF(LEN(INDEX('Our policies'!$G$4:$G$503,_calc!$E$928))=0,"",INDEX('Our policies'!$G$4:$G$503,_calc!$E$928)),""))</f>
        <v/>
      </c>
      <c r="I926" s="46">
        <f>IF(_calc!$E$928="","",IF(_calc!$E$928&lt;=500,IF(LEN(INDEX('Our policies'!$H$4:$H$503,_calc!$E$928))=0,"",INDEX('Our policies'!$H$4:$H$503,_calc!$E$928)),""))</f>
        <v/>
      </c>
      <c r="K926" s="46">
        <f>IF(_calc!$E$928="","",IF(_calc!$E$928&lt;=500,IF(LEN(INDEX('Our policies'!$P$4:$P$503,_calc!$E$928))=0,"",INDEX('Our policies'!$P$4:$P$503,_calc!$E$928)),IF(LEN(INDEX('Vendor COIs'!$N$4:$N$503,(_calc!$E$928-500)))=0,"",INDEX('Vendor COIs'!$N$4:$N$503,(_calc!$E$928-500)))))</f>
        <v/>
      </c>
    </row>
    <row r="927">
      <c r="A927" s="46">
        <f>IF(_calc!$E$929="","",IF(_calc!$E$929&lt;=500,IF(LEN(INDEX('Our policies'!$A$4:$A$503,_calc!$E$929))=0,"",INDEX('Our policies'!$A$4:$A$503,_calc!$E$929)),"COI – "&amp;IF(LEN(INDEX('Vendor COIs'!$A$4:$A$503,(_calc!$E$929-500)))=0,"",INDEX('Vendor COIs'!$A$4:$A$503,(_calc!$E$929-500)))&amp;" – "&amp;IF(LEN(INDEX('Vendor COIs'!$B$4:$B$503,(_calc!$E$929-500)))=0,"",INDEX('Vendor COIs'!$B$4:$B$503,(_calc!$E$929-500)))))</f>
        <v/>
      </c>
      <c r="B927" s="46">
        <f>IF(_calc!$E$929="","",IF(_calc!$E$929&lt;=500,IF(ISNUMBER(INDEX('Our policies'!$J$4:$J$503,_calc!$E$929)),TEXT(INDEX('Our policies'!$J$4:$J$503,_calc!$E$929),"yyyy-mm-dd"),""),IF(ISNUMBER(INDEX('Vendor COIs'!$H$4:$H$503,(_calc!$E$929-500))),TEXT(INDEX('Vendor COIs'!$H$4:$H$503,(_calc!$E$929-500)),"yyyy-mm-dd"),"")))</f>
        <v/>
      </c>
      <c r="C927" s="46">
        <f>IF(_calc!$E$929="","",IF(_calc!$E$929&lt;=500,"Insurance","Certificate of insurance"))</f>
        <v/>
      </c>
      <c r="D927" s="46">
        <f>IF(_calc!$E$929="","",IF(_calc!$E$929&lt;=500,IF(ISNUMBER(INDEX('Our policies'!$I$4:$I$503,_calc!$E$929)),TEXT(INDEX('Our policies'!$I$4:$I$503,_calc!$E$929),"yyyy-mm-dd"),""),""))</f>
        <v/>
      </c>
      <c r="E927" s="46">
        <f>IF(_calc!$E$929="","",IF(_calc!$E$929&lt;=500,IF(LEN(INDEX('Our policies'!$Q$4:$Q$503,_calc!$E$929))=0,"",INDEX('Our policies'!$Q$4:$Q$503,_calc!$E$929)),"Medium"))</f>
        <v/>
      </c>
      <c r="F927" s="46">
        <f>IF(_calc!$E$929="","",IF(_calc!$E$929&lt;=500,TRIM(IF(LEN(IF(LEN(INDEX('Our policies'!$B$4:$B$503,_calc!$E$929))=0,"",INDEX('Our policies'!$B$4:$B$503,_calc!$E$929)))=0,"","Cover: "&amp;IF(LEN(INDEX('Our policies'!$B$4:$B$503,_calc!$E$929))=0,"",INDEX('Our policies'!$B$4:$B$503,_calc!$E$929))&amp;". ")&amp;IF(LEN(IF(LEN(INDEX('Our policies'!$C$4:$C$503,_calc!$E$929))=0,"",INDEX('Our policies'!$C$4:$C$503,_calc!$E$929)))=0,"","Insurer: "&amp;IF(LEN(INDEX('Our policies'!$C$4:$C$503,_calc!$E$929))=0,"",INDEX('Our policies'!$C$4:$C$503,_calc!$E$929))&amp;". ")&amp;IF(LEN(IF(LEN(INDEX('Our policies'!$D$4:$D$503,_calc!$E$929))=0,"",INDEX('Our policies'!$D$4:$D$503,_calc!$E$929)))=0,"","Broker: "&amp;IF(LEN(INDEX('Our policies'!$D$4:$D$503,_calc!$E$929))=0,"",INDEX('Our policies'!$D$4:$D$503,_calc!$E$929))&amp;". ")&amp;IF(LEN(IF(LEN(INDEX('Our policies'!$E$4:$E$503,_calc!$E$929))=0,"",INDEX('Our policies'!$E$4:$E$503,_calc!$E$929)))=0,"","Policy no.: "&amp;IF(LEN(INDEX('Our policies'!$E$4:$E$503,_calc!$E$929))=0,"",INDEX('Our policies'!$E$4:$E$503,_calc!$E$929))&amp;". ")&amp;IF(LEN(IF(LEN(INDEX('Our policies'!$S$4:$S$503,_calc!$E$929))=0,"",INDEX('Our policies'!$S$4:$S$503,_calc!$E$929)))=0,"",IF(LEN(INDEX('Our policies'!$S$4:$S$503,_calc!$E$929))=0,"",INDEX('Our policies'!$S$4:$S$503,_calc!$E$929)))),TRIM(IF(LEN(IF(LEN(INDEX('Vendor COIs'!$C$4:$C$503,(_calc!$E$929-500)))=0,"",INDEX('Vendor COIs'!$C$4:$C$503,(_calc!$E$929-500))))=0,"","Insurer: "&amp;IF(LEN(INDEX('Vendor COIs'!$C$4:$C$503,(_calc!$E$929-500)))=0,"",INDEX('Vendor COIs'!$C$4:$C$503,(_calc!$E$929-500)))&amp;". ")&amp;IF(LEN(IF(LEN(INDEX('Vendor COIs'!$D$4:$D$503,(_calc!$E$929-500)))=0,"",INDEX('Vendor COIs'!$D$4:$D$503,(_calc!$E$929-500))))=0,"","Policy no.: "&amp;IF(LEN(INDEX('Vendor COIs'!$D$4:$D$503,(_calc!$E$929-500)))=0,"",INDEX('Vendor COIs'!$D$4:$D$503,(_calc!$E$929-500)))&amp;". ")&amp;IF(LEN(IF(LEN(INDEX('Vendor COIs'!$F$4:$F$503,(_calc!$E$929-500)))=0,"",INDEX('Vendor COIs'!$F$4:$F$503,(_calc!$E$929-500))))=0,"","Meets minimum: "&amp;IF(LEN(INDEX('Vendor COIs'!$F$4:$F$503,(_calc!$E$929-500)))=0,"",INDEX('Vendor COIs'!$F$4:$F$503,(_calc!$E$929-500)))&amp;". ")&amp;IF(LEN(IF(LEN(INDEX('Vendor COIs'!$G$4:$G$503,(_calc!$E$929-500)))=0,"",INDEX('Vendor COIs'!$G$4:$G$503,(_calc!$E$929-500))))=0,"","Additional insured: "&amp;IF(LEN(INDEX('Vendor COIs'!$G$4:$G$503,(_calc!$E$929-500)))=0,"",INDEX('Vendor COIs'!$G$4:$G$503,(_calc!$E$929-500)))&amp;". ")&amp;IF(LEN(IF(LEN(INDEX('Vendor COIs'!$M$4:$M$503,(_calc!$E$929-500)))=0,"",INDEX('Vendor COIs'!$M$4:$M$503,(_calc!$E$929-500))))=0,"","Vendor contact: "&amp;IF(LEN(INDEX('Vendor COIs'!$M$4:$M$503,(_calc!$E$929-500)))=0,"",INDEX('Vendor COIs'!$M$4:$M$503,(_calc!$E$929-500)))&amp;". ")&amp;IF(LEN(IF(LEN(INDEX('Vendor COIs'!$P$4:$P$503,(_calc!$E$929-500)))=0,"",INDEX('Vendor COIs'!$P$4:$P$503,(_calc!$E$929-500))))=0,"",IF(LEN(INDEX('Vendor COIs'!$P$4:$P$503,(_calc!$E$929-500)))=0,"",INDEX('Vendor COIs'!$P$4:$P$503,(_calc!$E$929-500)))))))</f>
        <v/>
      </c>
      <c r="G927" s="46">
        <f>IF(_calc!$E$929="","",IF(_calc!$E$929&lt;=500,IF(LEN(INDEX('Our policies'!$R$4:$R$503,_calc!$E$929))=0,"",INDEX('Our policies'!$R$4:$R$503,_calc!$E$929)),IF(LEN(INDEX('Vendor COIs'!$O$4:$O$503,(_calc!$E$929-500)))=0,"",INDEX('Vendor COIs'!$O$4:$O$503,(_calc!$E$929-500)))))</f>
        <v/>
      </c>
      <c r="H927" s="46">
        <f>IF(_calc!$E$929="","",IF(_calc!$E$929&lt;=500,IF(LEN(INDEX('Our policies'!$G$4:$G$503,_calc!$E$929))=0,"",INDEX('Our policies'!$G$4:$G$503,_calc!$E$929)),""))</f>
        <v/>
      </c>
      <c r="I927" s="46">
        <f>IF(_calc!$E$929="","",IF(_calc!$E$929&lt;=500,IF(LEN(INDEX('Our policies'!$H$4:$H$503,_calc!$E$929))=0,"",INDEX('Our policies'!$H$4:$H$503,_calc!$E$929)),""))</f>
        <v/>
      </c>
      <c r="K927" s="46">
        <f>IF(_calc!$E$929="","",IF(_calc!$E$929&lt;=500,IF(LEN(INDEX('Our policies'!$P$4:$P$503,_calc!$E$929))=0,"",INDEX('Our policies'!$P$4:$P$503,_calc!$E$929)),IF(LEN(INDEX('Vendor COIs'!$N$4:$N$503,(_calc!$E$929-500)))=0,"",INDEX('Vendor COIs'!$N$4:$N$503,(_calc!$E$929-500)))))</f>
        <v/>
      </c>
    </row>
    <row r="928">
      <c r="A928" s="46">
        <f>IF(_calc!$E$930="","",IF(_calc!$E$930&lt;=500,IF(LEN(INDEX('Our policies'!$A$4:$A$503,_calc!$E$930))=0,"",INDEX('Our policies'!$A$4:$A$503,_calc!$E$930)),"COI – "&amp;IF(LEN(INDEX('Vendor COIs'!$A$4:$A$503,(_calc!$E$930-500)))=0,"",INDEX('Vendor COIs'!$A$4:$A$503,(_calc!$E$930-500)))&amp;" – "&amp;IF(LEN(INDEX('Vendor COIs'!$B$4:$B$503,(_calc!$E$930-500)))=0,"",INDEX('Vendor COIs'!$B$4:$B$503,(_calc!$E$930-500)))))</f>
        <v/>
      </c>
      <c r="B928" s="46">
        <f>IF(_calc!$E$930="","",IF(_calc!$E$930&lt;=500,IF(ISNUMBER(INDEX('Our policies'!$J$4:$J$503,_calc!$E$930)),TEXT(INDEX('Our policies'!$J$4:$J$503,_calc!$E$930),"yyyy-mm-dd"),""),IF(ISNUMBER(INDEX('Vendor COIs'!$H$4:$H$503,(_calc!$E$930-500))),TEXT(INDEX('Vendor COIs'!$H$4:$H$503,(_calc!$E$930-500)),"yyyy-mm-dd"),"")))</f>
        <v/>
      </c>
      <c r="C928" s="46">
        <f>IF(_calc!$E$930="","",IF(_calc!$E$930&lt;=500,"Insurance","Certificate of insurance"))</f>
        <v/>
      </c>
      <c r="D928" s="46">
        <f>IF(_calc!$E$930="","",IF(_calc!$E$930&lt;=500,IF(ISNUMBER(INDEX('Our policies'!$I$4:$I$503,_calc!$E$930)),TEXT(INDEX('Our policies'!$I$4:$I$503,_calc!$E$930),"yyyy-mm-dd"),""),""))</f>
        <v/>
      </c>
      <c r="E928" s="46">
        <f>IF(_calc!$E$930="","",IF(_calc!$E$930&lt;=500,IF(LEN(INDEX('Our policies'!$Q$4:$Q$503,_calc!$E$930))=0,"",INDEX('Our policies'!$Q$4:$Q$503,_calc!$E$930)),"Medium"))</f>
        <v/>
      </c>
      <c r="F928" s="46">
        <f>IF(_calc!$E$930="","",IF(_calc!$E$930&lt;=500,TRIM(IF(LEN(IF(LEN(INDEX('Our policies'!$B$4:$B$503,_calc!$E$930))=0,"",INDEX('Our policies'!$B$4:$B$503,_calc!$E$930)))=0,"","Cover: "&amp;IF(LEN(INDEX('Our policies'!$B$4:$B$503,_calc!$E$930))=0,"",INDEX('Our policies'!$B$4:$B$503,_calc!$E$930))&amp;". ")&amp;IF(LEN(IF(LEN(INDEX('Our policies'!$C$4:$C$503,_calc!$E$930))=0,"",INDEX('Our policies'!$C$4:$C$503,_calc!$E$930)))=0,"","Insurer: "&amp;IF(LEN(INDEX('Our policies'!$C$4:$C$503,_calc!$E$930))=0,"",INDEX('Our policies'!$C$4:$C$503,_calc!$E$930))&amp;". ")&amp;IF(LEN(IF(LEN(INDEX('Our policies'!$D$4:$D$503,_calc!$E$930))=0,"",INDEX('Our policies'!$D$4:$D$503,_calc!$E$930)))=0,"","Broker: "&amp;IF(LEN(INDEX('Our policies'!$D$4:$D$503,_calc!$E$930))=0,"",INDEX('Our policies'!$D$4:$D$503,_calc!$E$930))&amp;". ")&amp;IF(LEN(IF(LEN(INDEX('Our policies'!$E$4:$E$503,_calc!$E$930))=0,"",INDEX('Our policies'!$E$4:$E$503,_calc!$E$930)))=0,"","Policy no.: "&amp;IF(LEN(INDEX('Our policies'!$E$4:$E$503,_calc!$E$930))=0,"",INDEX('Our policies'!$E$4:$E$503,_calc!$E$930))&amp;". ")&amp;IF(LEN(IF(LEN(INDEX('Our policies'!$S$4:$S$503,_calc!$E$930))=0,"",INDEX('Our policies'!$S$4:$S$503,_calc!$E$930)))=0,"",IF(LEN(INDEX('Our policies'!$S$4:$S$503,_calc!$E$930))=0,"",INDEX('Our policies'!$S$4:$S$503,_calc!$E$930)))),TRIM(IF(LEN(IF(LEN(INDEX('Vendor COIs'!$C$4:$C$503,(_calc!$E$930-500)))=0,"",INDEX('Vendor COIs'!$C$4:$C$503,(_calc!$E$930-500))))=0,"","Insurer: "&amp;IF(LEN(INDEX('Vendor COIs'!$C$4:$C$503,(_calc!$E$930-500)))=0,"",INDEX('Vendor COIs'!$C$4:$C$503,(_calc!$E$930-500)))&amp;". ")&amp;IF(LEN(IF(LEN(INDEX('Vendor COIs'!$D$4:$D$503,(_calc!$E$930-500)))=0,"",INDEX('Vendor COIs'!$D$4:$D$503,(_calc!$E$930-500))))=0,"","Policy no.: "&amp;IF(LEN(INDEX('Vendor COIs'!$D$4:$D$503,(_calc!$E$930-500)))=0,"",INDEX('Vendor COIs'!$D$4:$D$503,(_calc!$E$930-500)))&amp;". ")&amp;IF(LEN(IF(LEN(INDEX('Vendor COIs'!$F$4:$F$503,(_calc!$E$930-500)))=0,"",INDEX('Vendor COIs'!$F$4:$F$503,(_calc!$E$930-500))))=0,"","Meets minimum: "&amp;IF(LEN(INDEX('Vendor COIs'!$F$4:$F$503,(_calc!$E$930-500)))=0,"",INDEX('Vendor COIs'!$F$4:$F$503,(_calc!$E$930-500)))&amp;". ")&amp;IF(LEN(IF(LEN(INDEX('Vendor COIs'!$G$4:$G$503,(_calc!$E$930-500)))=0,"",INDEX('Vendor COIs'!$G$4:$G$503,(_calc!$E$930-500))))=0,"","Additional insured: "&amp;IF(LEN(INDEX('Vendor COIs'!$G$4:$G$503,(_calc!$E$930-500)))=0,"",INDEX('Vendor COIs'!$G$4:$G$503,(_calc!$E$930-500)))&amp;". ")&amp;IF(LEN(IF(LEN(INDEX('Vendor COIs'!$M$4:$M$503,(_calc!$E$930-500)))=0,"",INDEX('Vendor COIs'!$M$4:$M$503,(_calc!$E$930-500))))=0,"","Vendor contact: "&amp;IF(LEN(INDEX('Vendor COIs'!$M$4:$M$503,(_calc!$E$930-500)))=0,"",INDEX('Vendor COIs'!$M$4:$M$503,(_calc!$E$930-500)))&amp;". ")&amp;IF(LEN(IF(LEN(INDEX('Vendor COIs'!$P$4:$P$503,(_calc!$E$930-500)))=0,"",INDEX('Vendor COIs'!$P$4:$P$503,(_calc!$E$930-500))))=0,"",IF(LEN(INDEX('Vendor COIs'!$P$4:$P$503,(_calc!$E$930-500)))=0,"",INDEX('Vendor COIs'!$P$4:$P$503,(_calc!$E$930-500)))))))</f>
        <v/>
      </c>
      <c r="G928" s="46">
        <f>IF(_calc!$E$930="","",IF(_calc!$E$930&lt;=500,IF(LEN(INDEX('Our policies'!$R$4:$R$503,_calc!$E$930))=0,"",INDEX('Our policies'!$R$4:$R$503,_calc!$E$930)),IF(LEN(INDEX('Vendor COIs'!$O$4:$O$503,(_calc!$E$930-500)))=0,"",INDEX('Vendor COIs'!$O$4:$O$503,(_calc!$E$930-500)))))</f>
        <v/>
      </c>
      <c r="H928" s="46">
        <f>IF(_calc!$E$930="","",IF(_calc!$E$930&lt;=500,IF(LEN(INDEX('Our policies'!$G$4:$G$503,_calc!$E$930))=0,"",INDEX('Our policies'!$G$4:$G$503,_calc!$E$930)),""))</f>
        <v/>
      </c>
      <c r="I928" s="46">
        <f>IF(_calc!$E$930="","",IF(_calc!$E$930&lt;=500,IF(LEN(INDEX('Our policies'!$H$4:$H$503,_calc!$E$930))=0,"",INDEX('Our policies'!$H$4:$H$503,_calc!$E$930)),""))</f>
        <v/>
      </c>
      <c r="K928" s="46">
        <f>IF(_calc!$E$930="","",IF(_calc!$E$930&lt;=500,IF(LEN(INDEX('Our policies'!$P$4:$P$503,_calc!$E$930))=0,"",INDEX('Our policies'!$P$4:$P$503,_calc!$E$930)),IF(LEN(INDEX('Vendor COIs'!$N$4:$N$503,(_calc!$E$930-500)))=0,"",INDEX('Vendor COIs'!$N$4:$N$503,(_calc!$E$930-500)))))</f>
        <v/>
      </c>
    </row>
    <row r="929">
      <c r="A929" s="46">
        <f>IF(_calc!$E$931="","",IF(_calc!$E$931&lt;=500,IF(LEN(INDEX('Our policies'!$A$4:$A$503,_calc!$E$931))=0,"",INDEX('Our policies'!$A$4:$A$503,_calc!$E$931)),"COI – "&amp;IF(LEN(INDEX('Vendor COIs'!$A$4:$A$503,(_calc!$E$931-500)))=0,"",INDEX('Vendor COIs'!$A$4:$A$503,(_calc!$E$931-500)))&amp;" – "&amp;IF(LEN(INDEX('Vendor COIs'!$B$4:$B$503,(_calc!$E$931-500)))=0,"",INDEX('Vendor COIs'!$B$4:$B$503,(_calc!$E$931-500)))))</f>
        <v/>
      </c>
      <c r="B929" s="46">
        <f>IF(_calc!$E$931="","",IF(_calc!$E$931&lt;=500,IF(ISNUMBER(INDEX('Our policies'!$J$4:$J$503,_calc!$E$931)),TEXT(INDEX('Our policies'!$J$4:$J$503,_calc!$E$931),"yyyy-mm-dd"),""),IF(ISNUMBER(INDEX('Vendor COIs'!$H$4:$H$503,(_calc!$E$931-500))),TEXT(INDEX('Vendor COIs'!$H$4:$H$503,(_calc!$E$931-500)),"yyyy-mm-dd"),"")))</f>
        <v/>
      </c>
      <c r="C929" s="46">
        <f>IF(_calc!$E$931="","",IF(_calc!$E$931&lt;=500,"Insurance","Certificate of insurance"))</f>
        <v/>
      </c>
      <c r="D929" s="46">
        <f>IF(_calc!$E$931="","",IF(_calc!$E$931&lt;=500,IF(ISNUMBER(INDEX('Our policies'!$I$4:$I$503,_calc!$E$931)),TEXT(INDEX('Our policies'!$I$4:$I$503,_calc!$E$931),"yyyy-mm-dd"),""),""))</f>
        <v/>
      </c>
      <c r="E929" s="46">
        <f>IF(_calc!$E$931="","",IF(_calc!$E$931&lt;=500,IF(LEN(INDEX('Our policies'!$Q$4:$Q$503,_calc!$E$931))=0,"",INDEX('Our policies'!$Q$4:$Q$503,_calc!$E$931)),"Medium"))</f>
        <v/>
      </c>
      <c r="F929" s="46">
        <f>IF(_calc!$E$931="","",IF(_calc!$E$931&lt;=500,TRIM(IF(LEN(IF(LEN(INDEX('Our policies'!$B$4:$B$503,_calc!$E$931))=0,"",INDEX('Our policies'!$B$4:$B$503,_calc!$E$931)))=0,"","Cover: "&amp;IF(LEN(INDEX('Our policies'!$B$4:$B$503,_calc!$E$931))=0,"",INDEX('Our policies'!$B$4:$B$503,_calc!$E$931))&amp;". ")&amp;IF(LEN(IF(LEN(INDEX('Our policies'!$C$4:$C$503,_calc!$E$931))=0,"",INDEX('Our policies'!$C$4:$C$503,_calc!$E$931)))=0,"","Insurer: "&amp;IF(LEN(INDEX('Our policies'!$C$4:$C$503,_calc!$E$931))=0,"",INDEX('Our policies'!$C$4:$C$503,_calc!$E$931))&amp;". ")&amp;IF(LEN(IF(LEN(INDEX('Our policies'!$D$4:$D$503,_calc!$E$931))=0,"",INDEX('Our policies'!$D$4:$D$503,_calc!$E$931)))=0,"","Broker: "&amp;IF(LEN(INDEX('Our policies'!$D$4:$D$503,_calc!$E$931))=0,"",INDEX('Our policies'!$D$4:$D$503,_calc!$E$931))&amp;". ")&amp;IF(LEN(IF(LEN(INDEX('Our policies'!$E$4:$E$503,_calc!$E$931))=0,"",INDEX('Our policies'!$E$4:$E$503,_calc!$E$931)))=0,"","Policy no.: "&amp;IF(LEN(INDEX('Our policies'!$E$4:$E$503,_calc!$E$931))=0,"",INDEX('Our policies'!$E$4:$E$503,_calc!$E$931))&amp;". ")&amp;IF(LEN(IF(LEN(INDEX('Our policies'!$S$4:$S$503,_calc!$E$931))=0,"",INDEX('Our policies'!$S$4:$S$503,_calc!$E$931)))=0,"",IF(LEN(INDEX('Our policies'!$S$4:$S$503,_calc!$E$931))=0,"",INDEX('Our policies'!$S$4:$S$503,_calc!$E$931)))),TRIM(IF(LEN(IF(LEN(INDEX('Vendor COIs'!$C$4:$C$503,(_calc!$E$931-500)))=0,"",INDEX('Vendor COIs'!$C$4:$C$503,(_calc!$E$931-500))))=0,"","Insurer: "&amp;IF(LEN(INDEX('Vendor COIs'!$C$4:$C$503,(_calc!$E$931-500)))=0,"",INDEX('Vendor COIs'!$C$4:$C$503,(_calc!$E$931-500)))&amp;". ")&amp;IF(LEN(IF(LEN(INDEX('Vendor COIs'!$D$4:$D$503,(_calc!$E$931-500)))=0,"",INDEX('Vendor COIs'!$D$4:$D$503,(_calc!$E$931-500))))=0,"","Policy no.: "&amp;IF(LEN(INDEX('Vendor COIs'!$D$4:$D$503,(_calc!$E$931-500)))=0,"",INDEX('Vendor COIs'!$D$4:$D$503,(_calc!$E$931-500)))&amp;". ")&amp;IF(LEN(IF(LEN(INDEX('Vendor COIs'!$F$4:$F$503,(_calc!$E$931-500)))=0,"",INDEX('Vendor COIs'!$F$4:$F$503,(_calc!$E$931-500))))=0,"","Meets minimum: "&amp;IF(LEN(INDEX('Vendor COIs'!$F$4:$F$503,(_calc!$E$931-500)))=0,"",INDEX('Vendor COIs'!$F$4:$F$503,(_calc!$E$931-500)))&amp;". ")&amp;IF(LEN(IF(LEN(INDEX('Vendor COIs'!$G$4:$G$503,(_calc!$E$931-500)))=0,"",INDEX('Vendor COIs'!$G$4:$G$503,(_calc!$E$931-500))))=0,"","Additional insured: "&amp;IF(LEN(INDEX('Vendor COIs'!$G$4:$G$503,(_calc!$E$931-500)))=0,"",INDEX('Vendor COIs'!$G$4:$G$503,(_calc!$E$931-500)))&amp;". ")&amp;IF(LEN(IF(LEN(INDEX('Vendor COIs'!$M$4:$M$503,(_calc!$E$931-500)))=0,"",INDEX('Vendor COIs'!$M$4:$M$503,(_calc!$E$931-500))))=0,"","Vendor contact: "&amp;IF(LEN(INDEX('Vendor COIs'!$M$4:$M$503,(_calc!$E$931-500)))=0,"",INDEX('Vendor COIs'!$M$4:$M$503,(_calc!$E$931-500)))&amp;". ")&amp;IF(LEN(IF(LEN(INDEX('Vendor COIs'!$P$4:$P$503,(_calc!$E$931-500)))=0,"",INDEX('Vendor COIs'!$P$4:$P$503,(_calc!$E$931-500))))=0,"",IF(LEN(INDEX('Vendor COIs'!$P$4:$P$503,(_calc!$E$931-500)))=0,"",INDEX('Vendor COIs'!$P$4:$P$503,(_calc!$E$931-500)))))))</f>
        <v/>
      </c>
      <c r="G929" s="46">
        <f>IF(_calc!$E$931="","",IF(_calc!$E$931&lt;=500,IF(LEN(INDEX('Our policies'!$R$4:$R$503,_calc!$E$931))=0,"",INDEX('Our policies'!$R$4:$R$503,_calc!$E$931)),IF(LEN(INDEX('Vendor COIs'!$O$4:$O$503,(_calc!$E$931-500)))=0,"",INDEX('Vendor COIs'!$O$4:$O$503,(_calc!$E$931-500)))))</f>
        <v/>
      </c>
      <c r="H929" s="46">
        <f>IF(_calc!$E$931="","",IF(_calc!$E$931&lt;=500,IF(LEN(INDEX('Our policies'!$G$4:$G$503,_calc!$E$931))=0,"",INDEX('Our policies'!$G$4:$G$503,_calc!$E$931)),""))</f>
        <v/>
      </c>
      <c r="I929" s="46">
        <f>IF(_calc!$E$931="","",IF(_calc!$E$931&lt;=500,IF(LEN(INDEX('Our policies'!$H$4:$H$503,_calc!$E$931))=0,"",INDEX('Our policies'!$H$4:$H$503,_calc!$E$931)),""))</f>
        <v/>
      </c>
      <c r="K929" s="46">
        <f>IF(_calc!$E$931="","",IF(_calc!$E$931&lt;=500,IF(LEN(INDEX('Our policies'!$P$4:$P$503,_calc!$E$931))=0,"",INDEX('Our policies'!$P$4:$P$503,_calc!$E$931)),IF(LEN(INDEX('Vendor COIs'!$N$4:$N$503,(_calc!$E$931-500)))=0,"",INDEX('Vendor COIs'!$N$4:$N$503,(_calc!$E$931-500)))))</f>
        <v/>
      </c>
    </row>
    <row r="930">
      <c r="A930" s="46">
        <f>IF(_calc!$E$932="","",IF(_calc!$E$932&lt;=500,IF(LEN(INDEX('Our policies'!$A$4:$A$503,_calc!$E$932))=0,"",INDEX('Our policies'!$A$4:$A$503,_calc!$E$932)),"COI – "&amp;IF(LEN(INDEX('Vendor COIs'!$A$4:$A$503,(_calc!$E$932-500)))=0,"",INDEX('Vendor COIs'!$A$4:$A$503,(_calc!$E$932-500)))&amp;" – "&amp;IF(LEN(INDEX('Vendor COIs'!$B$4:$B$503,(_calc!$E$932-500)))=0,"",INDEX('Vendor COIs'!$B$4:$B$503,(_calc!$E$932-500)))))</f>
        <v/>
      </c>
      <c r="B930" s="46">
        <f>IF(_calc!$E$932="","",IF(_calc!$E$932&lt;=500,IF(ISNUMBER(INDEX('Our policies'!$J$4:$J$503,_calc!$E$932)),TEXT(INDEX('Our policies'!$J$4:$J$503,_calc!$E$932),"yyyy-mm-dd"),""),IF(ISNUMBER(INDEX('Vendor COIs'!$H$4:$H$503,(_calc!$E$932-500))),TEXT(INDEX('Vendor COIs'!$H$4:$H$503,(_calc!$E$932-500)),"yyyy-mm-dd"),"")))</f>
        <v/>
      </c>
      <c r="C930" s="46">
        <f>IF(_calc!$E$932="","",IF(_calc!$E$932&lt;=500,"Insurance","Certificate of insurance"))</f>
        <v/>
      </c>
      <c r="D930" s="46">
        <f>IF(_calc!$E$932="","",IF(_calc!$E$932&lt;=500,IF(ISNUMBER(INDEX('Our policies'!$I$4:$I$503,_calc!$E$932)),TEXT(INDEX('Our policies'!$I$4:$I$503,_calc!$E$932),"yyyy-mm-dd"),""),""))</f>
        <v/>
      </c>
      <c r="E930" s="46">
        <f>IF(_calc!$E$932="","",IF(_calc!$E$932&lt;=500,IF(LEN(INDEX('Our policies'!$Q$4:$Q$503,_calc!$E$932))=0,"",INDEX('Our policies'!$Q$4:$Q$503,_calc!$E$932)),"Medium"))</f>
        <v/>
      </c>
      <c r="F930" s="46">
        <f>IF(_calc!$E$932="","",IF(_calc!$E$932&lt;=500,TRIM(IF(LEN(IF(LEN(INDEX('Our policies'!$B$4:$B$503,_calc!$E$932))=0,"",INDEX('Our policies'!$B$4:$B$503,_calc!$E$932)))=0,"","Cover: "&amp;IF(LEN(INDEX('Our policies'!$B$4:$B$503,_calc!$E$932))=0,"",INDEX('Our policies'!$B$4:$B$503,_calc!$E$932))&amp;". ")&amp;IF(LEN(IF(LEN(INDEX('Our policies'!$C$4:$C$503,_calc!$E$932))=0,"",INDEX('Our policies'!$C$4:$C$503,_calc!$E$932)))=0,"","Insurer: "&amp;IF(LEN(INDEX('Our policies'!$C$4:$C$503,_calc!$E$932))=0,"",INDEX('Our policies'!$C$4:$C$503,_calc!$E$932))&amp;". ")&amp;IF(LEN(IF(LEN(INDEX('Our policies'!$D$4:$D$503,_calc!$E$932))=0,"",INDEX('Our policies'!$D$4:$D$503,_calc!$E$932)))=0,"","Broker: "&amp;IF(LEN(INDEX('Our policies'!$D$4:$D$503,_calc!$E$932))=0,"",INDEX('Our policies'!$D$4:$D$503,_calc!$E$932))&amp;". ")&amp;IF(LEN(IF(LEN(INDEX('Our policies'!$E$4:$E$503,_calc!$E$932))=0,"",INDEX('Our policies'!$E$4:$E$503,_calc!$E$932)))=0,"","Policy no.: "&amp;IF(LEN(INDEX('Our policies'!$E$4:$E$503,_calc!$E$932))=0,"",INDEX('Our policies'!$E$4:$E$503,_calc!$E$932))&amp;". ")&amp;IF(LEN(IF(LEN(INDEX('Our policies'!$S$4:$S$503,_calc!$E$932))=0,"",INDEX('Our policies'!$S$4:$S$503,_calc!$E$932)))=0,"",IF(LEN(INDEX('Our policies'!$S$4:$S$503,_calc!$E$932))=0,"",INDEX('Our policies'!$S$4:$S$503,_calc!$E$932)))),TRIM(IF(LEN(IF(LEN(INDEX('Vendor COIs'!$C$4:$C$503,(_calc!$E$932-500)))=0,"",INDEX('Vendor COIs'!$C$4:$C$503,(_calc!$E$932-500))))=0,"","Insurer: "&amp;IF(LEN(INDEX('Vendor COIs'!$C$4:$C$503,(_calc!$E$932-500)))=0,"",INDEX('Vendor COIs'!$C$4:$C$503,(_calc!$E$932-500)))&amp;". ")&amp;IF(LEN(IF(LEN(INDEX('Vendor COIs'!$D$4:$D$503,(_calc!$E$932-500)))=0,"",INDEX('Vendor COIs'!$D$4:$D$503,(_calc!$E$932-500))))=0,"","Policy no.: "&amp;IF(LEN(INDEX('Vendor COIs'!$D$4:$D$503,(_calc!$E$932-500)))=0,"",INDEX('Vendor COIs'!$D$4:$D$503,(_calc!$E$932-500)))&amp;". ")&amp;IF(LEN(IF(LEN(INDEX('Vendor COIs'!$F$4:$F$503,(_calc!$E$932-500)))=0,"",INDEX('Vendor COIs'!$F$4:$F$503,(_calc!$E$932-500))))=0,"","Meets minimum: "&amp;IF(LEN(INDEX('Vendor COIs'!$F$4:$F$503,(_calc!$E$932-500)))=0,"",INDEX('Vendor COIs'!$F$4:$F$503,(_calc!$E$932-500)))&amp;". ")&amp;IF(LEN(IF(LEN(INDEX('Vendor COIs'!$G$4:$G$503,(_calc!$E$932-500)))=0,"",INDEX('Vendor COIs'!$G$4:$G$503,(_calc!$E$932-500))))=0,"","Additional insured: "&amp;IF(LEN(INDEX('Vendor COIs'!$G$4:$G$503,(_calc!$E$932-500)))=0,"",INDEX('Vendor COIs'!$G$4:$G$503,(_calc!$E$932-500)))&amp;". ")&amp;IF(LEN(IF(LEN(INDEX('Vendor COIs'!$M$4:$M$503,(_calc!$E$932-500)))=0,"",INDEX('Vendor COIs'!$M$4:$M$503,(_calc!$E$932-500))))=0,"","Vendor contact: "&amp;IF(LEN(INDEX('Vendor COIs'!$M$4:$M$503,(_calc!$E$932-500)))=0,"",INDEX('Vendor COIs'!$M$4:$M$503,(_calc!$E$932-500)))&amp;". ")&amp;IF(LEN(IF(LEN(INDEX('Vendor COIs'!$P$4:$P$503,(_calc!$E$932-500)))=0,"",INDEX('Vendor COIs'!$P$4:$P$503,(_calc!$E$932-500))))=0,"",IF(LEN(INDEX('Vendor COIs'!$P$4:$P$503,(_calc!$E$932-500)))=0,"",INDEX('Vendor COIs'!$P$4:$P$503,(_calc!$E$932-500)))))))</f>
        <v/>
      </c>
      <c r="G930" s="46">
        <f>IF(_calc!$E$932="","",IF(_calc!$E$932&lt;=500,IF(LEN(INDEX('Our policies'!$R$4:$R$503,_calc!$E$932))=0,"",INDEX('Our policies'!$R$4:$R$503,_calc!$E$932)),IF(LEN(INDEX('Vendor COIs'!$O$4:$O$503,(_calc!$E$932-500)))=0,"",INDEX('Vendor COIs'!$O$4:$O$503,(_calc!$E$932-500)))))</f>
        <v/>
      </c>
      <c r="H930" s="46">
        <f>IF(_calc!$E$932="","",IF(_calc!$E$932&lt;=500,IF(LEN(INDEX('Our policies'!$G$4:$G$503,_calc!$E$932))=0,"",INDEX('Our policies'!$G$4:$G$503,_calc!$E$932)),""))</f>
        <v/>
      </c>
      <c r="I930" s="46">
        <f>IF(_calc!$E$932="","",IF(_calc!$E$932&lt;=500,IF(LEN(INDEX('Our policies'!$H$4:$H$503,_calc!$E$932))=0,"",INDEX('Our policies'!$H$4:$H$503,_calc!$E$932)),""))</f>
        <v/>
      </c>
      <c r="K930" s="46">
        <f>IF(_calc!$E$932="","",IF(_calc!$E$932&lt;=500,IF(LEN(INDEX('Our policies'!$P$4:$P$503,_calc!$E$932))=0,"",INDEX('Our policies'!$P$4:$P$503,_calc!$E$932)),IF(LEN(INDEX('Vendor COIs'!$N$4:$N$503,(_calc!$E$932-500)))=0,"",INDEX('Vendor COIs'!$N$4:$N$503,(_calc!$E$932-500)))))</f>
        <v/>
      </c>
    </row>
    <row r="931">
      <c r="A931" s="46">
        <f>IF(_calc!$E$933="","",IF(_calc!$E$933&lt;=500,IF(LEN(INDEX('Our policies'!$A$4:$A$503,_calc!$E$933))=0,"",INDEX('Our policies'!$A$4:$A$503,_calc!$E$933)),"COI – "&amp;IF(LEN(INDEX('Vendor COIs'!$A$4:$A$503,(_calc!$E$933-500)))=0,"",INDEX('Vendor COIs'!$A$4:$A$503,(_calc!$E$933-500)))&amp;" – "&amp;IF(LEN(INDEX('Vendor COIs'!$B$4:$B$503,(_calc!$E$933-500)))=0,"",INDEX('Vendor COIs'!$B$4:$B$503,(_calc!$E$933-500)))))</f>
        <v/>
      </c>
      <c r="B931" s="46">
        <f>IF(_calc!$E$933="","",IF(_calc!$E$933&lt;=500,IF(ISNUMBER(INDEX('Our policies'!$J$4:$J$503,_calc!$E$933)),TEXT(INDEX('Our policies'!$J$4:$J$503,_calc!$E$933),"yyyy-mm-dd"),""),IF(ISNUMBER(INDEX('Vendor COIs'!$H$4:$H$503,(_calc!$E$933-500))),TEXT(INDEX('Vendor COIs'!$H$4:$H$503,(_calc!$E$933-500)),"yyyy-mm-dd"),"")))</f>
        <v/>
      </c>
      <c r="C931" s="46">
        <f>IF(_calc!$E$933="","",IF(_calc!$E$933&lt;=500,"Insurance","Certificate of insurance"))</f>
        <v/>
      </c>
      <c r="D931" s="46">
        <f>IF(_calc!$E$933="","",IF(_calc!$E$933&lt;=500,IF(ISNUMBER(INDEX('Our policies'!$I$4:$I$503,_calc!$E$933)),TEXT(INDEX('Our policies'!$I$4:$I$503,_calc!$E$933),"yyyy-mm-dd"),""),""))</f>
        <v/>
      </c>
      <c r="E931" s="46">
        <f>IF(_calc!$E$933="","",IF(_calc!$E$933&lt;=500,IF(LEN(INDEX('Our policies'!$Q$4:$Q$503,_calc!$E$933))=0,"",INDEX('Our policies'!$Q$4:$Q$503,_calc!$E$933)),"Medium"))</f>
        <v/>
      </c>
      <c r="F931" s="46">
        <f>IF(_calc!$E$933="","",IF(_calc!$E$933&lt;=500,TRIM(IF(LEN(IF(LEN(INDEX('Our policies'!$B$4:$B$503,_calc!$E$933))=0,"",INDEX('Our policies'!$B$4:$B$503,_calc!$E$933)))=0,"","Cover: "&amp;IF(LEN(INDEX('Our policies'!$B$4:$B$503,_calc!$E$933))=0,"",INDEX('Our policies'!$B$4:$B$503,_calc!$E$933))&amp;". ")&amp;IF(LEN(IF(LEN(INDEX('Our policies'!$C$4:$C$503,_calc!$E$933))=0,"",INDEX('Our policies'!$C$4:$C$503,_calc!$E$933)))=0,"","Insurer: "&amp;IF(LEN(INDEX('Our policies'!$C$4:$C$503,_calc!$E$933))=0,"",INDEX('Our policies'!$C$4:$C$503,_calc!$E$933))&amp;". ")&amp;IF(LEN(IF(LEN(INDEX('Our policies'!$D$4:$D$503,_calc!$E$933))=0,"",INDEX('Our policies'!$D$4:$D$503,_calc!$E$933)))=0,"","Broker: "&amp;IF(LEN(INDEX('Our policies'!$D$4:$D$503,_calc!$E$933))=0,"",INDEX('Our policies'!$D$4:$D$503,_calc!$E$933))&amp;". ")&amp;IF(LEN(IF(LEN(INDEX('Our policies'!$E$4:$E$503,_calc!$E$933))=0,"",INDEX('Our policies'!$E$4:$E$503,_calc!$E$933)))=0,"","Policy no.: "&amp;IF(LEN(INDEX('Our policies'!$E$4:$E$503,_calc!$E$933))=0,"",INDEX('Our policies'!$E$4:$E$503,_calc!$E$933))&amp;". ")&amp;IF(LEN(IF(LEN(INDEX('Our policies'!$S$4:$S$503,_calc!$E$933))=0,"",INDEX('Our policies'!$S$4:$S$503,_calc!$E$933)))=0,"",IF(LEN(INDEX('Our policies'!$S$4:$S$503,_calc!$E$933))=0,"",INDEX('Our policies'!$S$4:$S$503,_calc!$E$933)))),TRIM(IF(LEN(IF(LEN(INDEX('Vendor COIs'!$C$4:$C$503,(_calc!$E$933-500)))=0,"",INDEX('Vendor COIs'!$C$4:$C$503,(_calc!$E$933-500))))=0,"","Insurer: "&amp;IF(LEN(INDEX('Vendor COIs'!$C$4:$C$503,(_calc!$E$933-500)))=0,"",INDEX('Vendor COIs'!$C$4:$C$503,(_calc!$E$933-500)))&amp;". ")&amp;IF(LEN(IF(LEN(INDEX('Vendor COIs'!$D$4:$D$503,(_calc!$E$933-500)))=0,"",INDEX('Vendor COIs'!$D$4:$D$503,(_calc!$E$933-500))))=0,"","Policy no.: "&amp;IF(LEN(INDEX('Vendor COIs'!$D$4:$D$503,(_calc!$E$933-500)))=0,"",INDEX('Vendor COIs'!$D$4:$D$503,(_calc!$E$933-500)))&amp;". ")&amp;IF(LEN(IF(LEN(INDEX('Vendor COIs'!$F$4:$F$503,(_calc!$E$933-500)))=0,"",INDEX('Vendor COIs'!$F$4:$F$503,(_calc!$E$933-500))))=0,"","Meets minimum: "&amp;IF(LEN(INDEX('Vendor COIs'!$F$4:$F$503,(_calc!$E$933-500)))=0,"",INDEX('Vendor COIs'!$F$4:$F$503,(_calc!$E$933-500)))&amp;". ")&amp;IF(LEN(IF(LEN(INDEX('Vendor COIs'!$G$4:$G$503,(_calc!$E$933-500)))=0,"",INDEX('Vendor COIs'!$G$4:$G$503,(_calc!$E$933-500))))=0,"","Additional insured: "&amp;IF(LEN(INDEX('Vendor COIs'!$G$4:$G$503,(_calc!$E$933-500)))=0,"",INDEX('Vendor COIs'!$G$4:$G$503,(_calc!$E$933-500)))&amp;". ")&amp;IF(LEN(IF(LEN(INDEX('Vendor COIs'!$M$4:$M$503,(_calc!$E$933-500)))=0,"",INDEX('Vendor COIs'!$M$4:$M$503,(_calc!$E$933-500))))=0,"","Vendor contact: "&amp;IF(LEN(INDEX('Vendor COIs'!$M$4:$M$503,(_calc!$E$933-500)))=0,"",INDEX('Vendor COIs'!$M$4:$M$503,(_calc!$E$933-500)))&amp;". ")&amp;IF(LEN(IF(LEN(INDEX('Vendor COIs'!$P$4:$P$503,(_calc!$E$933-500)))=0,"",INDEX('Vendor COIs'!$P$4:$P$503,(_calc!$E$933-500))))=0,"",IF(LEN(INDEX('Vendor COIs'!$P$4:$P$503,(_calc!$E$933-500)))=0,"",INDEX('Vendor COIs'!$P$4:$P$503,(_calc!$E$933-500)))))))</f>
        <v/>
      </c>
      <c r="G931" s="46">
        <f>IF(_calc!$E$933="","",IF(_calc!$E$933&lt;=500,IF(LEN(INDEX('Our policies'!$R$4:$R$503,_calc!$E$933))=0,"",INDEX('Our policies'!$R$4:$R$503,_calc!$E$933)),IF(LEN(INDEX('Vendor COIs'!$O$4:$O$503,(_calc!$E$933-500)))=0,"",INDEX('Vendor COIs'!$O$4:$O$503,(_calc!$E$933-500)))))</f>
        <v/>
      </c>
      <c r="H931" s="46">
        <f>IF(_calc!$E$933="","",IF(_calc!$E$933&lt;=500,IF(LEN(INDEX('Our policies'!$G$4:$G$503,_calc!$E$933))=0,"",INDEX('Our policies'!$G$4:$G$503,_calc!$E$933)),""))</f>
        <v/>
      </c>
      <c r="I931" s="46">
        <f>IF(_calc!$E$933="","",IF(_calc!$E$933&lt;=500,IF(LEN(INDEX('Our policies'!$H$4:$H$503,_calc!$E$933))=0,"",INDEX('Our policies'!$H$4:$H$503,_calc!$E$933)),""))</f>
        <v/>
      </c>
      <c r="K931" s="46">
        <f>IF(_calc!$E$933="","",IF(_calc!$E$933&lt;=500,IF(LEN(INDEX('Our policies'!$P$4:$P$503,_calc!$E$933))=0,"",INDEX('Our policies'!$P$4:$P$503,_calc!$E$933)),IF(LEN(INDEX('Vendor COIs'!$N$4:$N$503,(_calc!$E$933-500)))=0,"",INDEX('Vendor COIs'!$N$4:$N$503,(_calc!$E$933-500)))))</f>
        <v/>
      </c>
    </row>
    <row r="932">
      <c r="A932" s="46">
        <f>IF(_calc!$E$934="","",IF(_calc!$E$934&lt;=500,IF(LEN(INDEX('Our policies'!$A$4:$A$503,_calc!$E$934))=0,"",INDEX('Our policies'!$A$4:$A$503,_calc!$E$934)),"COI – "&amp;IF(LEN(INDEX('Vendor COIs'!$A$4:$A$503,(_calc!$E$934-500)))=0,"",INDEX('Vendor COIs'!$A$4:$A$503,(_calc!$E$934-500)))&amp;" – "&amp;IF(LEN(INDEX('Vendor COIs'!$B$4:$B$503,(_calc!$E$934-500)))=0,"",INDEX('Vendor COIs'!$B$4:$B$503,(_calc!$E$934-500)))))</f>
        <v/>
      </c>
      <c r="B932" s="46">
        <f>IF(_calc!$E$934="","",IF(_calc!$E$934&lt;=500,IF(ISNUMBER(INDEX('Our policies'!$J$4:$J$503,_calc!$E$934)),TEXT(INDEX('Our policies'!$J$4:$J$503,_calc!$E$934),"yyyy-mm-dd"),""),IF(ISNUMBER(INDEX('Vendor COIs'!$H$4:$H$503,(_calc!$E$934-500))),TEXT(INDEX('Vendor COIs'!$H$4:$H$503,(_calc!$E$934-500)),"yyyy-mm-dd"),"")))</f>
        <v/>
      </c>
      <c r="C932" s="46">
        <f>IF(_calc!$E$934="","",IF(_calc!$E$934&lt;=500,"Insurance","Certificate of insurance"))</f>
        <v/>
      </c>
      <c r="D932" s="46">
        <f>IF(_calc!$E$934="","",IF(_calc!$E$934&lt;=500,IF(ISNUMBER(INDEX('Our policies'!$I$4:$I$503,_calc!$E$934)),TEXT(INDEX('Our policies'!$I$4:$I$503,_calc!$E$934),"yyyy-mm-dd"),""),""))</f>
        <v/>
      </c>
      <c r="E932" s="46">
        <f>IF(_calc!$E$934="","",IF(_calc!$E$934&lt;=500,IF(LEN(INDEX('Our policies'!$Q$4:$Q$503,_calc!$E$934))=0,"",INDEX('Our policies'!$Q$4:$Q$503,_calc!$E$934)),"Medium"))</f>
        <v/>
      </c>
      <c r="F932" s="46">
        <f>IF(_calc!$E$934="","",IF(_calc!$E$934&lt;=500,TRIM(IF(LEN(IF(LEN(INDEX('Our policies'!$B$4:$B$503,_calc!$E$934))=0,"",INDEX('Our policies'!$B$4:$B$503,_calc!$E$934)))=0,"","Cover: "&amp;IF(LEN(INDEX('Our policies'!$B$4:$B$503,_calc!$E$934))=0,"",INDEX('Our policies'!$B$4:$B$503,_calc!$E$934))&amp;". ")&amp;IF(LEN(IF(LEN(INDEX('Our policies'!$C$4:$C$503,_calc!$E$934))=0,"",INDEX('Our policies'!$C$4:$C$503,_calc!$E$934)))=0,"","Insurer: "&amp;IF(LEN(INDEX('Our policies'!$C$4:$C$503,_calc!$E$934))=0,"",INDEX('Our policies'!$C$4:$C$503,_calc!$E$934))&amp;". ")&amp;IF(LEN(IF(LEN(INDEX('Our policies'!$D$4:$D$503,_calc!$E$934))=0,"",INDEX('Our policies'!$D$4:$D$503,_calc!$E$934)))=0,"","Broker: "&amp;IF(LEN(INDEX('Our policies'!$D$4:$D$503,_calc!$E$934))=0,"",INDEX('Our policies'!$D$4:$D$503,_calc!$E$934))&amp;". ")&amp;IF(LEN(IF(LEN(INDEX('Our policies'!$E$4:$E$503,_calc!$E$934))=0,"",INDEX('Our policies'!$E$4:$E$503,_calc!$E$934)))=0,"","Policy no.: "&amp;IF(LEN(INDEX('Our policies'!$E$4:$E$503,_calc!$E$934))=0,"",INDEX('Our policies'!$E$4:$E$503,_calc!$E$934))&amp;". ")&amp;IF(LEN(IF(LEN(INDEX('Our policies'!$S$4:$S$503,_calc!$E$934))=0,"",INDEX('Our policies'!$S$4:$S$503,_calc!$E$934)))=0,"",IF(LEN(INDEX('Our policies'!$S$4:$S$503,_calc!$E$934))=0,"",INDEX('Our policies'!$S$4:$S$503,_calc!$E$934)))),TRIM(IF(LEN(IF(LEN(INDEX('Vendor COIs'!$C$4:$C$503,(_calc!$E$934-500)))=0,"",INDEX('Vendor COIs'!$C$4:$C$503,(_calc!$E$934-500))))=0,"","Insurer: "&amp;IF(LEN(INDEX('Vendor COIs'!$C$4:$C$503,(_calc!$E$934-500)))=0,"",INDEX('Vendor COIs'!$C$4:$C$503,(_calc!$E$934-500)))&amp;". ")&amp;IF(LEN(IF(LEN(INDEX('Vendor COIs'!$D$4:$D$503,(_calc!$E$934-500)))=0,"",INDEX('Vendor COIs'!$D$4:$D$503,(_calc!$E$934-500))))=0,"","Policy no.: "&amp;IF(LEN(INDEX('Vendor COIs'!$D$4:$D$503,(_calc!$E$934-500)))=0,"",INDEX('Vendor COIs'!$D$4:$D$503,(_calc!$E$934-500)))&amp;". ")&amp;IF(LEN(IF(LEN(INDEX('Vendor COIs'!$F$4:$F$503,(_calc!$E$934-500)))=0,"",INDEX('Vendor COIs'!$F$4:$F$503,(_calc!$E$934-500))))=0,"","Meets minimum: "&amp;IF(LEN(INDEX('Vendor COIs'!$F$4:$F$503,(_calc!$E$934-500)))=0,"",INDEX('Vendor COIs'!$F$4:$F$503,(_calc!$E$934-500)))&amp;". ")&amp;IF(LEN(IF(LEN(INDEX('Vendor COIs'!$G$4:$G$503,(_calc!$E$934-500)))=0,"",INDEX('Vendor COIs'!$G$4:$G$503,(_calc!$E$934-500))))=0,"","Additional insured: "&amp;IF(LEN(INDEX('Vendor COIs'!$G$4:$G$503,(_calc!$E$934-500)))=0,"",INDEX('Vendor COIs'!$G$4:$G$503,(_calc!$E$934-500)))&amp;". ")&amp;IF(LEN(IF(LEN(INDEX('Vendor COIs'!$M$4:$M$503,(_calc!$E$934-500)))=0,"",INDEX('Vendor COIs'!$M$4:$M$503,(_calc!$E$934-500))))=0,"","Vendor contact: "&amp;IF(LEN(INDEX('Vendor COIs'!$M$4:$M$503,(_calc!$E$934-500)))=0,"",INDEX('Vendor COIs'!$M$4:$M$503,(_calc!$E$934-500)))&amp;". ")&amp;IF(LEN(IF(LEN(INDEX('Vendor COIs'!$P$4:$P$503,(_calc!$E$934-500)))=0,"",INDEX('Vendor COIs'!$P$4:$P$503,(_calc!$E$934-500))))=0,"",IF(LEN(INDEX('Vendor COIs'!$P$4:$P$503,(_calc!$E$934-500)))=0,"",INDEX('Vendor COIs'!$P$4:$P$503,(_calc!$E$934-500)))))))</f>
        <v/>
      </c>
      <c r="G932" s="46">
        <f>IF(_calc!$E$934="","",IF(_calc!$E$934&lt;=500,IF(LEN(INDEX('Our policies'!$R$4:$R$503,_calc!$E$934))=0,"",INDEX('Our policies'!$R$4:$R$503,_calc!$E$934)),IF(LEN(INDEX('Vendor COIs'!$O$4:$O$503,(_calc!$E$934-500)))=0,"",INDEX('Vendor COIs'!$O$4:$O$503,(_calc!$E$934-500)))))</f>
        <v/>
      </c>
      <c r="H932" s="46">
        <f>IF(_calc!$E$934="","",IF(_calc!$E$934&lt;=500,IF(LEN(INDEX('Our policies'!$G$4:$G$503,_calc!$E$934))=0,"",INDEX('Our policies'!$G$4:$G$503,_calc!$E$934)),""))</f>
        <v/>
      </c>
      <c r="I932" s="46">
        <f>IF(_calc!$E$934="","",IF(_calc!$E$934&lt;=500,IF(LEN(INDEX('Our policies'!$H$4:$H$503,_calc!$E$934))=0,"",INDEX('Our policies'!$H$4:$H$503,_calc!$E$934)),""))</f>
        <v/>
      </c>
      <c r="K932" s="46">
        <f>IF(_calc!$E$934="","",IF(_calc!$E$934&lt;=500,IF(LEN(INDEX('Our policies'!$P$4:$P$503,_calc!$E$934))=0,"",INDEX('Our policies'!$P$4:$P$503,_calc!$E$934)),IF(LEN(INDEX('Vendor COIs'!$N$4:$N$503,(_calc!$E$934-500)))=0,"",INDEX('Vendor COIs'!$N$4:$N$503,(_calc!$E$934-500)))))</f>
        <v/>
      </c>
    </row>
    <row r="933">
      <c r="A933" s="46">
        <f>IF(_calc!$E$935="","",IF(_calc!$E$935&lt;=500,IF(LEN(INDEX('Our policies'!$A$4:$A$503,_calc!$E$935))=0,"",INDEX('Our policies'!$A$4:$A$503,_calc!$E$935)),"COI – "&amp;IF(LEN(INDEX('Vendor COIs'!$A$4:$A$503,(_calc!$E$935-500)))=0,"",INDEX('Vendor COIs'!$A$4:$A$503,(_calc!$E$935-500)))&amp;" – "&amp;IF(LEN(INDEX('Vendor COIs'!$B$4:$B$503,(_calc!$E$935-500)))=0,"",INDEX('Vendor COIs'!$B$4:$B$503,(_calc!$E$935-500)))))</f>
        <v/>
      </c>
      <c r="B933" s="46">
        <f>IF(_calc!$E$935="","",IF(_calc!$E$935&lt;=500,IF(ISNUMBER(INDEX('Our policies'!$J$4:$J$503,_calc!$E$935)),TEXT(INDEX('Our policies'!$J$4:$J$503,_calc!$E$935),"yyyy-mm-dd"),""),IF(ISNUMBER(INDEX('Vendor COIs'!$H$4:$H$503,(_calc!$E$935-500))),TEXT(INDEX('Vendor COIs'!$H$4:$H$503,(_calc!$E$935-500)),"yyyy-mm-dd"),"")))</f>
        <v/>
      </c>
      <c r="C933" s="46">
        <f>IF(_calc!$E$935="","",IF(_calc!$E$935&lt;=500,"Insurance","Certificate of insurance"))</f>
        <v/>
      </c>
      <c r="D933" s="46">
        <f>IF(_calc!$E$935="","",IF(_calc!$E$935&lt;=500,IF(ISNUMBER(INDEX('Our policies'!$I$4:$I$503,_calc!$E$935)),TEXT(INDEX('Our policies'!$I$4:$I$503,_calc!$E$935),"yyyy-mm-dd"),""),""))</f>
        <v/>
      </c>
      <c r="E933" s="46">
        <f>IF(_calc!$E$935="","",IF(_calc!$E$935&lt;=500,IF(LEN(INDEX('Our policies'!$Q$4:$Q$503,_calc!$E$935))=0,"",INDEX('Our policies'!$Q$4:$Q$503,_calc!$E$935)),"Medium"))</f>
        <v/>
      </c>
      <c r="F933" s="46">
        <f>IF(_calc!$E$935="","",IF(_calc!$E$935&lt;=500,TRIM(IF(LEN(IF(LEN(INDEX('Our policies'!$B$4:$B$503,_calc!$E$935))=0,"",INDEX('Our policies'!$B$4:$B$503,_calc!$E$935)))=0,"","Cover: "&amp;IF(LEN(INDEX('Our policies'!$B$4:$B$503,_calc!$E$935))=0,"",INDEX('Our policies'!$B$4:$B$503,_calc!$E$935))&amp;". ")&amp;IF(LEN(IF(LEN(INDEX('Our policies'!$C$4:$C$503,_calc!$E$935))=0,"",INDEX('Our policies'!$C$4:$C$503,_calc!$E$935)))=0,"","Insurer: "&amp;IF(LEN(INDEX('Our policies'!$C$4:$C$503,_calc!$E$935))=0,"",INDEX('Our policies'!$C$4:$C$503,_calc!$E$935))&amp;". ")&amp;IF(LEN(IF(LEN(INDEX('Our policies'!$D$4:$D$503,_calc!$E$935))=0,"",INDEX('Our policies'!$D$4:$D$503,_calc!$E$935)))=0,"","Broker: "&amp;IF(LEN(INDEX('Our policies'!$D$4:$D$503,_calc!$E$935))=0,"",INDEX('Our policies'!$D$4:$D$503,_calc!$E$935))&amp;". ")&amp;IF(LEN(IF(LEN(INDEX('Our policies'!$E$4:$E$503,_calc!$E$935))=0,"",INDEX('Our policies'!$E$4:$E$503,_calc!$E$935)))=0,"","Policy no.: "&amp;IF(LEN(INDEX('Our policies'!$E$4:$E$503,_calc!$E$935))=0,"",INDEX('Our policies'!$E$4:$E$503,_calc!$E$935))&amp;". ")&amp;IF(LEN(IF(LEN(INDEX('Our policies'!$S$4:$S$503,_calc!$E$935))=0,"",INDEX('Our policies'!$S$4:$S$503,_calc!$E$935)))=0,"",IF(LEN(INDEX('Our policies'!$S$4:$S$503,_calc!$E$935))=0,"",INDEX('Our policies'!$S$4:$S$503,_calc!$E$935)))),TRIM(IF(LEN(IF(LEN(INDEX('Vendor COIs'!$C$4:$C$503,(_calc!$E$935-500)))=0,"",INDEX('Vendor COIs'!$C$4:$C$503,(_calc!$E$935-500))))=0,"","Insurer: "&amp;IF(LEN(INDEX('Vendor COIs'!$C$4:$C$503,(_calc!$E$935-500)))=0,"",INDEX('Vendor COIs'!$C$4:$C$503,(_calc!$E$935-500)))&amp;". ")&amp;IF(LEN(IF(LEN(INDEX('Vendor COIs'!$D$4:$D$503,(_calc!$E$935-500)))=0,"",INDEX('Vendor COIs'!$D$4:$D$503,(_calc!$E$935-500))))=0,"","Policy no.: "&amp;IF(LEN(INDEX('Vendor COIs'!$D$4:$D$503,(_calc!$E$935-500)))=0,"",INDEX('Vendor COIs'!$D$4:$D$503,(_calc!$E$935-500)))&amp;". ")&amp;IF(LEN(IF(LEN(INDEX('Vendor COIs'!$F$4:$F$503,(_calc!$E$935-500)))=0,"",INDEX('Vendor COIs'!$F$4:$F$503,(_calc!$E$935-500))))=0,"","Meets minimum: "&amp;IF(LEN(INDEX('Vendor COIs'!$F$4:$F$503,(_calc!$E$935-500)))=0,"",INDEX('Vendor COIs'!$F$4:$F$503,(_calc!$E$935-500)))&amp;". ")&amp;IF(LEN(IF(LEN(INDEX('Vendor COIs'!$G$4:$G$503,(_calc!$E$935-500)))=0,"",INDEX('Vendor COIs'!$G$4:$G$503,(_calc!$E$935-500))))=0,"","Additional insured: "&amp;IF(LEN(INDEX('Vendor COIs'!$G$4:$G$503,(_calc!$E$935-500)))=0,"",INDEX('Vendor COIs'!$G$4:$G$503,(_calc!$E$935-500)))&amp;". ")&amp;IF(LEN(IF(LEN(INDEX('Vendor COIs'!$M$4:$M$503,(_calc!$E$935-500)))=0,"",INDEX('Vendor COIs'!$M$4:$M$503,(_calc!$E$935-500))))=0,"","Vendor contact: "&amp;IF(LEN(INDEX('Vendor COIs'!$M$4:$M$503,(_calc!$E$935-500)))=0,"",INDEX('Vendor COIs'!$M$4:$M$503,(_calc!$E$935-500)))&amp;". ")&amp;IF(LEN(IF(LEN(INDEX('Vendor COIs'!$P$4:$P$503,(_calc!$E$935-500)))=0,"",INDEX('Vendor COIs'!$P$4:$P$503,(_calc!$E$935-500))))=0,"",IF(LEN(INDEX('Vendor COIs'!$P$4:$P$503,(_calc!$E$935-500)))=0,"",INDEX('Vendor COIs'!$P$4:$P$503,(_calc!$E$935-500)))))))</f>
        <v/>
      </c>
      <c r="G933" s="46">
        <f>IF(_calc!$E$935="","",IF(_calc!$E$935&lt;=500,IF(LEN(INDEX('Our policies'!$R$4:$R$503,_calc!$E$935))=0,"",INDEX('Our policies'!$R$4:$R$503,_calc!$E$935)),IF(LEN(INDEX('Vendor COIs'!$O$4:$O$503,(_calc!$E$935-500)))=0,"",INDEX('Vendor COIs'!$O$4:$O$503,(_calc!$E$935-500)))))</f>
        <v/>
      </c>
      <c r="H933" s="46">
        <f>IF(_calc!$E$935="","",IF(_calc!$E$935&lt;=500,IF(LEN(INDEX('Our policies'!$G$4:$G$503,_calc!$E$935))=0,"",INDEX('Our policies'!$G$4:$G$503,_calc!$E$935)),""))</f>
        <v/>
      </c>
      <c r="I933" s="46">
        <f>IF(_calc!$E$935="","",IF(_calc!$E$935&lt;=500,IF(LEN(INDEX('Our policies'!$H$4:$H$503,_calc!$E$935))=0,"",INDEX('Our policies'!$H$4:$H$503,_calc!$E$935)),""))</f>
        <v/>
      </c>
      <c r="K933" s="46">
        <f>IF(_calc!$E$935="","",IF(_calc!$E$935&lt;=500,IF(LEN(INDEX('Our policies'!$P$4:$P$503,_calc!$E$935))=0,"",INDEX('Our policies'!$P$4:$P$503,_calc!$E$935)),IF(LEN(INDEX('Vendor COIs'!$N$4:$N$503,(_calc!$E$935-500)))=0,"",INDEX('Vendor COIs'!$N$4:$N$503,(_calc!$E$935-500)))))</f>
        <v/>
      </c>
    </row>
    <row r="934">
      <c r="A934" s="46">
        <f>IF(_calc!$E$936="","",IF(_calc!$E$936&lt;=500,IF(LEN(INDEX('Our policies'!$A$4:$A$503,_calc!$E$936))=0,"",INDEX('Our policies'!$A$4:$A$503,_calc!$E$936)),"COI – "&amp;IF(LEN(INDEX('Vendor COIs'!$A$4:$A$503,(_calc!$E$936-500)))=0,"",INDEX('Vendor COIs'!$A$4:$A$503,(_calc!$E$936-500)))&amp;" – "&amp;IF(LEN(INDEX('Vendor COIs'!$B$4:$B$503,(_calc!$E$936-500)))=0,"",INDEX('Vendor COIs'!$B$4:$B$503,(_calc!$E$936-500)))))</f>
        <v/>
      </c>
      <c r="B934" s="46">
        <f>IF(_calc!$E$936="","",IF(_calc!$E$936&lt;=500,IF(ISNUMBER(INDEX('Our policies'!$J$4:$J$503,_calc!$E$936)),TEXT(INDEX('Our policies'!$J$4:$J$503,_calc!$E$936),"yyyy-mm-dd"),""),IF(ISNUMBER(INDEX('Vendor COIs'!$H$4:$H$503,(_calc!$E$936-500))),TEXT(INDEX('Vendor COIs'!$H$4:$H$503,(_calc!$E$936-500)),"yyyy-mm-dd"),"")))</f>
        <v/>
      </c>
      <c r="C934" s="46">
        <f>IF(_calc!$E$936="","",IF(_calc!$E$936&lt;=500,"Insurance","Certificate of insurance"))</f>
        <v/>
      </c>
      <c r="D934" s="46">
        <f>IF(_calc!$E$936="","",IF(_calc!$E$936&lt;=500,IF(ISNUMBER(INDEX('Our policies'!$I$4:$I$503,_calc!$E$936)),TEXT(INDEX('Our policies'!$I$4:$I$503,_calc!$E$936),"yyyy-mm-dd"),""),""))</f>
        <v/>
      </c>
      <c r="E934" s="46">
        <f>IF(_calc!$E$936="","",IF(_calc!$E$936&lt;=500,IF(LEN(INDEX('Our policies'!$Q$4:$Q$503,_calc!$E$936))=0,"",INDEX('Our policies'!$Q$4:$Q$503,_calc!$E$936)),"Medium"))</f>
        <v/>
      </c>
      <c r="F934" s="46">
        <f>IF(_calc!$E$936="","",IF(_calc!$E$936&lt;=500,TRIM(IF(LEN(IF(LEN(INDEX('Our policies'!$B$4:$B$503,_calc!$E$936))=0,"",INDEX('Our policies'!$B$4:$B$503,_calc!$E$936)))=0,"","Cover: "&amp;IF(LEN(INDEX('Our policies'!$B$4:$B$503,_calc!$E$936))=0,"",INDEX('Our policies'!$B$4:$B$503,_calc!$E$936))&amp;". ")&amp;IF(LEN(IF(LEN(INDEX('Our policies'!$C$4:$C$503,_calc!$E$936))=0,"",INDEX('Our policies'!$C$4:$C$503,_calc!$E$936)))=0,"","Insurer: "&amp;IF(LEN(INDEX('Our policies'!$C$4:$C$503,_calc!$E$936))=0,"",INDEX('Our policies'!$C$4:$C$503,_calc!$E$936))&amp;". ")&amp;IF(LEN(IF(LEN(INDEX('Our policies'!$D$4:$D$503,_calc!$E$936))=0,"",INDEX('Our policies'!$D$4:$D$503,_calc!$E$936)))=0,"","Broker: "&amp;IF(LEN(INDEX('Our policies'!$D$4:$D$503,_calc!$E$936))=0,"",INDEX('Our policies'!$D$4:$D$503,_calc!$E$936))&amp;". ")&amp;IF(LEN(IF(LEN(INDEX('Our policies'!$E$4:$E$503,_calc!$E$936))=0,"",INDEX('Our policies'!$E$4:$E$503,_calc!$E$936)))=0,"","Policy no.: "&amp;IF(LEN(INDEX('Our policies'!$E$4:$E$503,_calc!$E$936))=0,"",INDEX('Our policies'!$E$4:$E$503,_calc!$E$936))&amp;". ")&amp;IF(LEN(IF(LEN(INDEX('Our policies'!$S$4:$S$503,_calc!$E$936))=0,"",INDEX('Our policies'!$S$4:$S$503,_calc!$E$936)))=0,"",IF(LEN(INDEX('Our policies'!$S$4:$S$503,_calc!$E$936))=0,"",INDEX('Our policies'!$S$4:$S$503,_calc!$E$936)))),TRIM(IF(LEN(IF(LEN(INDEX('Vendor COIs'!$C$4:$C$503,(_calc!$E$936-500)))=0,"",INDEX('Vendor COIs'!$C$4:$C$503,(_calc!$E$936-500))))=0,"","Insurer: "&amp;IF(LEN(INDEX('Vendor COIs'!$C$4:$C$503,(_calc!$E$936-500)))=0,"",INDEX('Vendor COIs'!$C$4:$C$503,(_calc!$E$936-500)))&amp;". ")&amp;IF(LEN(IF(LEN(INDEX('Vendor COIs'!$D$4:$D$503,(_calc!$E$936-500)))=0,"",INDEX('Vendor COIs'!$D$4:$D$503,(_calc!$E$936-500))))=0,"","Policy no.: "&amp;IF(LEN(INDEX('Vendor COIs'!$D$4:$D$503,(_calc!$E$936-500)))=0,"",INDEX('Vendor COIs'!$D$4:$D$503,(_calc!$E$936-500)))&amp;". ")&amp;IF(LEN(IF(LEN(INDEX('Vendor COIs'!$F$4:$F$503,(_calc!$E$936-500)))=0,"",INDEX('Vendor COIs'!$F$4:$F$503,(_calc!$E$936-500))))=0,"","Meets minimum: "&amp;IF(LEN(INDEX('Vendor COIs'!$F$4:$F$503,(_calc!$E$936-500)))=0,"",INDEX('Vendor COIs'!$F$4:$F$503,(_calc!$E$936-500)))&amp;". ")&amp;IF(LEN(IF(LEN(INDEX('Vendor COIs'!$G$4:$G$503,(_calc!$E$936-500)))=0,"",INDEX('Vendor COIs'!$G$4:$G$503,(_calc!$E$936-500))))=0,"","Additional insured: "&amp;IF(LEN(INDEX('Vendor COIs'!$G$4:$G$503,(_calc!$E$936-500)))=0,"",INDEX('Vendor COIs'!$G$4:$G$503,(_calc!$E$936-500)))&amp;". ")&amp;IF(LEN(IF(LEN(INDEX('Vendor COIs'!$M$4:$M$503,(_calc!$E$936-500)))=0,"",INDEX('Vendor COIs'!$M$4:$M$503,(_calc!$E$936-500))))=0,"","Vendor contact: "&amp;IF(LEN(INDEX('Vendor COIs'!$M$4:$M$503,(_calc!$E$936-500)))=0,"",INDEX('Vendor COIs'!$M$4:$M$503,(_calc!$E$936-500)))&amp;". ")&amp;IF(LEN(IF(LEN(INDEX('Vendor COIs'!$P$4:$P$503,(_calc!$E$936-500)))=0,"",INDEX('Vendor COIs'!$P$4:$P$503,(_calc!$E$936-500))))=0,"",IF(LEN(INDEX('Vendor COIs'!$P$4:$P$503,(_calc!$E$936-500)))=0,"",INDEX('Vendor COIs'!$P$4:$P$503,(_calc!$E$936-500)))))))</f>
        <v/>
      </c>
      <c r="G934" s="46">
        <f>IF(_calc!$E$936="","",IF(_calc!$E$936&lt;=500,IF(LEN(INDEX('Our policies'!$R$4:$R$503,_calc!$E$936))=0,"",INDEX('Our policies'!$R$4:$R$503,_calc!$E$936)),IF(LEN(INDEX('Vendor COIs'!$O$4:$O$503,(_calc!$E$936-500)))=0,"",INDEX('Vendor COIs'!$O$4:$O$503,(_calc!$E$936-500)))))</f>
        <v/>
      </c>
      <c r="H934" s="46">
        <f>IF(_calc!$E$936="","",IF(_calc!$E$936&lt;=500,IF(LEN(INDEX('Our policies'!$G$4:$G$503,_calc!$E$936))=0,"",INDEX('Our policies'!$G$4:$G$503,_calc!$E$936)),""))</f>
        <v/>
      </c>
      <c r="I934" s="46">
        <f>IF(_calc!$E$936="","",IF(_calc!$E$936&lt;=500,IF(LEN(INDEX('Our policies'!$H$4:$H$503,_calc!$E$936))=0,"",INDEX('Our policies'!$H$4:$H$503,_calc!$E$936)),""))</f>
        <v/>
      </c>
      <c r="K934" s="46">
        <f>IF(_calc!$E$936="","",IF(_calc!$E$936&lt;=500,IF(LEN(INDEX('Our policies'!$P$4:$P$503,_calc!$E$936))=0,"",INDEX('Our policies'!$P$4:$P$503,_calc!$E$936)),IF(LEN(INDEX('Vendor COIs'!$N$4:$N$503,(_calc!$E$936-500)))=0,"",INDEX('Vendor COIs'!$N$4:$N$503,(_calc!$E$936-500)))))</f>
        <v/>
      </c>
    </row>
    <row r="935">
      <c r="A935" s="46">
        <f>IF(_calc!$E$937="","",IF(_calc!$E$937&lt;=500,IF(LEN(INDEX('Our policies'!$A$4:$A$503,_calc!$E$937))=0,"",INDEX('Our policies'!$A$4:$A$503,_calc!$E$937)),"COI – "&amp;IF(LEN(INDEX('Vendor COIs'!$A$4:$A$503,(_calc!$E$937-500)))=0,"",INDEX('Vendor COIs'!$A$4:$A$503,(_calc!$E$937-500)))&amp;" – "&amp;IF(LEN(INDEX('Vendor COIs'!$B$4:$B$503,(_calc!$E$937-500)))=0,"",INDEX('Vendor COIs'!$B$4:$B$503,(_calc!$E$937-500)))))</f>
        <v/>
      </c>
      <c r="B935" s="46">
        <f>IF(_calc!$E$937="","",IF(_calc!$E$937&lt;=500,IF(ISNUMBER(INDEX('Our policies'!$J$4:$J$503,_calc!$E$937)),TEXT(INDEX('Our policies'!$J$4:$J$503,_calc!$E$937),"yyyy-mm-dd"),""),IF(ISNUMBER(INDEX('Vendor COIs'!$H$4:$H$503,(_calc!$E$937-500))),TEXT(INDEX('Vendor COIs'!$H$4:$H$503,(_calc!$E$937-500)),"yyyy-mm-dd"),"")))</f>
        <v/>
      </c>
      <c r="C935" s="46">
        <f>IF(_calc!$E$937="","",IF(_calc!$E$937&lt;=500,"Insurance","Certificate of insurance"))</f>
        <v/>
      </c>
      <c r="D935" s="46">
        <f>IF(_calc!$E$937="","",IF(_calc!$E$937&lt;=500,IF(ISNUMBER(INDEX('Our policies'!$I$4:$I$503,_calc!$E$937)),TEXT(INDEX('Our policies'!$I$4:$I$503,_calc!$E$937),"yyyy-mm-dd"),""),""))</f>
        <v/>
      </c>
      <c r="E935" s="46">
        <f>IF(_calc!$E$937="","",IF(_calc!$E$937&lt;=500,IF(LEN(INDEX('Our policies'!$Q$4:$Q$503,_calc!$E$937))=0,"",INDEX('Our policies'!$Q$4:$Q$503,_calc!$E$937)),"Medium"))</f>
        <v/>
      </c>
      <c r="F935" s="46">
        <f>IF(_calc!$E$937="","",IF(_calc!$E$937&lt;=500,TRIM(IF(LEN(IF(LEN(INDEX('Our policies'!$B$4:$B$503,_calc!$E$937))=0,"",INDEX('Our policies'!$B$4:$B$503,_calc!$E$937)))=0,"","Cover: "&amp;IF(LEN(INDEX('Our policies'!$B$4:$B$503,_calc!$E$937))=0,"",INDEX('Our policies'!$B$4:$B$503,_calc!$E$937))&amp;". ")&amp;IF(LEN(IF(LEN(INDEX('Our policies'!$C$4:$C$503,_calc!$E$937))=0,"",INDEX('Our policies'!$C$4:$C$503,_calc!$E$937)))=0,"","Insurer: "&amp;IF(LEN(INDEX('Our policies'!$C$4:$C$503,_calc!$E$937))=0,"",INDEX('Our policies'!$C$4:$C$503,_calc!$E$937))&amp;". ")&amp;IF(LEN(IF(LEN(INDEX('Our policies'!$D$4:$D$503,_calc!$E$937))=0,"",INDEX('Our policies'!$D$4:$D$503,_calc!$E$937)))=0,"","Broker: "&amp;IF(LEN(INDEX('Our policies'!$D$4:$D$503,_calc!$E$937))=0,"",INDEX('Our policies'!$D$4:$D$503,_calc!$E$937))&amp;". ")&amp;IF(LEN(IF(LEN(INDEX('Our policies'!$E$4:$E$503,_calc!$E$937))=0,"",INDEX('Our policies'!$E$4:$E$503,_calc!$E$937)))=0,"","Policy no.: "&amp;IF(LEN(INDEX('Our policies'!$E$4:$E$503,_calc!$E$937))=0,"",INDEX('Our policies'!$E$4:$E$503,_calc!$E$937))&amp;". ")&amp;IF(LEN(IF(LEN(INDEX('Our policies'!$S$4:$S$503,_calc!$E$937))=0,"",INDEX('Our policies'!$S$4:$S$503,_calc!$E$937)))=0,"",IF(LEN(INDEX('Our policies'!$S$4:$S$503,_calc!$E$937))=0,"",INDEX('Our policies'!$S$4:$S$503,_calc!$E$937)))),TRIM(IF(LEN(IF(LEN(INDEX('Vendor COIs'!$C$4:$C$503,(_calc!$E$937-500)))=0,"",INDEX('Vendor COIs'!$C$4:$C$503,(_calc!$E$937-500))))=0,"","Insurer: "&amp;IF(LEN(INDEX('Vendor COIs'!$C$4:$C$503,(_calc!$E$937-500)))=0,"",INDEX('Vendor COIs'!$C$4:$C$503,(_calc!$E$937-500)))&amp;". ")&amp;IF(LEN(IF(LEN(INDEX('Vendor COIs'!$D$4:$D$503,(_calc!$E$937-500)))=0,"",INDEX('Vendor COIs'!$D$4:$D$503,(_calc!$E$937-500))))=0,"","Policy no.: "&amp;IF(LEN(INDEX('Vendor COIs'!$D$4:$D$503,(_calc!$E$937-500)))=0,"",INDEX('Vendor COIs'!$D$4:$D$503,(_calc!$E$937-500)))&amp;". ")&amp;IF(LEN(IF(LEN(INDEX('Vendor COIs'!$F$4:$F$503,(_calc!$E$937-500)))=0,"",INDEX('Vendor COIs'!$F$4:$F$503,(_calc!$E$937-500))))=0,"","Meets minimum: "&amp;IF(LEN(INDEX('Vendor COIs'!$F$4:$F$503,(_calc!$E$937-500)))=0,"",INDEX('Vendor COIs'!$F$4:$F$503,(_calc!$E$937-500)))&amp;". ")&amp;IF(LEN(IF(LEN(INDEX('Vendor COIs'!$G$4:$G$503,(_calc!$E$937-500)))=0,"",INDEX('Vendor COIs'!$G$4:$G$503,(_calc!$E$937-500))))=0,"","Additional insured: "&amp;IF(LEN(INDEX('Vendor COIs'!$G$4:$G$503,(_calc!$E$937-500)))=0,"",INDEX('Vendor COIs'!$G$4:$G$503,(_calc!$E$937-500)))&amp;". ")&amp;IF(LEN(IF(LEN(INDEX('Vendor COIs'!$M$4:$M$503,(_calc!$E$937-500)))=0,"",INDEX('Vendor COIs'!$M$4:$M$503,(_calc!$E$937-500))))=0,"","Vendor contact: "&amp;IF(LEN(INDEX('Vendor COIs'!$M$4:$M$503,(_calc!$E$937-500)))=0,"",INDEX('Vendor COIs'!$M$4:$M$503,(_calc!$E$937-500)))&amp;". ")&amp;IF(LEN(IF(LEN(INDEX('Vendor COIs'!$P$4:$P$503,(_calc!$E$937-500)))=0,"",INDEX('Vendor COIs'!$P$4:$P$503,(_calc!$E$937-500))))=0,"",IF(LEN(INDEX('Vendor COIs'!$P$4:$P$503,(_calc!$E$937-500)))=0,"",INDEX('Vendor COIs'!$P$4:$P$503,(_calc!$E$937-500)))))))</f>
        <v/>
      </c>
      <c r="G935" s="46">
        <f>IF(_calc!$E$937="","",IF(_calc!$E$937&lt;=500,IF(LEN(INDEX('Our policies'!$R$4:$R$503,_calc!$E$937))=0,"",INDEX('Our policies'!$R$4:$R$503,_calc!$E$937)),IF(LEN(INDEX('Vendor COIs'!$O$4:$O$503,(_calc!$E$937-500)))=0,"",INDEX('Vendor COIs'!$O$4:$O$503,(_calc!$E$937-500)))))</f>
        <v/>
      </c>
      <c r="H935" s="46">
        <f>IF(_calc!$E$937="","",IF(_calc!$E$937&lt;=500,IF(LEN(INDEX('Our policies'!$G$4:$G$503,_calc!$E$937))=0,"",INDEX('Our policies'!$G$4:$G$503,_calc!$E$937)),""))</f>
        <v/>
      </c>
      <c r="I935" s="46">
        <f>IF(_calc!$E$937="","",IF(_calc!$E$937&lt;=500,IF(LEN(INDEX('Our policies'!$H$4:$H$503,_calc!$E$937))=0,"",INDEX('Our policies'!$H$4:$H$503,_calc!$E$937)),""))</f>
        <v/>
      </c>
      <c r="K935" s="46">
        <f>IF(_calc!$E$937="","",IF(_calc!$E$937&lt;=500,IF(LEN(INDEX('Our policies'!$P$4:$P$503,_calc!$E$937))=0,"",INDEX('Our policies'!$P$4:$P$503,_calc!$E$937)),IF(LEN(INDEX('Vendor COIs'!$N$4:$N$503,(_calc!$E$937-500)))=0,"",INDEX('Vendor COIs'!$N$4:$N$503,(_calc!$E$937-500)))))</f>
        <v/>
      </c>
    </row>
    <row r="936">
      <c r="A936" s="46">
        <f>IF(_calc!$E$938="","",IF(_calc!$E$938&lt;=500,IF(LEN(INDEX('Our policies'!$A$4:$A$503,_calc!$E$938))=0,"",INDEX('Our policies'!$A$4:$A$503,_calc!$E$938)),"COI – "&amp;IF(LEN(INDEX('Vendor COIs'!$A$4:$A$503,(_calc!$E$938-500)))=0,"",INDEX('Vendor COIs'!$A$4:$A$503,(_calc!$E$938-500)))&amp;" – "&amp;IF(LEN(INDEX('Vendor COIs'!$B$4:$B$503,(_calc!$E$938-500)))=0,"",INDEX('Vendor COIs'!$B$4:$B$503,(_calc!$E$938-500)))))</f>
        <v/>
      </c>
      <c r="B936" s="46">
        <f>IF(_calc!$E$938="","",IF(_calc!$E$938&lt;=500,IF(ISNUMBER(INDEX('Our policies'!$J$4:$J$503,_calc!$E$938)),TEXT(INDEX('Our policies'!$J$4:$J$503,_calc!$E$938),"yyyy-mm-dd"),""),IF(ISNUMBER(INDEX('Vendor COIs'!$H$4:$H$503,(_calc!$E$938-500))),TEXT(INDEX('Vendor COIs'!$H$4:$H$503,(_calc!$E$938-500)),"yyyy-mm-dd"),"")))</f>
        <v/>
      </c>
      <c r="C936" s="46">
        <f>IF(_calc!$E$938="","",IF(_calc!$E$938&lt;=500,"Insurance","Certificate of insurance"))</f>
        <v/>
      </c>
      <c r="D936" s="46">
        <f>IF(_calc!$E$938="","",IF(_calc!$E$938&lt;=500,IF(ISNUMBER(INDEX('Our policies'!$I$4:$I$503,_calc!$E$938)),TEXT(INDEX('Our policies'!$I$4:$I$503,_calc!$E$938),"yyyy-mm-dd"),""),""))</f>
        <v/>
      </c>
      <c r="E936" s="46">
        <f>IF(_calc!$E$938="","",IF(_calc!$E$938&lt;=500,IF(LEN(INDEX('Our policies'!$Q$4:$Q$503,_calc!$E$938))=0,"",INDEX('Our policies'!$Q$4:$Q$503,_calc!$E$938)),"Medium"))</f>
        <v/>
      </c>
      <c r="F936" s="46">
        <f>IF(_calc!$E$938="","",IF(_calc!$E$938&lt;=500,TRIM(IF(LEN(IF(LEN(INDEX('Our policies'!$B$4:$B$503,_calc!$E$938))=0,"",INDEX('Our policies'!$B$4:$B$503,_calc!$E$938)))=0,"","Cover: "&amp;IF(LEN(INDEX('Our policies'!$B$4:$B$503,_calc!$E$938))=0,"",INDEX('Our policies'!$B$4:$B$503,_calc!$E$938))&amp;". ")&amp;IF(LEN(IF(LEN(INDEX('Our policies'!$C$4:$C$503,_calc!$E$938))=0,"",INDEX('Our policies'!$C$4:$C$503,_calc!$E$938)))=0,"","Insurer: "&amp;IF(LEN(INDEX('Our policies'!$C$4:$C$503,_calc!$E$938))=0,"",INDEX('Our policies'!$C$4:$C$503,_calc!$E$938))&amp;". ")&amp;IF(LEN(IF(LEN(INDEX('Our policies'!$D$4:$D$503,_calc!$E$938))=0,"",INDEX('Our policies'!$D$4:$D$503,_calc!$E$938)))=0,"","Broker: "&amp;IF(LEN(INDEX('Our policies'!$D$4:$D$503,_calc!$E$938))=0,"",INDEX('Our policies'!$D$4:$D$503,_calc!$E$938))&amp;". ")&amp;IF(LEN(IF(LEN(INDEX('Our policies'!$E$4:$E$503,_calc!$E$938))=0,"",INDEX('Our policies'!$E$4:$E$503,_calc!$E$938)))=0,"","Policy no.: "&amp;IF(LEN(INDEX('Our policies'!$E$4:$E$503,_calc!$E$938))=0,"",INDEX('Our policies'!$E$4:$E$503,_calc!$E$938))&amp;". ")&amp;IF(LEN(IF(LEN(INDEX('Our policies'!$S$4:$S$503,_calc!$E$938))=0,"",INDEX('Our policies'!$S$4:$S$503,_calc!$E$938)))=0,"",IF(LEN(INDEX('Our policies'!$S$4:$S$503,_calc!$E$938))=0,"",INDEX('Our policies'!$S$4:$S$503,_calc!$E$938)))),TRIM(IF(LEN(IF(LEN(INDEX('Vendor COIs'!$C$4:$C$503,(_calc!$E$938-500)))=0,"",INDEX('Vendor COIs'!$C$4:$C$503,(_calc!$E$938-500))))=0,"","Insurer: "&amp;IF(LEN(INDEX('Vendor COIs'!$C$4:$C$503,(_calc!$E$938-500)))=0,"",INDEX('Vendor COIs'!$C$4:$C$503,(_calc!$E$938-500)))&amp;". ")&amp;IF(LEN(IF(LEN(INDEX('Vendor COIs'!$D$4:$D$503,(_calc!$E$938-500)))=0,"",INDEX('Vendor COIs'!$D$4:$D$503,(_calc!$E$938-500))))=0,"","Policy no.: "&amp;IF(LEN(INDEX('Vendor COIs'!$D$4:$D$503,(_calc!$E$938-500)))=0,"",INDEX('Vendor COIs'!$D$4:$D$503,(_calc!$E$938-500)))&amp;". ")&amp;IF(LEN(IF(LEN(INDEX('Vendor COIs'!$F$4:$F$503,(_calc!$E$938-500)))=0,"",INDEX('Vendor COIs'!$F$4:$F$503,(_calc!$E$938-500))))=0,"","Meets minimum: "&amp;IF(LEN(INDEX('Vendor COIs'!$F$4:$F$503,(_calc!$E$938-500)))=0,"",INDEX('Vendor COIs'!$F$4:$F$503,(_calc!$E$938-500)))&amp;". ")&amp;IF(LEN(IF(LEN(INDEX('Vendor COIs'!$G$4:$G$503,(_calc!$E$938-500)))=0,"",INDEX('Vendor COIs'!$G$4:$G$503,(_calc!$E$938-500))))=0,"","Additional insured: "&amp;IF(LEN(INDEX('Vendor COIs'!$G$4:$G$503,(_calc!$E$938-500)))=0,"",INDEX('Vendor COIs'!$G$4:$G$503,(_calc!$E$938-500)))&amp;". ")&amp;IF(LEN(IF(LEN(INDEX('Vendor COIs'!$M$4:$M$503,(_calc!$E$938-500)))=0,"",INDEX('Vendor COIs'!$M$4:$M$503,(_calc!$E$938-500))))=0,"","Vendor contact: "&amp;IF(LEN(INDEX('Vendor COIs'!$M$4:$M$503,(_calc!$E$938-500)))=0,"",INDEX('Vendor COIs'!$M$4:$M$503,(_calc!$E$938-500)))&amp;". ")&amp;IF(LEN(IF(LEN(INDEX('Vendor COIs'!$P$4:$P$503,(_calc!$E$938-500)))=0,"",INDEX('Vendor COIs'!$P$4:$P$503,(_calc!$E$938-500))))=0,"",IF(LEN(INDEX('Vendor COIs'!$P$4:$P$503,(_calc!$E$938-500)))=0,"",INDEX('Vendor COIs'!$P$4:$P$503,(_calc!$E$938-500)))))))</f>
        <v/>
      </c>
      <c r="G936" s="46">
        <f>IF(_calc!$E$938="","",IF(_calc!$E$938&lt;=500,IF(LEN(INDEX('Our policies'!$R$4:$R$503,_calc!$E$938))=0,"",INDEX('Our policies'!$R$4:$R$503,_calc!$E$938)),IF(LEN(INDEX('Vendor COIs'!$O$4:$O$503,(_calc!$E$938-500)))=0,"",INDEX('Vendor COIs'!$O$4:$O$503,(_calc!$E$938-500)))))</f>
        <v/>
      </c>
      <c r="H936" s="46">
        <f>IF(_calc!$E$938="","",IF(_calc!$E$938&lt;=500,IF(LEN(INDEX('Our policies'!$G$4:$G$503,_calc!$E$938))=0,"",INDEX('Our policies'!$G$4:$G$503,_calc!$E$938)),""))</f>
        <v/>
      </c>
      <c r="I936" s="46">
        <f>IF(_calc!$E$938="","",IF(_calc!$E$938&lt;=500,IF(LEN(INDEX('Our policies'!$H$4:$H$503,_calc!$E$938))=0,"",INDEX('Our policies'!$H$4:$H$503,_calc!$E$938)),""))</f>
        <v/>
      </c>
      <c r="K936" s="46">
        <f>IF(_calc!$E$938="","",IF(_calc!$E$938&lt;=500,IF(LEN(INDEX('Our policies'!$P$4:$P$503,_calc!$E$938))=0,"",INDEX('Our policies'!$P$4:$P$503,_calc!$E$938)),IF(LEN(INDEX('Vendor COIs'!$N$4:$N$503,(_calc!$E$938-500)))=0,"",INDEX('Vendor COIs'!$N$4:$N$503,(_calc!$E$938-500)))))</f>
        <v/>
      </c>
    </row>
    <row r="937">
      <c r="A937" s="46">
        <f>IF(_calc!$E$939="","",IF(_calc!$E$939&lt;=500,IF(LEN(INDEX('Our policies'!$A$4:$A$503,_calc!$E$939))=0,"",INDEX('Our policies'!$A$4:$A$503,_calc!$E$939)),"COI – "&amp;IF(LEN(INDEX('Vendor COIs'!$A$4:$A$503,(_calc!$E$939-500)))=0,"",INDEX('Vendor COIs'!$A$4:$A$503,(_calc!$E$939-500)))&amp;" – "&amp;IF(LEN(INDEX('Vendor COIs'!$B$4:$B$503,(_calc!$E$939-500)))=0,"",INDEX('Vendor COIs'!$B$4:$B$503,(_calc!$E$939-500)))))</f>
        <v/>
      </c>
      <c r="B937" s="46">
        <f>IF(_calc!$E$939="","",IF(_calc!$E$939&lt;=500,IF(ISNUMBER(INDEX('Our policies'!$J$4:$J$503,_calc!$E$939)),TEXT(INDEX('Our policies'!$J$4:$J$503,_calc!$E$939),"yyyy-mm-dd"),""),IF(ISNUMBER(INDEX('Vendor COIs'!$H$4:$H$503,(_calc!$E$939-500))),TEXT(INDEX('Vendor COIs'!$H$4:$H$503,(_calc!$E$939-500)),"yyyy-mm-dd"),"")))</f>
        <v/>
      </c>
      <c r="C937" s="46">
        <f>IF(_calc!$E$939="","",IF(_calc!$E$939&lt;=500,"Insurance","Certificate of insurance"))</f>
        <v/>
      </c>
      <c r="D937" s="46">
        <f>IF(_calc!$E$939="","",IF(_calc!$E$939&lt;=500,IF(ISNUMBER(INDEX('Our policies'!$I$4:$I$503,_calc!$E$939)),TEXT(INDEX('Our policies'!$I$4:$I$503,_calc!$E$939),"yyyy-mm-dd"),""),""))</f>
        <v/>
      </c>
      <c r="E937" s="46">
        <f>IF(_calc!$E$939="","",IF(_calc!$E$939&lt;=500,IF(LEN(INDEX('Our policies'!$Q$4:$Q$503,_calc!$E$939))=0,"",INDEX('Our policies'!$Q$4:$Q$503,_calc!$E$939)),"Medium"))</f>
        <v/>
      </c>
      <c r="F937" s="46">
        <f>IF(_calc!$E$939="","",IF(_calc!$E$939&lt;=500,TRIM(IF(LEN(IF(LEN(INDEX('Our policies'!$B$4:$B$503,_calc!$E$939))=0,"",INDEX('Our policies'!$B$4:$B$503,_calc!$E$939)))=0,"","Cover: "&amp;IF(LEN(INDEX('Our policies'!$B$4:$B$503,_calc!$E$939))=0,"",INDEX('Our policies'!$B$4:$B$503,_calc!$E$939))&amp;". ")&amp;IF(LEN(IF(LEN(INDEX('Our policies'!$C$4:$C$503,_calc!$E$939))=0,"",INDEX('Our policies'!$C$4:$C$503,_calc!$E$939)))=0,"","Insurer: "&amp;IF(LEN(INDEX('Our policies'!$C$4:$C$503,_calc!$E$939))=0,"",INDEX('Our policies'!$C$4:$C$503,_calc!$E$939))&amp;". ")&amp;IF(LEN(IF(LEN(INDEX('Our policies'!$D$4:$D$503,_calc!$E$939))=0,"",INDEX('Our policies'!$D$4:$D$503,_calc!$E$939)))=0,"","Broker: "&amp;IF(LEN(INDEX('Our policies'!$D$4:$D$503,_calc!$E$939))=0,"",INDEX('Our policies'!$D$4:$D$503,_calc!$E$939))&amp;". ")&amp;IF(LEN(IF(LEN(INDEX('Our policies'!$E$4:$E$503,_calc!$E$939))=0,"",INDEX('Our policies'!$E$4:$E$503,_calc!$E$939)))=0,"","Policy no.: "&amp;IF(LEN(INDEX('Our policies'!$E$4:$E$503,_calc!$E$939))=0,"",INDEX('Our policies'!$E$4:$E$503,_calc!$E$939))&amp;". ")&amp;IF(LEN(IF(LEN(INDEX('Our policies'!$S$4:$S$503,_calc!$E$939))=0,"",INDEX('Our policies'!$S$4:$S$503,_calc!$E$939)))=0,"",IF(LEN(INDEX('Our policies'!$S$4:$S$503,_calc!$E$939))=0,"",INDEX('Our policies'!$S$4:$S$503,_calc!$E$939)))),TRIM(IF(LEN(IF(LEN(INDEX('Vendor COIs'!$C$4:$C$503,(_calc!$E$939-500)))=0,"",INDEX('Vendor COIs'!$C$4:$C$503,(_calc!$E$939-500))))=0,"","Insurer: "&amp;IF(LEN(INDEX('Vendor COIs'!$C$4:$C$503,(_calc!$E$939-500)))=0,"",INDEX('Vendor COIs'!$C$4:$C$503,(_calc!$E$939-500)))&amp;". ")&amp;IF(LEN(IF(LEN(INDEX('Vendor COIs'!$D$4:$D$503,(_calc!$E$939-500)))=0,"",INDEX('Vendor COIs'!$D$4:$D$503,(_calc!$E$939-500))))=0,"","Policy no.: "&amp;IF(LEN(INDEX('Vendor COIs'!$D$4:$D$503,(_calc!$E$939-500)))=0,"",INDEX('Vendor COIs'!$D$4:$D$503,(_calc!$E$939-500)))&amp;". ")&amp;IF(LEN(IF(LEN(INDEX('Vendor COIs'!$F$4:$F$503,(_calc!$E$939-500)))=0,"",INDEX('Vendor COIs'!$F$4:$F$503,(_calc!$E$939-500))))=0,"","Meets minimum: "&amp;IF(LEN(INDEX('Vendor COIs'!$F$4:$F$503,(_calc!$E$939-500)))=0,"",INDEX('Vendor COIs'!$F$4:$F$503,(_calc!$E$939-500)))&amp;". ")&amp;IF(LEN(IF(LEN(INDEX('Vendor COIs'!$G$4:$G$503,(_calc!$E$939-500)))=0,"",INDEX('Vendor COIs'!$G$4:$G$503,(_calc!$E$939-500))))=0,"","Additional insured: "&amp;IF(LEN(INDEX('Vendor COIs'!$G$4:$G$503,(_calc!$E$939-500)))=0,"",INDEX('Vendor COIs'!$G$4:$G$503,(_calc!$E$939-500)))&amp;". ")&amp;IF(LEN(IF(LEN(INDEX('Vendor COIs'!$M$4:$M$503,(_calc!$E$939-500)))=0,"",INDEX('Vendor COIs'!$M$4:$M$503,(_calc!$E$939-500))))=0,"","Vendor contact: "&amp;IF(LEN(INDEX('Vendor COIs'!$M$4:$M$503,(_calc!$E$939-500)))=0,"",INDEX('Vendor COIs'!$M$4:$M$503,(_calc!$E$939-500)))&amp;". ")&amp;IF(LEN(IF(LEN(INDEX('Vendor COIs'!$P$4:$P$503,(_calc!$E$939-500)))=0,"",INDEX('Vendor COIs'!$P$4:$P$503,(_calc!$E$939-500))))=0,"",IF(LEN(INDEX('Vendor COIs'!$P$4:$P$503,(_calc!$E$939-500)))=0,"",INDEX('Vendor COIs'!$P$4:$P$503,(_calc!$E$939-500)))))))</f>
        <v/>
      </c>
      <c r="G937" s="46">
        <f>IF(_calc!$E$939="","",IF(_calc!$E$939&lt;=500,IF(LEN(INDEX('Our policies'!$R$4:$R$503,_calc!$E$939))=0,"",INDEX('Our policies'!$R$4:$R$503,_calc!$E$939)),IF(LEN(INDEX('Vendor COIs'!$O$4:$O$503,(_calc!$E$939-500)))=0,"",INDEX('Vendor COIs'!$O$4:$O$503,(_calc!$E$939-500)))))</f>
        <v/>
      </c>
      <c r="H937" s="46">
        <f>IF(_calc!$E$939="","",IF(_calc!$E$939&lt;=500,IF(LEN(INDEX('Our policies'!$G$4:$G$503,_calc!$E$939))=0,"",INDEX('Our policies'!$G$4:$G$503,_calc!$E$939)),""))</f>
        <v/>
      </c>
      <c r="I937" s="46">
        <f>IF(_calc!$E$939="","",IF(_calc!$E$939&lt;=500,IF(LEN(INDEX('Our policies'!$H$4:$H$503,_calc!$E$939))=0,"",INDEX('Our policies'!$H$4:$H$503,_calc!$E$939)),""))</f>
        <v/>
      </c>
      <c r="K937" s="46">
        <f>IF(_calc!$E$939="","",IF(_calc!$E$939&lt;=500,IF(LEN(INDEX('Our policies'!$P$4:$P$503,_calc!$E$939))=0,"",INDEX('Our policies'!$P$4:$P$503,_calc!$E$939)),IF(LEN(INDEX('Vendor COIs'!$N$4:$N$503,(_calc!$E$939-500)))=0,"",INDEX('Vendor COIs'!$N$4:$N$503,(_calc!$E$939-500)))))</f>
        <v/>
      </c>
    </row>
    <row r="938">
      <c r="A938" s="46">
        <f>IF(_calc!$E$940="","",IF(_calc!$E$940&lt;=500,IF(LEN(INDEX('Our policies'!$A$4:$A$503,_calc!$E$940))=0,"",INDEX('Our policies'!$A$4:$A$503,_calc!$E$940)),"COI – "&amp;IF(LEN(INDEX('Vendor COIs'!$A$4:$A$503,(_calc!$E$940-500)))=0,"",INDEX('Vendor COIs'!$A$4:$A$503,(_calc!$E$940-500)))&amp;" – "&amp;IF(LEN(INDEX('Vendor COIs'!$B$4:$B$503,(_calc!$E$940-500)))=0,"",INDEX('Vendor COIs'!$B$4:$B$503,(_calc!$E$940-500)))))</f>
        <v/>
      </c>
      <c r="B938" s="46">
        <f>IF(_calc!$E$940="","",IF(_calc!$E$940&lt;=500,IF(ISNUMBER(INDEX('Our policies'!$J$4:$J$503,_calc!$E$940)),TEXT(INDEX('Our policies'!$J$4:$J$503,_calc!$E$940),"yyyy-mm-dd"),""),IF(ISNUMBER(INDEX('Vendor COIs'!$H$4:$H$503,(_calc!$E$940-500))),TEXT(INDEX('Vendor COIs'!$H$4:$H$503,(_calc!$E$940-500)),"yyyy-mm-dd"),"")))</f>
        <v/>
      </c>
      <c r="C938" s="46">
        <f>IF(_calc!$E$940="","",IF(_calc!$E$940&lt;=500,"Insurance","Certificate of insurance"))</f>
        <v/>
      </c>
      <c r="D938" s="46">
        <f>IF(_calc!$E$940="","",IF(_calc!$E$940&lt;=500,IF(ISNUMBER(INDEX('Our policies'!$I$4:$I$503,_calc!$E$940)),TEXT(INDEX('Our policies'!$I$4:$I$503,_calc!$E$940),"yyyy-mm-dd"),""),""))</f>
        <v/>
      </c>
      <c r="E938" s="46">
        <f>IF(_calc!$E$940="","",IF(_calc!$E$940&lt;=500,IF(LEN(INDEX('Our policies'!$Q$4:$Q$503,_calc!$E$940))=0,"",INDEX('Our policies'!$Q$4:$Q$503,_calc!$E$940)),"Medium"))</f>
        <v/>
      </c>
      <c r="F938" s="46">
        <f>IF(_calc!$E$940="","",IF(_calc!$E$940&lt;=500,TRIM(IF(LEN(IF(LEN(INDEX('Our policies'!$B$4:$B$503,_calc!$E$940))=0,"",INDEX('Our policies'!$B$4:$B$503,_calc!$E$940)))=0,"","Cover: "&amp;IF(LEN(INDEX('Our policies'!$B$4:$B$503,_calc!$E$940))=0,"",INDEX('Our policies'!$B$4:$B$503,_calc!$E$940))&amp;". ")&amp;IF(LEN(IF(LEN(INDEX('Our policies'!$C$4:$C$503,_calc!$E$940))=0,"",INDEX('Our policies'!$C$4:$C$503,_calc!$E$940)))=0,"","Insurer: "&amp;IF(LEN(INDEX('Our policies'!$C$4:$C$503,_calc!$E$940))=0,"",INDEX('Our policies'!$C$4:$C$503,_calc!$E$940))&amp;". ")&amp;IF(LEN(IF(LEN(INDEX('Our policies'!$D$4:$D$503,_calc!$E$940))=0,"",INDEX('Our policies'!$D$4:$D$503,_calc!$E$940)))=0,"","Broker: "&amp;IF(LEN(INDEX('Our policies'!$D$4:$D$503,_calc!$E$940))=0,"",INDEX('Our policies'!$D$4:$D$503,_calc!$E$940))&amp;". ")&amp;IF(LEN(IF(LEN(INDEX('Our policies'!$E$4:$E$503,_calc!$E$940))=0,"",INDEX('Our policies'!$E$4:$E$503,_calc!$E$940)))=0,"","Policy no.: "&amp;IF(LEN(INDEX('Our policies'!$E$4:$E$503,_calc!$E$940))=0,"",INDEX('Our policies'!$E$4:$E$503,_calc!$E$940))&amp;". ")&amp;IF(LEN(IF(LEN(INDEX('Our policies'!$S$4:$S$503,_calc!$E$940))=0,"",INDEX('Our policies'!$S$4:$S$503,_calc!$E$940)))=0,"",IF(LEN(INDEX('Our policies'!$S$4:$S$503,_calc!$E$940))=0,"",INDEX('Our policies'!$S$4:$S$503,_calc!$E$940)))),TRIM(IF(LEN(IF(LEN(INDEX('Vendor COIs'!$C$4:$C$503,(_calc!$E$940-500)))=0,"",INDEX('Vendor COIs'!$C$4:$C$503,(_calc!$E$940-500))))=0,"","Insurer: "&amp;IF(LEN(INDEX('Vendor COIs'!$C$4:$C$503,(_calc!$E$940-500)))=0,"",INDEX('Vendor COIs'!$C$4:$C$503,(_calc!$E$940-500)))&amp;". ")&amp;IF(LEN(IF(LEN(INDEX('Vendor COIs'!$D$4:$D$503,(_calc!$E$940-500)))=0,"",INDEX('Vendor COIs'!$D$4:$D$503,(_calc!$E$940-500))))=0,"","Policy no.: "&amp;IF(LEN(INDEX('Vendor COIs'!$D$4:$D$503,(_calc!$E$940-500)))=0,"",INDEX('Vendor COIs'!$D$4:$D$503,(_calc!$E$940-500)))&amp;". ")&amp;IF(LEN(IF(LEN(INDEX('Vendor COIs'!$F$4:$F$503,(_calc!$E$940-500)))=0,"",INDEX('Vendor COIs'!$F$4:$F$503,(_calc!$E$940-500))))=0,"","Meets minimum: "&amp;IF(LEN(INDEX('Vendor COIs'!$F$4:$F$503,(_calc!$E$940-500)))=0,"",INDEX('Vendor COIs'!$F$4:$F$503,(_calc!$E$940-500)))&amp;". ")&amp;IF(LEN(IF(LEN(INDEX('Vendor COIs'!$G$4:$G$503,(_calc!$E$940-500)))=0,"",INDEX('Vendor COIs'!$G$4:$G$503,(_calc!$E$940-500))))=0,"","Additional insured: "&amp;IF(LEN(INDEX('Vendor COIs'!$G$4:$G$503,(_calc!$E$940-500)))=0,"",INDEX('Vendor COIs'!$G$4:$G$503,(_calc!$E$940-500)))&amp;". ")&amp;IF(LEN(IF(LEN(INDEX('Vendor COIs'!$M$4:$M$503,(_calc!$E$940-500)))=0,"",INDEX('Vendor COIs'!$M$4:$M$503,(_calc!$E$940-500))))=0,"","Vendor contact: "&amp;IF(LEN(INDEX('Vendor COIs'!$M$4:$M$503,(_calc!$E$940-500)))=0,"",INDEX('Vendor COIs'!$M$4:$M$503,(_calc!$E$940-500)))&amp;". ")&amp;IF(LEN(IF(LEN(INDEX('Vendor COIs'!$P$4:$P$503,(_calc!$E$940-500)))=0,"",INDEX('Vendor COIs'!$P$4:$P$503,(_calc!$E$940-500))))=0,"",IF(LEN(INDEX('Vendor COIs'!$P$4:$P$503,(_calc!$E$940-500)))=0,"",INDEX('Vendor COIs'!$P$4:$P$503,(_calc!$E$940-500)))))))</f>
        <v/>
      </c>
      <c r="G938" s="46">
        <f>IF(_calc!$E$940="","",IF(_calc!$E$940&lt;=500,IF(LEN(INDEX('Our policies'!$R$4:$R$503,_calc!$E$940))=0,"",INDEX('Our policies'!$R$4:$R$503,_calc!$E$940)),IF(LEN(INDEX('Vendor COIs'!$O$4:$O$503,(_calc!$E$940-500)))=0,"",INDEX('Vendor COIs'!$O$4:$O$503,(_calc!$E$940-500)))))</f>
        <v/>
      </c>
      <c r="H938" s="46">
        <f>IF(_calc!$E$940="","",IF(_calc!$E$940&lt;=500,IF(LEN(INDEX('Our policies'!$G$4:$G$503,_calc!$E$940))=0,"",INDEX('Our policies'!$G$4:$G$503,_calc!$E$940)),""))</f>
        <v/>
      </c>
      <c r="I938" s="46">
        <f>IF(_calc!$E$940="","",IF(_calc!$E$940&lt;=500,IF(LEN(INDEX('Our policies'!$H$4:$H$503,_calc!$E$940))=0,"",INDEX('Our policies'!$H$4:$H$503,_calc!$E$940)),""))</f>
        <v/>
      </c>
      <c r="K938" s="46">
        <f>IF(_calc!$E$940="","",IF(_calc!$E$940&lt;=500,IF(LEN(INDEX('Our policies'!$P$4:$P$503,_calc!$E$940))=0,"",INDEX('Our policies'!$P$4:$P$503,_calc!$E$940)),IF(LEN(INDEX('Vendor COIs'!$N$4:$N$503,(_calc!$E$940-500)))=0,"",INDEX('Vendor COIs'!$N$4:$N$503,(_calc!$E$940-500)))))</f>
        <v/>
      </c>
    </row>
    <row r="939">
      <c r="A939" s="46">
        <f>IF(_calc!$E$941="","",IF(_calc!$E$941&lt;=500,IF(LEN(INDEX('Our policies'!$A$4:$A$503,_calc!$E$941))=0,"",INDEX('Our policies'!$A$4:$A$503,_calc!$E$941)),"COI – "&amp;IF(LEN(INDEX('Vendor COIs'!$A$4:$A$503,(_calc!$E$941-500)))=0,"",INDEX('Vendor COIs'!$A$4:$A$503,(_calc!$E$941-500)))&amp;" – "&amp;IF(LEN(INDEX('Vendor COIs'!$B$4:$B$503,(_calc!$E$941-500)))=0,"",INDEX('Vendor COIs'!$B$4:$B$503,(_calc!$E$941-500)))))</f>
        <v/>
      </c>
      <c r="B939" s="46">
        <f>IF(_calc!$E$941="","",IF(_calc!$E$941&lt;=500,IF(ISNUMBER(INDEX('Our policies'!$J$4:$J$503,_calc!$E$941)),TEXT(INDEX('Our policies'!$J$4:$J$503,_calc!$E$941),"yyyy-mm-dd"),""),IF(ISNUMBER(INDEX('Vendor COIs'!$H$4:$H$503,(_calc!$E$941-500))),TEXT(INDEX('Vendor COIs'!$H$4:$H$503,(_calc!$E$941-500)),"yyyy-mm-dd"),"")))</f>
        <v/>
      </c>
      <c r="C939" s="46">
        <f>IF(_calc!$E$941="","",IF(_calc!$E$941&lt;=500,"Insurance","Certificate of insurance"))</f>
        <v/>
      </c>
      <c r="D939" s="46">
        <f>IF(_calc!$E$941="","",IF(_calc!$E$941&lt;=500,IF(ISNUMBER(INDEX('Our policies'!$I$4:$I$503,_calc!$E$941)),TEXT(INDEX('Our policies'!$I$4:$I$503,_calc!$E$941),"yyyy-mm-dd"),""),""))</f>
        <v/>
      </c>
      <c r="E939" s="46">
        <f>IF(_calc!$E$941="","",IF(_calc!$E$941&lt;=500,IF(LEN(INDEX('Our policies'!$Q$4:$Q$503,_calc!$E$941))=0,"",INDEX('Our policies'!$Q$4:$Q$503,_calc!$E$941)),"Medium"))</f>
        <v/>
      </c>
      <c r="F939" s="46">
        <f>IF(_calc!$E$941="","",IF(_calc!$E$941&lt;=500,TRIM(IF(LEN(IF(LEN(INDEX('Our policies'!$B$4:$B$503,_calc!$E$941))=0,"",INDEX('Our policies'!$B$4:$B$503,_calc!$E$941)))=0,"","Cover: "&amp;IF(LEN(INDEX('Our policies'!$B$4:$B$503,_calc!$E$941))=0,"",INDEX('Our policies'!$B$4:$B$503,_calc!$E$941))&amp;". ")&amp;IF(LEN(IF(LEN(INDEX('Our policies'!$C$4:$C$503,_calc!$E$941))=0,"",INDEX('Our policies'!$C$4:$C$503,_calc!$E$941)))=0,"","Insurer: "&amp;IF(LEN(INDEX('Our policies'!$C$4:$C$503,_calc!$E$941))=0,"",INDEX('Our policies'!$C$4:$C$503,_calc!$E$941))&amp;". ")&amp;IF(LEN(IF(LEN(INDEX('Our policies'!$D$4:$D$503,_calc!$E$941))=0,"",INDEX('Our policies'!$D$4:$D$503,_calc!$E$941)))=0,"","Broker: "&amp;IF(LEN(INDEX('Our policies'!$D$4:$D$503,_calc!$E$941))=0,"",INDEX('Our policies'!$D$4:$D$503,_calc!$E$941))&amp;". ")&amp;IF(LEN(IF(LEN(INDEX('Our policies'!$E$4:$E$503,_calc!$E$941))=0,"",INDEX('Our policies'!$E$4:$E$503,_calc!$E$941)))=0,"","Policy no.: "&amp;IF(LEN(INDEX('Our policies'!$E$4:$E$503,_calc!$E$941))=0,"",INDEX('Our policies'!$E$4:$E$503,_calc!$E$941))&amp;". ")&amp;IF(LEN(IF(LEN(INDEX('Our policies'!$S$4:$S$503,_calc!$E$941))=0,"",INDEX('Our policies'!$S$4:$S$503,_calc!$E$941)))=0,"",IF(LEN(INDEX('Our policies'!$S$4:$S$503,_calc!$E$941))=0,"",INDEX('Our policies'!$S$4:$S$503,_calc!$E$941)))),TRIM(IF(LEN(IF(LEN(INDEX('Vendor COIs'!$C$4:$C$503,(_calc!$E$941-500)))=0,"",INDEX('Vendor COIs'!$C$4:$C$503,(_calc!$E$941-500))))=0,"","Insurer: "&amp;IF(LEN(INDEX('Vendor COIs'!$C$4:$C$503,(_calc!$E$941-500)))=0,"",INDEX('Vendor COIs'!$C$4:$C$503,(_calc!$E$941-500)))&amp;". ")&amp;IF(LEN(IF(LEN(INDEX('Vendor COIs'!$D$4:$D$503,(_calc!$E$941-500)))=0,"",INDEX('Vendor COIs'!$D$4:$D$503,(_calc!$E$941-500))))=0,"","Policy no.: "&amp;IF(LEN(INDEX('Vendor COIs'!$D$4:$D$503,(_calc!$E$941-500)))=0,"",INDEX('Vendor COIs'!$D$4:$D$503,(_calc!$E$941-500)))&amp;". ")&amp;IF(LEN(IF(LEN(INDEX('Vendor COIs'!$F$4:$F$503,(_calc!$E$941-500)))=0,"",INDEX('Vendor COIs'!$F$4:$F$503,(_calc!$E$941-500))))=0,"","Meets minimum: "&amp;IF(LEN(INDEX('Vendor COIs'!$F$4:$F$503,(_calc!$E$941-500)))=0,"",INDEX('Vendor COIs'!$F$4:$F$503,(_calc!$E$941-500)))&amp;". ")&amp;IF(LEN(IF(LEN(INDEX('Vendor COIs'!$G$4:$G$503,(_calc!$E$941-500)))=0,"",INDEX('Vendor COIs'!$G$4:$G$503,(_calc!$E$941-500))))=0,"","Additional insured: "&amp;IF(LEN(INDEX('Vendor COIs'!$G$4:$G$503,(_calc!$E$941-500)))=0,"",INDEX('Vendor COIs'!$G$4:$G$503,(_calc!$E$941-500)))&amp;". ")&amp;IF(LEN(IF(LEN(INDEX('Vendor COIs'!$M$4:$M$503,(_calc!$E$941-500)))=0,"",INDEX('Vendor COIs'!$M$4:$M$503,(_calc!$E$941-500))))=0,"","Vendor contact: "&amp;IF(LEN(INDEX('Vendor COIs'!$M$4:$M$503,(_calc!$E$941-500)))=0,"",INDEX('Vendor COIs'!$M$4:$M$503,(_calc!$E$941-500)))&amp;". ")&amp;IF(LEN(IF(LEN(INDEX('Vendor COIs'!$P$4:$P$503,(_calc!$E$941-500)))=0,"",INDEX('Vendor COIs'!$P$4:$P$503,(_calc!$E$941-500))))=0,"",IF(LEN(INDEX('Vendor COIs'!$P$4:$P$503,(_calc!$E$941-500)))=0,"",INDEX('Vendor COIs'!$P$4:$P$503,(_calc!$E$941-500)))))))</f>
        <v/>
      </c>
      <c r="G939" s="46">
        <f>IF(_calc!$E$941="","",IF(_calc!$E$941&lt;=500,IF(LEN(INDEX('Our policies'!$R$4:$R$503,_calc!$E$941))=0,"",INDEX('Our policies'!$R$4:$R$503,_calc!$E$941)),IF(LEN(INDEX('Vendor COIs'!$O$4:$O$503,(_calc!$E$941-500)))=0,"",INDEX('Vendor COIs'!$O$4:$O$503,(_calc!$E$941-500)))))</f>
        <v/>
      </c>
      <c r="H939" s="46">
        <f>IF(_calc!$E$941="","",IF(_calc!$E$941&lt;=500,IF(LEN(INDEX('Our policies'!$G$4:$G$503,_calc!$E$941))=0,"",INDEX('Our policies'!$G$4:$G$503,_calc!$E$941)),""))</f>
        <v/>
      </c>
      <c r="I939" s="46">
        <f>IF(_calc!$E$941="","",IF(_calc!$E$941&lt;=500,IF(LEN(INDEX('Our policies'!$H$4:$H$503,_calc!$E$941))=0,"",INDEX('Our policies'!$H$4:$H$503,_calc!$E$941)),""))</f>
        <v/>
      </c>
      <c r="K939" s="46">
        <f>IF(_calc!$E$941="","",IF(_calc!$E$941&lt;=500,IF(LEN(INDEX('Our policies'!$P$4:$P$503,_calc!$E$941))=0,"",INDEX('Our policies'!$P$4:$P$503,_calc!$E$941)),IF(LEN(INDEX('Vendor COIs'!$N$4:$N$503,(_calc!$E$941-500)))=0,"",INDEX('Vendor COIs'!$N$4:$N$503,(_calc!$E$941-500)))))</f>
        <v/>
      </c>
    </row>
    <row r="940">
      <c r="A940" s="46">
        <f>IF(_calc!$E$942="","",IF(_calc!$E$942&lt;=500,IF(LEN(INDEX('Our policies'!$A$4:$A$503,_calc!$E$942))=0,"",INDEX('Our policies'!$A$4:$A$503,_calc!$E$942)),"COI – "&amp;IF(LEN(INDEX('Vendor COIs'!$A$4:$A$503,(_calc!$E$942-500)))=0,"",INDEX('Vendor COIs'!$A$4:$A$503,(_calc!$E$942-500)))&amp;" – "&amp;IF(LEN(INDEX('Vendor COIs'!$B$4:$B$503,(_calc!$E$942-500)))=0,"",INDEX('Vendor COIs'!$B$4:$B$503,(_calc!$E$942-500)))))</f>
        <v/>
      </c>
      <c r="B940" s="46">
        <f>IF(_calc!$E$942="","",IF(_calc!$E$942&lt;=500,IF(ISNUMBER(INDEX('Our policies'!$J$4:$J$503,_calc!$E$942)),TEXT(INDEX('Our policies'!$J$4:$J$503,_calc!$E$942),"yyyy-mm-dd"),""),IF(ISNUMBER(INDEX('Vendor COIs'!$H$4:$H$503,(_calc!$E$942-500))),TEXT(INDEX('Vendor COIs'!$H$4:$H$503,(_calc!$E$942-500)),"yyyy-mm-dd"),"")))</f>
        <v/>
      </c>
      <c r="C940" s="46">
        <f>IF(_calc!$E$942="","",IF(_calc!$E$942&lt;=500,"Insurance","Certificate of insurance"))</f>
        <v/>
      </c>
      <c r="D940" s="46">
        <f>IF(_calc!$E$942="","",IF(_calc!$E$942&lt;=500,IF(ISNUMBER(INDEX('Our policies'!$I$4:$I$503,_calc!$E$942)),TEXT(INDEX('Our policies'!$I$4:$I$503,_calc!$E$942),"yyyy-mm-dd"),""),""))</f>
        <v/>
      </c>
      <c r="E940" s="46">
        <f>IF(_calc!$E$942="","",IF(_calc!$E$942&lt;=500,IF(LEN(INDEX('Our policies'!$Q$4:$Q$503,_calc!$E$942))=0,"",INDEX('Our policies'!$Q$4:$Q$503,_calc!$E$942)),"Medium"))</f>
        <v/>
      </c>
      <c r="F940" s="46">
        <f>IF(_calc!$E$942="","",IF(_calc!$E$942&lt;=500,TRIM(IF(LEN(IF(LEN(INDEX('Our policies'!$B$4:$B$503,_calc!$E$942))=0,"",INDEX('Our policies'!$B$4:$B$503,_calc!$E$942)))=0,"","Cover: "&amp;IF(LEN(INDEX('Our policies'!$B$4:$B$503,_calc!$E$942))=0,"",INDEX('Our policies'!$B$4:$B$503,_calc!$E$942))&amp;". ")&amp;IF(LEN(IF(LEN(INDEX('Our policies'!$C$4:$C$503,_calc!$E$942))=0,"",INDEX('Our policies'!$C$4:$C$503,_calc!$E$942)))=0,"","Insurer: "&amp;IF(LEN(INDEX('Our policies'!$C$4:$C$503,_calc!$E$942))=0,"",INDEX('Our policies'!$C$4:$C$503,_calc!$E$942))&amp;". ")&amp;IF(LEN(IF(LEN(INDEX('Our policies'!$D$4:$D$503,_calc!$E$942))=0,"",INDEX('Our policies'!$D$4:$D$503,_calc!$E$942)))=0,"","Broker: "&amp;IF(LEN(INDEX('Our policies'!$D$4:$D$503,_calc!$E$942))=0,"",INDEX('Our policies'!$D$4:$D$503,_calc!$E$942))&amp;". ")&amp;IF(LEN(IF(LEN(INDEX('Our policies'!$E$4:$E$503,_calc!$E$942))=0,"",INDEX('Our policies'!$E$4:$E$503,_calc!$E$942)))=0,"","Policy no.: "&amp;IF(LEN(INDEX('Our policies'!$E$4:$E$503,_calc!$E$942))=0,"",INDEX('Our policies'!$E$4:$E$503,_calc!$E$942))&amp;". ")&amp;IF(LEN(IF(LEN(INDEX('Our policies'!$S$4:$S$503,_calc!$E$942))=0,"",INDEX('Our policies'!$S$4:$S$503,_calc!$E$942)))=0,"",IF(LEN(INDEX('Our policies'!$S$4:$S$503,_calc!$E$942))=0,"",INDEX('Our policies'!$S$4:$S$503,_calc!$E$942)))),TRIM(IF(LEN(IF(LEN(INDEX('Vendor COIs'!$C$4:$C$503,(_calc!$E$942-500)))=0,"",INDEX('Vendor COIs'!$C$4:$C$503,(_calc!$E$942-500))))=0,"","Insurer: "&amp;IF(LEN(INDEX('Vendor COIs'!$C$4:$C$503,(_calc!$E$942-500)))=0,"",INDEX('Vendor COIs'!$C$4:$C$503,(_calc!$E$942-500)))&amp;". ")&amp;IF(LEN(IF(LEN(INDEX('Vendor COIs'!$D$4:$D$503,(_calc!$E$942-500)))=0,"",INDEX('Vendor COIs'!$D$4:$D$503,(_calc!$E$942-500))))=0,"","Policy no.: "&amp;IF(LEN(INDEX('Vendor COIs'!$D$4:$D$503,(_calc!$E$942-500)))=0,"",INDEX('Vendor COIs'!$D$4:$D$503,(_calc!$E$942-500)))&amp;". ")&amp;IF(LEN(IF(LEN(INDEX('Vendor COIs'!$F$4:$F$503,(_calc!$E$942-500)))=0,"",INDEX('Vendor COIs'!$F$4:$F$503,(_calc!$E$942-500))))=0,"","Meets minimum: "&amp;IF(LEN(INDEX('Vendor COIs'!$F$4:$F$503,(_calc!$E$942-500)))=0,"",INDEX('Vendor COIs'!$F$4:$F$503,(_calc!$E$942-500)))&amp;". ")&amp;IF(LEN(IF(LEN(INDEX('Vendor COIs'!$G$4:$G$503,(_calc!$E$942-500)))=0,"",INDEX('Vendor COIs'!$G$4:$G$503,(_calc!$E$942-500))))=0,"","Additional insured: "&amp;IF(LEN(INDEX('Vendor COIs'!$G$4:$G$503,(_calc!$E$942-500)))=0,"",INDEX('Vendor COIs'!$G$4:$G$503,(_calc!$E$942-500)))&amp;". ")&amp;IF(LEN(IF(LEN(INDEX('Vendor COIs'!$M$4:$M$503,(_calc!$E$942-500)))=0,"",INDEX('Vendor COIs'!$M$4:$M$503,(_calc!$E$942-500))))=0,"","Vendor contact: "&amp;IF(LEN(INDEX('Vendor COIs'!$M$4:$M$503,(_calc!$E$942-500)))=0,"",INDEX('Vendor COIs'!$M$4:$M$503,(_calc!$E$942-500)))&amp;". ")&amp;IF(LEN(IF(LEN(INDEX('Vendor COIs'!$P$4:$P$503,(_calc!$E$942-500)))=0,"",INDEX('Vendor COIs'!$P$4:$P$503,(_calc!$E$942-500))))=0,"",IF(LEN(INDEX('Vendor COIs'!$P$4:$P$503,(_calc!$E$942-500)))=0,"",INDEX('Vendor COIs'!$P$4:$P$503,(_calc!$E$942-500)))))))</f>
        <v/>
      </c>
      <c r="G940" s="46">
        <f>IF(_calc!$E$942="","",IF(_calc!$E$942&lt;=500,IF(LEN(INDEX('Our policies'!$R$4:$R$503,_calc!$E$942))=0,"",INDEX('Our policies'!$R$4:$R$503,_calc!$E$942)),IF(LEN(INDEX('Vendor COIs'!$O$4:$O$503,(_calc!$E$942-500)))=0,"",INDEX('Vendor COIs'!$O$4:$O$503,(_calc!$E$942-500)))))</f>
        <v/>
      </c>
      <c r="H940" s="46">
        <f>IF(_calc!$E$942="","",IF(_calc!$E$942&lt;=500,IF(LEN(INDEX('Our policies'!$G$4:$G$503,_calc!$E$942))=0,"",INDEX('Our policies'!$G$4:$G$503,_calc!$E$942)),""))</f>
        <v/>
      </c>
      <c r="I940" s="46">
        <f>IF(_calc!$E$942="","",IF(_calc!$E$942&lt;=500,IF(LEN(INDEX('Our policies'!$H$4:$H$503,_calc!$E$942))=0,"",INDEX('Our policies'!$H$4:$H$503,_calc!$E$942)),""))</f>
        <v/>
      </c>
      <c r="K940" s="46">
        <f>IF(_calc!$E$942="","",IF(_calc!$E$942&lt;=500,IF(LEN(INDEX('Our policies'!$P$4:$P$503,_calc!$E$942))=0,"",INDEX('Our policies'!$P$4:$P$503,_calc!$E$942)),IF(LEN(INDEX('Vendor COIs'!$N$4:$N$503,(_calc!$E$942-500)))=0,"",INDEX('Vendor COIs'!$N$4:$N$503,(_calc!$E$942-500)))))</f>
        <v/>
      </c>
    </row>
    <row r="941">
      <c r="A941" s="46">
        <f>IF(_calc!$E$943="","",IF(_calc!$E$943&lt;=500,IF(LEN(INDEX('Our policies'!$A$4:$A$503,_calc!$E$943))=0,"",INDEX('Our policies'!$A$4:$A$503,_calc!$E$943)),"COI – "&amp;IF(LEN(INDEX('Vendor COIs'!$A$4:$A$503,(_calc!$E$943-500)))=0,"",INDEX('Vendor COIs'!$A$4:$A$503,(_calc!$E$943-500)))&amp;" – "&amp;IF(LEN(INDEX('Vendor COIs'!$B$4:$B$503,(_calc!$E$943-500)))=0,"",INDEX('Vendor COIs'!$B$4:$B$503,(_calc!$E$943-500)))))</f>
        <v/>
      </c>
      <c r="B941" s="46">
        <f>IF(_calc!$E$943="","",IF(_calc!$E$943&lt;=500,IF(ISNUMBER(INDEX('Our policies'!$J$4:$J$503,_calc!$E$943)),TEXT(INDEX('Our policies'!$J$4:$J$503,_calc!$E$943),"yyyy-mm-dd"),""),IF(ISNUMBER(INDEX('Vendor COIs'!$H$4:$H$503,(_calc!$E$943-500))),TEXT(INDEX('Vendor COIs'!$H$4:$H$503,(_calc!$E$943-500)),"yyyy-mm-dd"),"")))</f>
        <v/>
      </c>
      <c r="C941" s="46">
        <f>IF(_calc!$E$943="","",IF(_calc!$E$943&lt;=500,"Insurance","Certificate of insurance"))</f>
        <v/>
      </c>
      <c r="D941" s="46">
        <f>IF(_calc!$E$943="","",IF(_calc!$E$943&lt;=500,IF(ISNUMBER(INDEX('Our policies'!$I$4:$I$503,_calc!$E$943)),TEXT(INDEX('Our policies'!$I$4:$I$503,_calc!$E$943),"yyyy-mm-dd"),""),""))</f>
        <v/>
      </c>
      <c r="E941" s="46">
        <f>IF(_calc!$E$943="","",IF(_calc!$E$943&lt;=500,IF(LEN(INDEX('Our policies'!$Q$4:$Q$503,_calc!$E$943))=0,"",INDEX('Our policies'!$Q$4:$Q$503,_calc!$E$943)),"Medium"))</f>
        <v/>
      </c>
      <c r="F941" s="46">
        <f>IF(_calc!$E$943="","",IF(_calc!$E$943&lt;=500,TRIM(IF(LEN(IF(LEN(INDEX('Our policies'!$B$4:$B$503,_calc!$E$943))=0,"",INDEX('Our policies'!$B$4:$B$503,_calc!$E$943)))=0,"","Cover: "&amp;IF(LEN(INDEX('Our policies'!$B$4:$B$503,_calc!$E$943))=0,"",INDEX('Our policies'!$B$4:$B$503,_calc!$E$943))&amp;". ")&amp;IF(LEN(IF(LEN(INDEX('Our policies'!$C$4:$C$503,_calc!$E$943))=0,"",INDEX('Our policies'!$C$4:$C$503,_calc!$E$943)))=0,"","Insurer: "&amp;IF(LEN(INDEX('Our policies'!$C$4:$C$503,_calc!$E$943))=0,"",INDEX('Our policies'!$C$4:$C$503,_calc!$E$943))&amp;". ")&amp;IF(LEN(IF(LEN(INDEX('Our policies'!$D$4:$D$503,_calc!$E$943))=0,"",INDEX('Our policies'!$D$4:$D$503,_calc!$E$943)))=0,"","Broker: "&amp;IF(LEN(INDEX('Our policies'!$D$4:$D$503,_calc!$E$943))=0,"",INDEX('Our policies'!$D$4:$D$503,_calc!$E$943))&amp;". ")&amp;IF(LEN(IF(LEN(INDEX('Our policies'!$E$4:$E$503,_calc!$E$943))=0,"",INDEX('Our policies'!$E$4:$E$503,_calc!$E$943)))=0,"","Policy no.: "&amp;IF(LEN(INDEX('Our policies'!$E$4:$E$503,_calc!$E$943))=0,"",INDEX('Our policies'!$E$4:$E$503,_calc!$E$943))&amp;". ")&amp;IF(LEN(IF(LEN(INDEX('Our policies'!$S$4:$S$503,_calc!$E$943))=0,"",INDEX('Our policies'!$S$4:$S$503,_calc!$E$943)))=0,"",IF(LEN(INDEX('Our policies'!$S$4:$S$503,_calc!$E$943))=0,"",INDEX('Our policies'!$S$4:$S$503,_calc!$E$943)))),TRIM(IF(LEN(IF(LEN(INDEX('Vendor COIs'!$C$4:$C$503,(_calc!$E$943-500)))=0,"",INDEX('Vendor COIs'!$C$4:$C$503,(_calc!$E$943-500))))=0,"","Insurer: "&amp;IF(LEN(INDEX('Vendor COIs'!$C$4:$C$503,(_calc!$E$943-500)))=0,"",INDEX('Vendor COIs'!$C$4:$C$503,(_calc!$E$943-500)))&amp;". ")&amp;IF(LEN(IF(LEN(INDEX('Vendor COIs'!$D$4:$D$503,(_calc!$E$943-500)))=0,"",INDEX('Vendor COIs'!$D$4:$D$503,(_calc!$E$943-500))))=0,"","Policy no.: "&amp;IF(LEN(INDEX('Vendor COIs'!$D$4:$D$503,(_calc!$E$943-500)))=0,"",INDEX('Vendor COIs'!$D$4:$D$503,(_calc!$E$943-500)))&amp;". ")&amp;IF(LEN(IF(LEN(INDEX('Vendor COIs'!$F$4:$F$503,(_calc!$E$943-500)))=0,"",INDEX('Vendor COIs'!$F$4:$F$503,(_calc!$E$943-500))))=0,"","Meets minimum: "&amp;IF(LEN(INDEX('Vendor COIs'!$F$4:$F$503,(_calc!$E$943-500)))=0,"",INDEX('Vendor COIs'!$F$4:$F$503,(_calc!$E$943-500)))&amp;". ")&amp;IF(LEN(IF(LEN(INDEX('Vendor COIs'!$G$4:$G$503,(_calc!$E$943-500)))=0,"",INDEX('Vendor COIs'!$G$4:$G$503,(_calc!$E$943-500))))=0,"","Additional insured: "&amp;IF(LEN(INDEX('Vendor COIs'!$G$4:$G$503,(_calc!$E$943-500)))=0,"",INDEX('Vendor COIs'!$G$4:$G$503,(_calc!$E$943-500)))&amp;". ")&amp;IF(LEN(IF(LEN(INDEX('Vendor COIs'!$M$4:$M$503,(_calc!$E$943-500)))=0,"",INDEX('Vendor COIs'!$M$4:$M$503,(_calc!$E$943-500))))=0,"","Vendor contact: "&amp;IF(LEN(INDEX('Vendor COIs'!$M$4:$M$503,(_calc!$E$943-500)))=0,"",INDEX('Vendor COIs'!$M$4:$M$503,(_calc!$E$943-500)))&amp;". ")&amp;IF(LEN(IF(LEN(INDEX('Vendor COIs'!$P$4:$P$503,(_calc!$E$943-500)))=0,"",INDEX('Vendor COIs'!$P$4:$P$503,(_calc!$E$943-500))))=0,"",IF(LEN(INDEX('Vendor COIs'!$P$4:$P$503,(_calc!$E$943-500)))=0,"",INDEX('Vendor COIs'!$P$4:$P$503,(_calc!$E$943-500)))))))</f>
        <v/>
      </c>
      <c r="G941" s="46">
        <f>IF(_calc!$E$943="","",IF(_calc!$E$943&lt;=500,IF(LEN(INDEX('Our policies'!$R$4:$R$503,_calc!$E$943))=0,"",INDEX('Our policies'!$R$4:$R$503,_calc!$E$943)),IF(LEN(INDEX('Vendor COIs'!$O$4:$O$503,(_calc!$E$943-500)))=0,"",INDEX('Vendor COIs'!$O$4:$O$503,(_calc!$E$943-500)))))</f>
        <v/>
      </c>
      <c r="H941" s="46">
        <f>IF(_calc!$E$943="","",IF(_calc!$E$943&lt;=500,IF(LEN(INDEX('Our policies'!$G$4:$G$503,_calc!$E$943))=0,"",INDEX('Our policies'!$G$4:$G$503,_calc!$E$943)),""))</f>
        <v/>
      </c>
      <c r="I941" s="46">
        <f>IF(_calc!$E$943="","",IF(_calc!$E$943&lt;=500,IF(LEN(INDEX('Our policies'!$H$4:$H$503,_calc!$E$943))=0,"",INDEX('Our policies'!$H$4:$H$503,_calc!$E$943)),""))</f>
        <v/>
      </c>
      <c r="K941" s="46">
        <f>IF(_calc!$E$943="","",IF(_calc!$E$943&lt;=500,IF(LEN(INDEX('Our policies'!$P$4:$P$503,_calc!$E$943))=0,"",INDEX('Our policies'!$P$4:$P$503,_calc!$E$943)),IF(LEN(INDEX('Vendor COIs'!$N$4:$N$503,(_calc!$E$943-500)))=0,"",INDEX('Vendor COIs'!$N$4:$N$503,(_calc!$E$943-500)))))</f>
        <v/>
      </c>
    </row>
    <row r="942">
      <c r="A942" s="46">
        <f>IF(_calc!$E$944="","",IF(_calc!$E$944&lt;=500,IF(LEN(INDEX('Our policies'!$A$4:$A$503,_calc!$E$944))=0,"",INDEX('Our policies'!$A$4:$A$503,_calc!$E$944)),"COI – "&amp;IF(LEN(INDEX('Vendor COIs'!$A$4:$A$503,(_calc!$E$944-500)))=0,"",INDEX('Vendor COIs'!$A$4:$A$503,(_calc!$E$944-500)))&amp;" – "&amp;IF(LEN(INDEX('Vendor COIs'!$B$4:$B$503,(_calc!$E$944-500)))=0,"",INDEX('Vendor COIs'!$B$4:$B$503,(_calc!$E$944-500)))))</f>
        <v/>
      </c>
      <c r="B942" s="46">
        <f>IF(_calc!$E$944="","",IF(_calc!$E$944&lt;=500,IF(ISNUMBER(INDEX('Our policies'!$J$4:$J$503,_calc!$E$944)),TEXT(INDEX('Our policies'!$J$4:$J$503,_calc!$E$944),"yyyy-mm-dd"),""),IF(ISNUMBER(INDEX('Vendor COIs'!$H$4:$H$503,(_calc!$E$944-500))),TEXT(INDEX('Vendor COIs'!$H$4:$H$503,(_calc!$E$944-500)),"yyyy-mm-dd"),"")))</f>
        <v/>
      </c>
      <c r="C942" s="46">
        <f>IF(_calc!$E$944="","",IF(_calc!$E$944&lt;=500,"Insurance","Certificate of insurance"))</f>
        <v/>
      </c>
      <c r="D942" s="46">
        <f>IF(_calc!$E$944="","",IF(_calc!$E$944&lt;=500,IF(ISNUMBER(INDEX('Our policies'!$I$4:$I$503,_calc!$E$944)),TEXT(INDEX('Our policies'!$I$4:$I$503,_calc!$E$944),"yyyy-mm-dd"),""),""))</f>
        <v/>
      </c>
      <c r="E942" s="46">
        <f>IF(_calc!$E$944="","",IF(_calc!$E$944&lt;=500,IF(LEN(INDEX('Our policies'!$Q$4:$Q$503,_calc!$E$944))=0,"",INDEX('Our policies'!$Q$4:$Q$503,_calc!$E$944)),"Medium"))</f>
        <v/>
      </c>
      <c r="F942" s="46">
        <f>IF(_calc!$E$944="","",IF(_calc!$E$944&lt;=500,TRIM(IF(LEN(IF(LEN(INDEX('Our policies'!$B$4:$B$503,_calc!$E$944))=0,"",INDEX('Our policies'!$B$4:$B$503,_calc!$E$944)))=0,"","Cover: "&amp;IF(LEN(INDEX('Our policies'!$B$4:$B$503,_calc!$E$944))=0,"",INDEX('Our policies'!$B$4:$B$503,_calc!$E$944))&amp;". ")&amp;IF(LEN(IF(LEN(INDEX('Our policies'!$C$4:$C$503,_calc!$E$944))=0,"",INDEX('Our policies'!$C$4:$C$503,_calc!$E$944)))=0,"","Insurer: "&amp;IF(LEN(INDEX('Our policies'!$C$4:$C$503,_calc!$E$944))=0,"",INDEX('Our policies'!$C$4:$C$503,_calc!$E$944))&amp;". ")&amp;IF(LEN(IF(LEN(INDEX('Our policies'!$D$4:$D$503,_calc!$E$944))=0,"",INDEX('Our policies'!$D$4:$D$503,_calc!$E$944)))=0,"","Broker: "&amp;IF(LEN(INDEX('Our policies'!$D$4:$D$503,_calc!$E$944))=0,"",INDEX('Our policies'!$D$4:$D$503,_calc!$E$944))&amp;". ")&amp;IF(LEN(IF(LEN(INDEX('Our policies'!$E$4:$E$503,_calc!$E$944))=0,"",INDEX('Our policies'!$E$4:$E$503,_calc!$E$944)))=0,"","Policy no.: "&amp;IF(LEN(INDEX('Our policies'!$E$4:$E$503,_calc!$E$944))=0,"",INDEX('Our policies'!$E$4:$E$503,_calc!$E$944))&amp;". ")&amp;IF(LEN(IF(LEN(INDEX('Our policies'!$S$4:$S$503,_calc!$E$944))=0,"",INDEX('Our policies'!$S$4:$S$503,_calc!$E$944)))=0,"",IF(LEN(INDEX('Our policies'!$S$4:$S$503,_calc!$E$944))=0,"",INDEX('Our policies'!$S$4:$S$503,_calc!$E$944)))),TRIM(IF(LEN(IF(LEN(INDEX('Vendor COIs'!$C$4:$C$503,(_calc!$E$944-500)))=0,"",INDEX('Vendor COIs'!$C$4:$C$503,(_calc!$E$944-500))))=0,"","Insurer: "&amp;IF(LEN(INDEX('Vendor COIs'!$C$4:$C$503,(_calc!$E$944-500)))=0,"",INDEX('Vendor COIs'!$C$4:$C$503,(_calc!$E$944-500)))&amp;". ")&amp;IF(LEN(IF(LEN(INDEX('Vendor COIs'!$D$4:$D$503,(_calc!$E$944-500)))=0,"",INDEX('Vendor COIs'!$D$4:$D$503,(_calc!$E$944-500))))=0,"","Policy no.: "&amp;IF(LEN(INDEX('Vendor COIs'!$D$4:$D$503,(_calc!$E$944-500)))=0,"",INDEX('Vendor COIs'!$D$4:$D$503,(_calc!$E$944-500)))&amp;". ")&amp;IF(LEN(IF(LEN(INDEX('Vendor COIs'!$F$4:$F$503,(_calc!$E$944-500)))=0,"",INDEX('Vendor COIs'!$F$4:$F$503,(_calc!$E$944-500))))=0,"","Meets minimum: "&amp;IF(LEN(INDEX('Vendor COIs'!$F$4:$F$503,(_calc!$E$944-500)))=0,"",INDEX('Vendor COIs'!$F$4:$F$503,(_calc!$E$944-500)))&amp;". ")&amp;IF(LEN(IF(LEN(INDEX('Vendor COIs'!$G$4:$G$503,(_calc!$E$944-500)))=0,"",INDEX('Vendor COIs'!$G$4:$G$503,(_calc!$E$944-500))))=0,"","Additional insured: "&amp;IF(LEN(INDEX('Vendor COIs'!$G$4:$G$503,(_calc!$E$944-500)))=0,"",INDEX('Vendor COIs'!$G$4:$G$503,(_calc!$E$944-500)))&amp;". ")&amp;IF(LEN(IF(LEN(INDEX('Vendor COIs'!$M$4:$M$503,(_calc!$E$944-500)))=0,"",INDEX('Vendor COIs'!$M$4:$M$503,(_calc!$E$944-500))))=0,"","Vendor contact: "&amp;IF(LEN(INDEX('Vendor COIs'!$M$4:$M$503,(_calc!$E$944-500)))=0,"",INDEX('Vendor COIs'!$M$4:$M$503,(_calc!$E$944-500)))&amp;". ")&amp;IF(LEN(IF(LEN(INDEX('Vendor COIs'!$P$4:$P$503,(_calc!$E$944-500)))=0,"",INDEX('Vendor COIs'!$P$4:$P$503,(_calc!$E$944-500))))=0,"",IF(LEN(INDEX('Vendor COIs'!$P$4:$P$503,(_calc!$E$944-500)))=0,"",INDEX('Vendor COIs'!$P$4:$P$503,(_calc!$E$944-500)))))))</f>
        <v/>
      </c>
      <c r="G942" s="46">
        <f>IF(_calc!$E$944="","",IF(_calc!$E$944&lt;=500,IF(LEN(INDEX('Our policies'!$R$4:$R$503,_calc!$E$944))=0,"",INDEX('Our policies'!$R$4:$R$503,_calc!$E$944)),IF(LEN(INDEX('Vendor COIs'!$O$4:$O$503,(_calc!$E$944-500)))=0,"",INDEX('Vendor COIs'!$O$4:$O$503,(_calc!$E$944-500)))))</f>
        <v/>
      </c>
      <c r="H942" s="46">
        <f>IF(_calc!$E$944="","",IF(_calc!$E$944&lt;=500,IF(LEN(INDEX('Our policies'!$G$4:$G$503,_calc!$E$944))=0,"",INDEX('Our policies'!$G$4:$G$503,_calc!$E$944)),""))</f>
        <v/>
      </c>
      <c r="I942" s="46">
        <f>IF(_calc!$E$944="","",IF(_calc!$E$944&lt;=500,IF(LEN(INDEX('Our policies'!$H$4:$H$503,_calc!$E$944))=0,"",INDEX('Our policies'!$H$4:$H$503,_calc!$E$944)),""))</f>
        <v/>
      </c>
      <c r="K942" s="46">
        <f>IF(_calc!$E$944="","",IF(_calc!$E$944&lt;=500,IF(LEN(INDEX('Our policies'!$P$4:$P$503,_calc!$E$944))=0,"",INDEX('Our policies'!$P$4:$P$503,_calc!$E$944)),IF(LEN(INDEX('Vendor COIs'!$N$4:$N$503,(_calc!$E$944-500)))=0,"",INDEX('Vendor COIs'!$N$4:$N$503,(_calc!$E$944-500)))))</f>
        <v/>
      </c>
    </row>
    <row r="943">
      <c r="A943" s="46">
        <f>IF(_calc!$E$945="","",IF(_calc!$E$945&lt;=500,IF(LEN(INDEX('Our policies'!$A$4:$A$503,_calc!$E$945))=0,"",INDEX('Our policies'!$A$4:$A$503,_calc!$E$945)),"COI – "&amp;IF(LEN(INDEX('Vendor COIs'!$A$4:$A$503,(_calc!$E$945-500)))=0,"",INDEX('Vendor COIs'!$A$4:$A$503,(_calc!$E$945-500)))&amp;" – "&amp;IF(LEN(INDEX('Vendor COIs'!$B$4:$B$503,(_calc!$E$945-500)))=0,"",INDEX('Vendor COIs'!$B$4:$B$503,(_calc!$E$945-500)))))</f>
        <v/>
      </c>
      <c r="B943" s="46">
        <f>IF(_calc!$E$945="","",IF(_calc!$E$945&lt;=500,IF(ISNUMBER(INDEX('Our policies'!$J$4:$J$503,_calc!$E$945)),TEXT(INDEX('Our policies'!$J$4:$J$503,_calc!$E$945),"yyyy-mm-dd"),""),IF(ISNUMBER(INDEX('Vendor COIs'!$H$4:$H$503,(_calc!$E$945-500))),TEXT(INDEX('Vendor COIs'!$H$4:$H$503,(_calc!$E$945-500)),"yyyy-mm-dd"),"")))</f>
        <v/>
      </c>
      <c r="C943" s="46">
        <f>IF(_calc!$E$945="","",IF(_calc!$E$945&lt;=500,"Insurance","Certificate of insurance"))</f>
        <v/>
      </c>
      <c r="D943" s="46">
        <f>IF(_calc!$E$945="","",IF(_calc!$E$945&lt;=500,IF(ISNUMBER(INDEX('Our policies'!$I$4:$I$503,_calc!$E$945)),TEXT(INDEX('Our policies'!$I$4:$I$503,_calc!$E$945),"yyyy-mm-dd"),""),""))</f>
        <v/>
      </c>
      <c r="E943" s="46">
        <f>IF(_calc!$E$945="","",IF(_calc!$E$945&lt;=500,IF(LEN(INDEX('Our policies'!$Q$4:$Q$503,_calc!$E$945))=0,"",INDEX('Our policies'!$Q$4:$Q$503,_calc!$E$945)),"Medium"))</f>
        <v/>
      </c>
      <c r="F943" s="46">
        <f>IF(_calc!$E$945="","",IF(_calc!$E$945&lt;=500,TRIM(IF(LEN(IF(LEN(INDEX('Our policies'!$B$4:$B$503,_calc!$E$945))=0,"",INDEX('Our policies'!$B$4:$B$503,_calc!$E$945)))=0,"","Cover: "&amp;IF(LEN(INDEX('Our policies'!$B$4:$B$503,_calc!$E$945))=0,"",INDEX('Our policies'!$B$4:$B$503,_calc!$E$945))&amp;". ")&amp;IF(LEN(IF(LEN(INDEX('Our policies'!$C$4:$C$503,_calc!$E$945))=0,"",INDEX('Our policies'!$C$4:$C$503,_calc!$E$945)))=0,"","Insurer: "&amp;IF(LEN(INDEX('Our policies'!$C$4:$C$503,_calc!$E$945))=0,"",INDEX('Our policies'!$C$4:$C$503,_calc!$E$945))&amp;". ")&amp;IF(LEN(IF(LEN(INDEX('Our policies'!$D$4:$D$503,_calc!$E$945))=0,"",INDEX('Our policies'!$D$4:$D$503,_calc!$E$945)))=0,"","Broker: "&amp;IF(LEN(INDEX('Our policies'!$D$4:$D$503,_calc!$E$945))=0,"",INDEX('Our policies'!$D$4:$D$503,_calc!$E$945))&amp;". ")&amp;IF(LEN(IF(LEN(INDEX('Our policies'!$E$4:$E$503,_calc!$E$945))=0,"",INDEX('Our policies'!$E$4:$E$503,_calc!$E$945)))=0,"","Policy no.: "&amp;IF(LEN(INDEX('Our policies'!$E$4:$E$503,_calc!$E$945))=0,"",INDEX('Our policies'!$E$4:$E$503,_calc!$E$945))&amp;". ")&amp;IF(LEN(IF(LEN(INDEX('Our policies'!$S$4:$S$503,_calc!$E$945))=0,"",INDEX('Our policies'!$S$4:$S$503,_calc!$E$945)))=0,"",IF(LEN(INDEX('Our policies'!$S$4:$S$503,_calc!$E$945))=0,"",INDEX('Our policies'!$S$4:$S$503,_calc!$E$945)))),TRIM(IF(LEN(IF(LEN(INDEX('Vendor COIs'!$C$4:$C$503,(_calc!$E$945-500)))=0,"",INDEX('Vendor COIs'!$C$4:$C$503,(_calc!$E$945-500))))=0,"","Insurer: "&amp;IF(LEN(INDEX('Vendor COIs'!$C$4:$C$503,(_calc!$E$945-500)))=0,"",INDEX('Vendor COIs'!$C$4:$C$503,(_calc!$E$945-500)))&amp;". ")&amp;IF(LEN(IF(LEN(INDEX('Vendor COIs'!$D$4:$D$503,(_calc!$E$945-500)))=0,"",INDEX('Vendor COIs'!$D$4:$D$503,(_calc!$E$945-500))))=0,"","Policy no.: "&amp;IF(LEN(INDEX('Vendor COIs'!$D$4:$D$503,(_calc!$E$945-500)))=0,"",INDEX('Vendor COIs'!$D$4:$D$503,(_calc!$E$945-500)))&amp;". ")&amp;IF(LEN(IF(LEN(INDEX('Vendor COIs'!$F$4:$F$503,(_calc!$E$945-500)))=0,"",INDEX('Vendor COIs'!$F$4:$F$503,(_calc!$E$945-500))))=0,"","Meets minimum: "&amp;IF(LEN(INDEX('Vendor COIs'!$F$4:$F$503,(_calc!$E$945-500)))=0,"",INDEX('Vendor COIs'!$F$4:$F$503,(_calc!$E$945-500)))&amp;". ")&amp;IF(LEN(IF(LEN(INDEX('Vendor COIs'!$G$4:$G$503,(_calc!$E$945-500)))=0,"",INDEX('Vendor COIs'!$G$4:$G$503,(_calc!$E$945-500))))=0,"","Additional insured: "&amp;IF(LEN(INDEX('Vendor COIs'!$G$4:$G$503,(_calc!$E$945-500)))=0,"",INDEX('Vendor COIs'!$G$4:$G$503,(_calc!$E$945-500)))&amp;". ")&amp;IF(LEN(IF(LEN(INDEX('Vendor COIs'!$M$4:$M$503,(_calc!$E$945-500)))=0,"",INDEX('Vendor COIs'!$M$4:$M$503,(_calc!$E$945-500))))=0,"","Vendor contact: "&amp;IF(LEN(INDEX('Vendor COIs'!$M$4:$M$503,(_calc!$E$945-500)))=0,"",INDEX('Vendor COIs'!$M$4:$M$503,(_calc!$E$945-500)))&amp;". ")&amp;IF(LEN(IF(LEN(INDEX('Vendor COIs'!$P$4:$P$503,(_calc!$E$945-500)))=0,"",INDEX('Vendor COIs'!$P$4:$P$503,(_calc!$E$945-500))))=0,"",IF(LEN(INDEX('Vendor COIs'!$P$4:$P$503,(_calc!$E$945-500)))=0,"",INDEX('Vendor COIs'!$P$4:$P$503,(_calc!$E$945-500)))))))</f>
        <v/>
      </c>
      <c r="G943" s="46">
        <f>IF(_calc!$E$945="","",IF(_calc!$E$945&lt;=500,IF(LEN(INDEX('Our policies'!$R$4:$R$503,_calc!$E$945))=0,"",INDEX('Our policies'!$R$4:$R$503,_calc!$E$945)),IF(LEN(INDEX('Vendor COIs'!$O$4:$O$503,(_calc!$E$945-500)))=0,"",INDEX('Vendor COIs'!$O$4:$O$503,(_calc!$E$945-500)))))</f>
        <v/>
      </c>
      <c r="H943" s="46">
        <f>IF(_calc!$E$945="","",IF(_calc!$E$945&lt;=500,IF(LEN(INDEX('Our policies'!$G$4:$G$503,_calc!$E$945))=0,"",INDEX('Our policies'!$G$4:$G$503,_calc!$E$945)),""))</f>
        <v/>
      </c>
      <c r="I943" s="46">
        <f>IF(_calc!$E$945="","",IF(_calc!$E$945&lt;=500,IF(LEN(INDEX('Our policies'!$H$4:$H$503,_calc!$E$945))=0,"",INDEX('Our policies'!$H$4:$H$503,_calc!$E$945)),""))</f>
        <v/>
      </c>
      <c r="K943" s="46">
        <f>IF(_calc!$E$945="","",IF(_calc!$E$945&lt;=500,IF(LEN(INDEX('Our policies'!$P$4:$P$503,_calc!$E$945))=0,"",INDEX('Our policies'!$P$4:$P$503,_calc!$E$945)),IF(LEN(INDEX('Vendor COIs'!$N$4:$N$503,(_calc!$E$945-500)))=0,"",INDEX('Vendor COIs'!$N$4:$N$503,(_calc!$E$945-500)))))</f>
        <v/>
      </c>
    </row>
    <row r="944">
      <c r="A944" s="46">
        <f>IF(_calc!$E$946="","",IF(_calc!$E$946&lt;=500,IF(LEN(INDEX('Our policies'!$A$4:$A$503,_calc!$E$946))=0,"",INDEX('Our policies'!$A$4:$A$503,_calc!$E$946)),"COI – "&amp;IF(LEN(INDEX('Vendor COIs'!$A$4:$A$503,(_calc!$E$946-500)))=0,"",INDEX('Vendor COIs'!$A$4:$A$503,(_calc!$E$946-500)))&amp;" – "&amp;IF(LEN(INDEX('Vendor COIs'!$B$4:$B$503,(_calc!$E$946-500)))=0,"",INDEX('Vendor COIs'!$B$4:$B$503,(_calc!$E$946-500)))))</f>
        <v/>
      </c>
      <c r="B944" s="46">
        <f>IF(_calc!$E$946="","",IF(_calc!$E$946&lt;=500,IF(ISNUMBER(INDEX('Our policies'!$J$4:$J$503,_calc!$E$946)),TEXT(INDEX('Our policies'!$J$4:$J$503,_calc!$E$946),"yyyy-mm-dd"),""),IF(ISNUMBER(INDEX('Vendor COIs'!$H$4:$H$503,(_calc!$E$946-500))),TEXT(INDEX('Vendor COIs'!$H$4:$H$503,(_calc!$E$946-500)),"yyyy-mm-dd"),"")))</f>
        <v/>
      </c>
      <c r="C944" s="46">
        <f>IF(_calc!$E$946="","",IF(_calc!$E$946&lt;=500,"Insurance","Certificate of insurance"))</f>
        <v/>
      </c>
      <c r="D944" s="46">
        <f>IF(_calc!$E$946="","",IF(_calc!$E$946&lt;=500,IF(ISNUMBER(INDEX('Our policies'!$I$4:$I$503,_calc!$E$946)),TEXT(INDEX('Our policies'!$I$4:$I$503,_calc!$E$946),"yyyy-mm-dd"),""),""))</f>
        <v/>
      </c>
      <c r="E944" s="46">
        <f>IF(_calc!$E$946="","",IF(_calc!$E$946&lt;=500,IF(LEN(INDEX('Our policies'!$Q$4:$Q$503,_calc!$E$946))=0,"",INDEX('Our policies'!$Q$4:$Q$503,_calc!$E$946)),"Medium"))</f>
        <v/>
      </c>
      <c r="F944" s="46">
        <f>IF(_calc!$E$946="","",IF(_calc!$E$946&lt;=500,TRIM(IF(LEN(IF(LEN(INDEX('Our policies'!$B$4:$B$503,_calc!$E$946))=0,"",INDEX('Our policies'!$B$4:$B$503,_calc!$E$946)))=0,"","Cover: "&amp;IF(LEN(INDEX('Our policies'!$B$4:$B$503,_calc!$E$946))=0,"",INDEX('Our policies'!$B$4:$B$503,_calc!$E$946))&amp;". ")&amp;IF(LEN(IF(LEN(INDEX('Our policies'!$C$4:$C$503,_calc!$E$946))=0,"",INDEX('Our policies'!$C$4:$C$503,_calc!$E$946)))=0,"","Insurer: "&amp;IF(LEN(INDEX('Our policies'!$C$4:$C$503,_calc!$E$946))=0,"",INDEX('Our policies'!$C$4:$C$503,_calc!$E$946))&amp;". ")&amp;IF(LEN(IF(LEN(INDEX('Our policies'!$D$4:$D$503,_calc!$E$946))=0,"",INDEX('Our policies'!$D$4:$D$503,_calc!$E$946)))=0,"","Broker: "&amp;IF(LEN(INDEX('Our policies'!$D$4:$D$503,_calc!$E$946))=0,"",INDEX('Our policies'!$D$4:$D$503,_calc!$E$946))&amp;". ")&amp;IF(LEN(IF(LEN(INDEX('Our policies'!$E$4:$E$503,_calc!$E$946))=0,"",INDEX('Our policies'!$E$4:$E$503,_calc!$E$946)))=0,"","Policy no.: "&amp;IF(LEN(INDEX('Our policies'!$E$4:$E$503,_calc!$E$946))=0,"",INDEX('Our policies'!$E$4:$E$503,_calc!$E$946))&amp;". ")&amp;IF(LEN(IF(LEN(INDEX('Our policies'!$S$4:$S$503,_calc!$E$946))=0,"",INDEX('Our policies'!$S$4:$S$503,_calc!$E$946)))=0,"",IF(LEN(INDEX('Our policies'!$S$4:$S$503,_calc!$E$946))=0,"",INDEX('Our policies'!$S$4:$S$503,_calc!$E$946)))),TRIM(IF(LEN(IF(LEN(INDEX('Vendor COIs'!$C$4:$C$503,(_calc!$E$946-500)))=0,"",INDEX('Vendor COIs'!$C$4:$C$503,(_calc!$E$946-500))))=0,"","Insurer: "&amp;IF(LEN(INDEX('Vendor COIs'!$C$4:$C$503,(_calc!$E$946-500)))=0,"",INDEX('Vendor COIs'!$C$4:$C$503,(_calc!$E$946-500)))&amp;". ")&amp;IF(LEN(IF(LEN(INDEX('Vendor COIs'!$D$4:$D$503,(_calc!$E$946-500)))=0,"",INDEX('Vendor COIs'!$D$4:$D$503,(_calc!$E$946-500))))=0,"","Policy no.: "&amp;IF(LEN(INDEX('Vendor COIs'!$D$4:$D$503,(_calc!$E$946-500)))=0,"",INDEX('Vendor COIs'!$D$4:$D$503,(_calc!$E$946-500)))&amp;". ")&amp;IF(LEN(IF(LEN(INDEX('Vendor COIs'!$F$4:$F$503,(_calc!$E$946-500)))=0,"",INDEX('Vendor COIs'!$F$4:$F$503,(_calc!$E$946-500))))=0,"","Meets minimum: "&amp;IF(LEN(INDEX('Vendor COIs'!$F$4:$F$503,(_calc!$E$946-500)))=0,"",INDEX('Vendor COIs'!$F$4:$F$503,(_calc!$E$946-500)))&amp;". ")&amp;IF(LEN(IF(LEN(INDEX('Vendor COIs'!$G$4:$G$503,(_calc!$E$946-500)))=0,"",INDEX('Vendor COIs'!$G$4:$G$503,(_calc!$E$946-500))))=0,"","Additional insured: "&amp;IF(LEN(INDEX('Vendor COIs'!$G$4:$G$503,(_calc!$E$946-500)))=0,"",INDEX('Vendor COIs'!$G$4:$G$503,(_calc!$E$946-500)))&amp;". ")&amp;IF(LEN(IF(LEN(INDEX('Vendor COIs'!$M$4:$M$503,(_calc!$E$946-500)))=0,"",INDEX('Vendor COIs'!$M$4:$M$503,(_calc!$E$946-500))))=0,"","Vendor contact: "&amp;IF(LEN(INDEX('Vendor COIs'!$M$4:$M$503,(_calc!$E$946-500)))=0,"",INDEX('Vendor COIs'!$M$4:$M$503,(_calc!$E$946-500)))&amp;". ")&amp;IF(LEN(IF(LEN(INDEX('Vendor COIs'!$P$4:$P$503,(_calc!$E$946-500)))=0,"",INDEX('Vendor COIs'!$P$4:$P$503,(_calc!$E$946-500))))=0,"",IF(LEN(INDEX('Vendor COIs'!$P$4:$P$503,(_calc!$E$946-500)))=0,"",INDEX('Vendor COIs'!$P$4:$P$503,(_calc!$E$946-500)))))))</f>
        <v/>
      </c>
      <c r="G944" s="46">
        <f>IF(_calc!$E$946="","",IF(_calc!$E$946&lt;=500,IF(LEN(INDEX('Our policies'!$R$4:$R$503,_calc!$E$946))=0,"",INDEX('Our policies'!$R$4:$R$503,_calc!$E$946)),IF(LEN(INDEX('Vendor COIs'!$O$4:$O$503,(_calc!$E$946-500)))=0,"",INDEX('Vendor COIs'!$O$4:$O$503,(_calc!$E$946-500)))))</f>
        <v/>
      </c>
      <c r="H944" s="46">
        <f>IF(_calc!$E$946="","",IF(_calc!$E$946&lt;=500,IF(LEN(INDEX('Our policies'!$G$4:$G$503,_calc!$E$946))=0,"",INDEX('Our policies'!$G$4:$G$503,_calc!$E$946)),""))</f>
        <v/>
      </c>
      <c r="I944" s="46">
        <f>IF(_calc!$E$946="","",IF(_calc!$E$946&lt;=500,IF(LEN(INDEX('Our policies'!$H$4:$H$503,_calc!$E$946))=0,"",INDEX('Our policies'!$H$4:$H$503,_calc!$E$946)),""))</f>
        <v/>
      </c>
      <c r="K944" s="46">
        <f>IF(_calc!$E$946="","",IF(_calc!$E$946&lt;=500,IF(LEN(INDEX('Our policies'!$P$4:$P$503,_calc!$E$946))=0,"",INDEX('Our policies'!$P$4:$P$503,_calc!$E$946)),IF(LEN(INDEX('Vendor COIs'!$N$4:$N$503,(_calc!$E$946-500)))=0,"",INDEX('Vendor COIs'!$N$4:$N$503,(_calc!$E$946-500)))))</f>
        <v/>
      </c>
    </row>
    <row r="945">
      <c r="A945" s="46">
        <f>IF(_calc!$E$947="","",IF(_calc!$E$947&lt;=500,IF(LEN(INDEX('Our policies'!$A$4:$A$503,_calc!$E$947))=0,"",INDEX('Our policies'!$A$4:$A$503,_calc!$E$947)),"COI – "&amp;IF(LEN(INDEX('Vendor COIs'!$A$4:$A$503,(_calc!$E$947-500)))=0,"",INDEX('Vendor COIs'!$A$4:$A$503,(_calc!$E$947-500)))&amp;" – "&amp;IF(LEN(INDEX('Vendor COIs'!$B$4:$B$503,(_calc!$E$947-500)))=0,"",INDEX('Vendor COIs'!$B$4:$B$503,(_calc!$E$947-500)))))</f>
        <v/>
      </c>
      <c r="B945" s="46">
        <f>IF(_calc!$E$947="","",IF(_calc!$E$947&lt;=500,IF(ISNUMBER(INDEX('Our policies'!$J$4:$J$503,_calc!$E$947)),TEXT(INDEX('Our policies'!$J$4:$J$503,_calc!$E$947),"yyyy-mm-dd"),""),IF(ISNUMBER(INDEX('Vendor COIs'!$H$4:$H$503,(_calc!$E$947-500))),TEXT(INDEX('Vendor COIs'!$H$4:$H$503,(_calc!$E$947-500)),"yyyy-mm-dd"),"")))</f>
        <v/>
      </c>
      <c r="C945" s="46">
        <f>IF(_calc!$E$947="","",IF(_calc!$E$947&lt;=500,"Insurance","Certificate of insurance"))</f>
        <v/>
      </c>
      <c r="D945" s="46">
        <f>IF(_calc!$E$947="","",IF(_calc!$E$947&lt;=500,IF(ISNUMBER(INDEX('Our policies'!$I$4:$I$503,_calc!$E$947)),TEXT(INDEX('Our policies'!$I$4:$I$503,_calc!$E$947),"yyyy-mm-dd"),""),""))</f>
        <v/>
      </c>
      <c r="E945" s="46">
        <f>IF(_calc!$E$947="","",IF(_calc!$E$947&lt;=500,IF(LEN(INDEX('Our policies'!$Q$4:$Q$503,_calc!$E$947))=0,"",INDEX('Our policies'!$Q$4:$Q$503,_calc!$E$947)),"Medium"))</f>
        <v/>
      </c>
      <c r="F945" s="46">
        <f>IF(_calc!$E$947="","",IF(_calc!$E$947&lt;=500,TRIM(IF(LEN(IF(LEN(INDEX('Our policies'!$B$4:$B$503,_calc!$E$947))=0,"",INDEX('Our policies'!$B$4:$B$503,_calc!$E$947)))=0,"","Cover: "&amp;IF(LEN(INDEX('Our policies'!$B$4:$B$503,_calc!$E$947))=0,"",INDEX('Our policies'!$B$4:$B$503,_calc!$E$947))&amp;". ")&amp;IF(LEN(IF(LEN(INDEX('Our policies'!$C$4:$C$503,_calc!$E$947))=0,"",INDEX('Our policies'!$C$4:$C$503,_calc!$E$947)))=0,"","Insurer: "&amp;IF(LEN(INDEX('Our policies'!$C$4:$C$503,_calc!$E$947))=0,"",INDEX('Our policies'!$C$4:$C$503,_calc!$E$947))&amp;". ")&amp;IF(LEN(IF(LEN(INDEX('Our policies'!$D$4:$D$503,_calc!$E$947))=0,"",INDEX('Our policies'!$D$4:$D$503,_calc!$E$947)))=0,"","Broker: "&amp;IF(LEN(INDEX('Our policies'!$D$4:$D$503,_calc!$E$947))=0,"",INDEX('Our policies'!$D$4:$D$503,_calc!$E$947))&amp;". ")&amp;IF(LEN(IF(LEN(INDEX('Our policies'!$E$4:$E$503,_calc!$E$947))=0,"",INDEX('Our policies'!$E$4:$E$503,_calc!$E$947)))=0,"","Policy no.: "&amp;IF(LEN(INDEX('Our policies'!$E$4:$E$503,_calc!$E$947))=0,"",INDEX('Our policies'!$E$4:$E$503,_calc!$E$947))&amp;". ")&amp;IF(LEN(IF(LEN(INDEX('Our policies'!$S$4:$S$503,_calc!$E$947))=0,"",INDEX('Our policies'!$S$4:$S$503,_calc!$E$947)))=0,"",IF(LEN(INDEX('Our policies'!$S$4:$S$503,_calc!$E$947))=0,"",INDEX('Our policies'!$S$4:$S$503,_calc!$E$947)))),TRIM(IF(LEN(IF(LEN(INDEX('Vendor COIs'!$C$4:$C$503,(_calc!$E$947-500)))=0,"",INDEX('Vendor COIs'!$C$4:$C$503,(_calc!$E$947-500))))=0,"","Insurer: "&amp;IF(LEN(INDEX('Vendor COIs'!$C$4:$C$503,(_calc!$E$947-500)))=0,"",INDEX('Vendor COIs'!$C$4:$C$503,(_calc!$E$947-500)))&amp;". ")&amp;IF(LEN(IF(LEN(INDEX('Vendor COIs'!$D$4:$D$503,(_calc!$E$947-500)))=0,"",INDEX('Vendor COIs'!$D$4:$D$503,(_calc!$E$947-500))))=0,"","Policy no.: "&amp;IF(LEN(INDEX('Vendor COIs'!$D$4:$D$503,(_calc!$E$947-500)))=0,"",INDEX('Vendor COIs'!$D$4:$D$503,(_calc!$E$947-500)))&amp;". ")&amp;IF(LEN(IF(LEN(INDEX('Vendor COIs'!$F$4:$F$503,(_calc!$E$947-500)))=0,"",INDEX('Vendor COIs'!$F$4:$F$503,(_calc!$E$947-500))))=0,"","Meets minimum: "&amp;IF(LEN(INDEX('Vendor COIs'!$F$4:$F$503,(_calc!$E$947-500)))=0,"",INDEX('Vendor COIs'!$F$4:$F$503,(_calc!$E$947-500)))&amp;". ")&amp;IF(LEN(IF(LEN(INDEX('Vendor COIs'!$G$4:$G$503,(_calc!$E$947-500)))=0,"",INDEX('Vendor COIs'!$G$4:$G$503,(_calc!$E$947-500))))=0,"","Additional insured: "&amp;IF(LEN(INDEX('Vendor COIs'!$G$4:$G$503,(_calc!$E$947-500)))=0,"",INDEX('Vendor COIs'!$G$4:$G$503,(_calc!$E$947-500)))&amp;". ")&amp;IF(LEN(IF(LEN(INDEX('Vendor COIs'!$M$4:$M$503,(_calc!$E$947-500)))=0,"",INDEX('Vendor COIs'!$M$4:$M$503,(_calc!$E$947-500))))=0,"","Vendor contact: "&amp;IF(LEN(INDEX('Vendor COIs'!$M$4:$M$503,(_calc!$E$947-500)))=0,"",INDEX('Vendor COIs'!$M$4:$M$503,(_calc!$E$947-500)))&amp;". ")&amp;IF(LEN(IF(LEN(INDEX('Vendor COIs'!$P$4:$P$503,(_calc!$E$947-500)))=0,"",INDEX('Vendor COIs'!$P$4:$P$503,(_calc!$E$947-500))))=0,"",IF(LEN(INDEX('Vendor COIs'!$P$4:$P$503,(_calc!$E$947-500)))=0,"",INDEX('Vendor COIs'!$P$4:$P$503,(_calc!$E$947-500)))))))</f>
        <v/>
      </c>
      <c r="G945" s="46">
        <f>IF(_calc!$E$947="","",IF(_calc!$E$947&lt;=500,IF(LEN(INDEX('Our policies'!$R$4:$R$503,_calc!$E$947))=0,"",INDEX('Our policies'!$R$4:$R$503,_calc!$E$947)),IF(LEN(INDEX('Vendor COIs'!$O$4:$O$503,(_calc!$E$947-500)))=0,"",INDEX('Vendor COIs'!$O$4:$O$503,(_calc!$E$947-500)))))</f>
        <v/>
      </c>
      <c r="H945" s="46">
        <f>IF(_calc!$E$947="","",IF(_calc!$E$947&lt;=500,IF(LEN(INDEX('Our policies'!$G$4:$G$503,_calc!$E$947))=0,"",INDEX('Our policies'!$G$4:$G$503,_calc!$E$947)),""))</f>
        <v/>
      </c>
      <c r="I945" s="46">
        <f>IF(_calc!$E$947="","",IF(_calc!$E$947&lt;=500,IF(LEN(INDEX('Our policies'!$H$4:$H$503,_calc!$E$947))=0,"",INDEX('Our policies'!$H$4:$H$503,_calc!$E$947)),""))</f>
        <v/>
      </c>
      <c r="K945" s="46">
        <f>IF(_calc!$E$947="","",IF(_calc!$E$947&lt;=500,IF(LEN(INDEX('Our policies'!$P$4:$P$503,_calc!$E$947))=0,"",INDEX('Our policies'!$P$4:$P$503,_calc!$E$947)),IF(LEN(INDEX('Vendor COIs'!$N$4:$N$503,(_calc!$E$947-500)))=0,"",INDEX('Vendor COIs'!$N$4:$N$503,(_calc!$E$947-500)))))</f>
        <v/>
      </c>
    </row>
    <row r="946">
      <c r="A946" s="46">
        <f>IF(_calc!$E$948="","",IF(_calc!$E$948&lt;=500,IF(LEN(INDEX('Our policies'!$A$4:$A$503,_calc!$E$948))=0,"",INDEX('Our policies'!$A$4:$A$503,_calc!$E$948)),"COI – "&amp;IF(LEN(INDEX('Vendor COIs'!$A$4:$A$503,(_calc!$E$948-500)))=0,"",INDEX('Vendor COIs'!$A$4:$A$503,(_calc!$E$948-500)))&amp;" – "&amp;IF(LEN(INDEX('Vendor COIs'!$B$4:$B$503,(_calc!$E$948-500)))=0,"",INDEX('Vendor COIs'!$B$4:$B$503,(_calc!$E$948-500)))))</f>
        <v/>
      </c>
      <c r="B946" s="46">
        <f>IF(_calc!$E$948="","",IF(_calc!$E$948&lt;=500,IF(ISNUMBER(INDEX('Our policies'!$J$4:$J$503,_calc!$E$948)),TEXT(INDEX('Our policies'!$J$4:$J$503,_calc!$E$948),"yyyy-mm-dd"),""),IF(ISNUMBER(INDEX('Vendor COIs'!$H$4:$H$503,(_calc!$E$948-500))),TEXT(INDEX('Vendor COIs'!$H$4:$H$503,(_calc!$E$948-500)),"yyyy-mm-dd"),"")))</f>
        <v/>
      </c>
      <c r="C946" s="46">
        <f>IF(_calc!$E$948="","",IF(_calc!$E$948&lt;=500,"Insurance","Certificate of insurance"))</f>
        <v/>
      </c>
      <c r="D946" s="46">
        <f>IF(_calc!$E$948="","",IF(_calc!$E$948&lt;=500,IF(ISNUMBER(INDEX('Our policies'!$I$4:$I$503,_calc!$E$948)),TEXT(INDEX('Our policies'!$I$4:$I$503,_calc!$E$948),"yyyy-mm-dd"),""),""))</f>
        <v/>
      </c>
      <c r="E946" s="46">
        <f>IF(_calc!$E$948="","",IF(_calc!$E$948&lt;=500,IF(LEN(INDEX('Our policies'!$Q$4:$Q$503,_calc!$E$948))=0,"",INDEX('Our policies'!$Q$4:$Q$503,_calc!$E$948)),"Medium"))</f>
        <v/>
      </c>
      <c r="F946" s="46">
        <f>IF(_calc!$E$948="","",IF(_calc!$E$948&lt;=500,TRIM(IF(LEN(IF(LEN(INDEX('Our policies'!$B$4:$B$503,_calc!$E$948))=0,"",INDEX('Our policies'!$B$4:$B$503,_calc!$E$948)))=0,"","Cover: "&amp;IF(LEN(INDEX('Our policies'!$B$4:$B$503,_calc!$E$948))=0,"",INDEX('Our policies'!$B$4:$B$503,_calc!$E$948))&amp;". ")&amp;IF(LEN(IF(LEN(INDEX('Our policies'!$C$4:$C$503,_calc!$E$948))=0,"",INDEX('Our policies'!$C$4:$C$503,_calc!$E$948)))=0,"","Insurer: "&amp;IF(LEN(INDEX('Our policies'!$C$4:$C$503,_calc!$E$948))=0,"",INDEX('Our policies'!$C$4:$C$503,_calc!$E$948))&amp;". ")&amp;IF(LEN(IF(LEN(INDEX('Our policies'!$D$4:$D$503,_calc!$E$948))=0,"",INDEX('Our policies'!$D$4:$D$503,_calc!$E$948)))=0,"","Broker: "&amp;IF(LEN(INDEX('Our policies'!$D$4:$D$503,_calc!$E$948))=0,"",INDEX('Our policies'!$D$4:$D$503,_calc!$E$948))&amp;". ")&amp;IF(LEN(IF(LEN(INDEX('Our policies'!$E$4:$E$503,_calc!$E$948))=0,"",INDEX('Our policies'!$E$4:$E$503,_calc!$E$948)))=0,"","Policy no.: "&amp;IF(LEN(INDEX('Our policies'!$E$4:$E$503,_calc!$E$948))=0,"",INDEX('Our policies'!$E$4:$E$503,_calc!$E$948))&amp;". ")&amp;IF(LEN(IF(LEN(INDEX('Our policies'!$S$4:$S$503,_calc!$E$948))=0,"",INDEX('Our policies'!$S$4:$S$503,_calc!$E$948)))=0,"",IF(LEN(INDEX('Our policies'!$S$4:$S$503,_calc!$E$948))=0,"",INDEX('Our policies'!$S$4:$S$503,_calc!$E$948)))),TRIM(IF(LEN(IF(LEN(INDEX('Vendor COIs'!$C$4:$C$503,(_calc!$E$948-500)))=0,"",INDEX('Vendor COIs'!$C$4:$C$503,(_calc!$E$948-500))))=0,"","Insurer: "&amp;IF(LEN(INDEX('Vendor COIs'!$C$4:$C$503,(_calc!$E$948-500)))=0,"",INDEX('Vendor COIs'!$C$4:$C$503,(_calc!$E$948-500)))&amp;". ")&amp;IF(LEN(IF(LEN(INDEX('Vendor COIs'!$D$4:$D$503,(_calc!$E$948-500)))=0,"",INDEX('Vendor COIs'!$D$4:$D$503,(_calc!$E$948-500))))=0,"","Policy no.: "&amp;IF(LEN(INDEX('Vendor COIs'!$D$4:$D$503,(_calc!$E$948-500)))=0,"",INDEX('Vendor COIs'!$D$4:$D$503,(_calc!$E$948-500)))&amp;". ")&amp;IF(LEN(IF(LEN(INDEX('Vendor COIs'!$F$4:$F$503,(_calc!$E$948-500)))=0,"",INDEX('Vendor COIs'!$F$4:$F$503,(_calc!$E$948-500))))=0,"","Meets minimum: "&amp;IF(LEN(INDEX('Vendor COIs'!$F$4:$F$503,(_calc!$E$948-500)))=0,"",INDEX('Vendor COIs'!$F$4:$F$503,(_calc!$E$948-500)))&amp;". ")&amp;IF(LEN(IF(LEN(INDEX('Vendor COIs'!$G$4:$G$503,(_calc!$E$948-500)))=0,"",INDEX('Vendor COIs'!$G$4:$G$503,(_calc!$E$948-500))))=0,"","Additional insured: "&amp;IF(LEN(INDEX('Vendor COIs'!$G$4:$G$503,(_calc!$E$948-500)))=0,"",INDEX('Vendor COIs'!$G$4:$G$503,(_calc!$E$948-500)))&amp;". ")&amp;IF(LEN(IF(LEN(INDEX('Vendor COIs'!$M$4:$M$503,(_calc!$E$948-500)))=0,"",INDEX('Vendor COIs'!$M$4:$M$503,(_calc!$E$948-500))))=0,"","Vendor contact: "&amp;IF(LEN(INDEX('Vendor COIs'!$M$4:$M$503,(_calc!$E$948-500)))=0,"",INDEX('Vendor COIs'!$M$4:$M$503,(_calc!$E$948-500)))&amp;". ")&amp;IF(LEN(IF(LEN(INDEX('Vendor COIs'!$P$4:$P$503,(_calc!$E$948-500)))=0,"",INDEX('Vendor COIs'!$P$4:$P$503,(_calc!$E$948-500))))=0,"",IF(LEN(INDEX('Vendor COIs'!$P$4:$P$503,(_calc!$E$948-500)))=0,"",INDEX('Vendor COIs'!$P$4:$P$503,(_calc!$E$948-500)))))))</f>
        <v/>
      </c>
      <c r="G946" s="46">
        <f>IF(_calc!$E$948="","",IF(_calc!$E$948&lt;=500,IF(LEN(INDEX('Our policies'!$R$4:$R$503,_calc!$E$948))=0,"",INDEX('Our policies'!$R$4:$R$503,_calc!$E$948)),IF(LEN(INDEX('Vendor COIs'!$O$4:$O$503,(_calc!$E$948-500)))=0,"",INDEX('Vendor COIs'!$O$4:$O$503,(_calc!$E$948-500)))))</f>
        <v/>
      </c>
      <c r="H946" s="46">
        <f>IF(_calc!$E$948="","",IF(_calc!$E$948&lt;=500,IF(LEN(INDEX('Our policies'!$G$4:$G$503,_calc!$E$948))=0,"",INDEX('Our policies'!$G$4:$G$503,_calc!$E$948)),""))</f>
        <v/>
      </c>
      <c r="I946" s="46">
        <f>IF(_calc!$E$948="","",IF(_calc!$E$948&lt;=500,IF(LEN(INDEX('Our policies'!$H$4:$H$503,_calc!$E$948))=0,"",INDEX('Our policies'!$H$4:$H$503,_calc!$E$948)),""))</f>
        <v/>
      </c>
      <c r="K946" s="46">
        <f>IF(_calc!$E$948="","",IF(_calc!$E$948&lt;=500,IF(LEN(INDEX('Our policies'!$P$4:$P$503,_calc!$E$948))=0,"",INDEX('Our policies'!$P$4:$P$503,_calc!$E$948)),IF(LEN(INDEX('Vendor COIs'!$N$4:$N$503,(_calc!$E$948-500)))=0,"",INDEX('Vendor COIs'!$N$4:$N$503,(_calc!$E$948-500)))))</f>
        <v/>
      </c>
    </row>
    <row r="947">
      <c r="A947" s="46">
        <f>IF(_calc!$E$949="","",IF(_calc!$E$949&lt;=500,IF(LEN(INDEX('Our policies'!$A$4:$A$503,_calc!$E$949))=0,"",INDEX('Our policies'!$A$4:$A$503,_calc!$E$949)),"COI – "&amp;IF(LEN(INDEX('Vendor COIs'!$A$4:$A$503,(_calc!$E$949-500)))=0,"",INDEX('Vendor COIs'!$A$4:$A$503,(_calc!$E$949-500)))&amp;" – "&amp;IF(LEN(INDEX('Vendor COIs'!$B$4:$B$503,(_calc!$E$949-500)))=0,"",INDEX('Vendor COIs'!$B$4:$B$503,(_calc!$E$949-500)))))</f>
        <v/>
      </c>
      <c r="B947" s="46">
        <f>IF(_calc!$E$949="","",IF(_calc!$E$949&lt;=500,IF(ISNUMBER(INDEX('Our policies'!$J$4:$J$503,_calc!$E$949)),TEXT(INDEX('Our policies'!$J$4:$J$503,_calc!$E$949),"yyyy-mm-dd"),""),IF(ISNUMBER(INDEX('Vendor COIs'!$H$4:$H$503,(_calc!$E$949-500))),TEXT(INDEX('Vendor COIs'!$H$4:$H$503,(_calc!$E$949-500)),"yyyy-mm-dd"),"")))</f>
        <v/>
      </c>
      <c r="C947" s="46">
        <f>IF(_calc!$E$949="","",IF(_calc!$E$949&lt;=500,"Insurance","Certificate of insurance"))</f>
        <v/>
      </c>
      <c r="D947" s="46">
        <f>IF(_calc!$E$949="","",IF(_calc!$E$949&lt;=500,IF(ISNUMBER(INDEX('Our policies'!$I$4:$I$503,_calc!$E$949)),TEXT(INDEX('Our policies'!$I$4:$I$503,_calc!$E$949),"yyyy-mm-dd"),""),""))</f>
        <v/>
      </c>
      <c r="E947" s="46">
        <f>IF(_calc!$E$949="","",IF(_calc!$E$949&lt;=500,IF(LEN(INDEX('Our policies'!$Q$4:$Q$503,_calc!$E$949))=0,"",INDEX('Our policies'!$Q$4:$Q$503,_calc!$E$949)),"Medium"))</f>
        <v/>
      </c>
      <c r="F947" s="46">
        <f>IF(_calc!$E$949="","",IF(_calc!$E$949&lt;=500,TRIM(IF(LEN(IF(LEN(INDEX('Our policies'!$B$4:$B$503,_calc!$E$949))=0,"",INDEX('Our policies'!$B$4:$B$503,_calc!$E$949)))=0,"","Cover: "&amp;IF(LEN(INDEX('Our policies'!$B$4:$B$503,_calc!$E$949))=0,"",INDEX('Our policies'!$B$4:$B$503,_calc!$E$949))&amp;". ")&amp;IF(LEN(IF(LEN(INDEX('Our policies'!$C$4:$C$503,_calc!$E$949))=0,"",INDEX('Our policies'!$C$4:$C$503,_calc!$E$949)))=0,"","Insurer: "&amp;IF(LEN(INDEX('Our policies'!$C$4:$C$503,_calc!$E$949))=0,"",INDEX('Our policies'!$C$4:$C$503,_calc!$E$949))&amp;". ")&amp;IF(LEN(IF(LEN(INDEX('Our policies'!$D$4:$D$503,_calc!$E$949))=0,"",INDEX('Our policies'!$D$4:$D$503,_calc!$E$949)))=0,"","Broker: "&amp;IF(LEN(INDEX('Our policies'!$D$4:$D$503,_calc!$E$949))=0,"",INDEX('Our policies'!$D$4:$D$503,_calc!$E$949))&amp;". ")&amp;IF(LEN(IF(LEN(INDEX('Our policies'!$E$4:$E$503,_calc!$E$949))=0,"",INDEX('Our policies'!$E$4:$E$503,_calc!$E$949)))=0,"","Policy no.: "&amp;IF(LEN(INDEX('Our policies'!$E$4:$E$503,_calc!$E$949))=0,"",INDEX('Our policies'!$E$4:$E$503,_calc!$E$949))&amp;". ")&amp;IF(LEN(IF(LEN(INDEX('Our policies'!$S$4:$S$503,_calc!$E$949))=0,"",INDEX('Our policies'!$S$4:$S$503,_calc!$E$949)))=0,"",IF(LEN(INDEX('Our policies'!$S$4:$S$503,_calc!$E$949))=0,"",INDEX('Our policies'!$S$4:$S$503,_calc!$E$949)))),TRIM(IF(LEN(IF(LEN(INDEX('Vendor COIs'!$C$4:$C$503,(_calc!$E$949-500)))=0,"",INDEX('Vendor COIs'!$C$4:$C$503,(_calc!$E$949-500))))=0,"","Insurer: "&amp;IF(LEN(INDEX('Vendor COIs'!$C$4:$C$503,(_calc!$E$949-500)))=0,"",INDEX('Vendor COIs'!$C$4:$C$503,(_calc!$E$949-500)))&amp;". ")&amp;IF(LEN(IF(LEN(INDEX('Vendor COIs'!$D$4:$D$503,(_calc!$E$949-500)))=0,"",INDEX('Vendor COIs'!$D$4:$D$503,(_calc!$E$949-500))))=0,"","Policy no.: "&amp;IF(LEN(INDEX('Vendor COIs'!$D$4:$D$503,(_calc!$E$949-500)))=0,"",INDEX('Vendor COIs'!$D$4:$D$503,(_calc!$E$949-500)))&amp;". ")&amp;IF(LEN(IF(LEN(INDEX('Vendor COIs'!$F$4:$F$503,(_calc!$E$949-500)))=0,"",INDEX('Vendor COIs'!$F$4:$F$503,(_calc!$E$949-500))))=0,"","Meets minimum: "&amp;IF(LEN(INDEX('Vendor COIs'!$F$4:$F$503,(_calc!$E$949-500)))=0,"",INDEX('Vendor COIs'!$F$4:$F$503,(_calc!$E$949-500)))&amp;". ")&amp;IF(LEN(IF(LEN(INDEX('Vendor COIs'!$G$4:$G$503,(_calc!$E$949-500)))=0,"",INDEX('Vendor COIs'!$G$4:$G$503,(_calc!$E$949-500))))=0,"","Additional insured: "&amp;IF(LEN(INDEX('Vendor COIs'!$G$4:$G$503,(_calc!$E$949-500)))=0,"",INDEX('Vendor COIs'!$G$4:$G$503,(_calc!$E$949-500)))&amp;". ")&amp;IF(LEN(IF(LEN(INDEX('Vendor COIs'!$M$4:$M$503,(_calc!$E$949-500)))=0,"",INDEX('Vendor COIs'!$M$4:$M$503,(_calc!$E$949-500))))=0,"","Vendor contact: "&amp;IF(LEN(INDEX('Vendor COIs'!$M$4:$M$503,(_calc!$E$949-500)))=0,"",INDEX('Vendor COIs'!$M$4:$M$503,(_calc!$E$949-500)))&amp;". ")&amp;IF(LEN(IF(LEN(INDEX('Vendor COIs'!$P$4:$P$503,(_calc!$E$949-500)))=0,"",INDEX('Vendor COIs'!$P$4:$P$503,(_calc!$E$949-500))))=0,"",IF(LEN(INDEX('Vendor COIs'!$P$4:$P$503,(_calc!$E$949-500)))=0,"",INDEX('Vendor COIs'!$P$4:$P$503,(_calc!$E$949-500)))))))</f>
        <v/>
      </c>
      <c r="G947" s="46">
        <f>IF(_calc!$E$949="","",IF(_calc!$E$949&lt;=500,IF(LEN(INDEX('Our policies'!$R$4:$R$503,_calc!$E$949))=0,"",INDEX('Our policies'!$R$4:$R$503,_calc!$E$949)),IF(LEN(INDEX('Vendor COIs'!$O$4:$O$503,(_calc!$E$949-500)))=0,"",INDEX('Vendor COIs'!$O$4:$O$503,(_calc!$E$949-500)))))</f>
        <v/>
      </c>
      <c r="H947" s="46">
        <f>IF(_calc!$E$949="","",IF(_calc!$E$949&lt;=500,IF(LEN(INDEX('Our policies'!$G$4:$G$503,_calc!$E$949))=0,"",INDEX('Our policies'!$G$4:$G$503,_calc!$E$949)),""))</f>
        <v/>
      </c>
      <c r="I947" s="46">
        <f>IF(_calc!$E$949="","",IF(_calc!$E$949&lt;=500,IF(LEN(INDEX('Our policies'!$H$4:$H$503,_calc!$E$949))=0,"",INDEX('Our policies'!$H$4:$H$503,_calc!$E$949)),""))</f>
        <v/>
      </c>
      <c r="K947" s="46">
        <f>IF(_calc!$E$949="","",IF(_calc!$E$949&lt;=500,IF(LEN(INDEX('Our policies'!$P$4:$P$503,_calc!$E$949))=0,"",INDEX('Our policies'!$P$4:$P$503,_calc!$E$949)),IF(LEN(INDEX('Vendor COIs'!$N$4:$N$503,(_calc!$E$949-500)))=0,"",INDEX('Vendor COIs'!$N$4:$N$503,(_calc!$E$949-500)))))</f>
        <v/>
      </c>
    </row>
    <row r="948">
      <c r="A948" s="46">
        <f>IF(_calc!$E$950="","",IF(_calc!$E$950&lt;=500,IF(LEN(INDEX('Our policies'!$A$4:$A$503,_calc!$E$950))=0,"",INDEX('Our policies'!$A$4:$A$503,_calc!$E$950)),"COI – "&amp;IF(LEN(INDEX('Vendor COIs'!$A$4:$A$503,(_calc!$E$950-500)))=0,"",INDEX('Vendor COIs'!$A$4:$A$503,(_calc!$E$950-500)))&amp;" – "&amp;IF(LEN(INDEX('Vendor COIs'!$B$4:$B$503,(_calc!$E$950-500)))=0,"",INDEX('Vendor COIs'!$B$4:$B$503,(_calc!$E$950-500)))))</f>
        <v/>
      </c>
      <c r="B948" s="46">
        <f>IF(_calc!$E$950="","",IF(_calc!$E$950&lt;=500,IF(ISNUMBER(INDEX('Our policies'!$J$4:$J$503,_calc!$E$950)),TEXT(INDEX('Our policies'!$J$4:$J$503,_calc!$E$950),"yyyy-mm-dd"),""),IF(ISNUMBER(INDEX('Vendor COIs'!$H$4:$H$503,(_calc!$E$950-500))),TEXT(INDEX('Vendor COIs'!$H$4:$H$503,(_calc!$E$950-500)),"yyyy-mm-dd"),"")))</f>
        <v/>
      </c>
      <c r="C948" s="46">
        <f>IF(_calc!$E$950="","",IF(_calc!$E$950&lt;=500,"Insurance","Certificate of insurance"))</f>
        <v/>
      </c>
      <c r="D948" s="46">
        <f>IF(_calc!$E$950="","",IF(_calc!$E$950&lt;=500,IF(ISNUMBER(INDEX('Our policies'!$I$4:$I$503,_calc!$E$950)),TEXT(INDEX('Our policies'!$I$4:$I$503,_calc!$E$950),"yyyy-mm-dd"),""),""))</f>
        <v/>
      </c>
      <c r="E948" s="46">
        <f>IF(_calc!$E$950="","",IF(_calc!$E$950&lt;=500,IF(LEN(INDEX('Our policies'!$Q$4:$Q$503,_calc!$E$950))=0,"",INDEX('Our policies'!$Q$4:$Q$503,_calc!$E$950)),"Medium"))</f>
        <v/>
      </c>
      <c r="F948" s="46">
        <f>IF(_calc!$E$950="","",IF(_calc!$E$950&lt;=500,TRIM(IF(LEN(IF(LEN(INDEX('Our policies'!$B$4:$B$503,_calc!$E$950))=0,"",INDEX('Our policies'!$B$4:$B$503,_calc!$E$950)))=0,"","Cover: "&amp;IF(LEN(INDEX('Our policies'!$B$4:$B$503,_calc!$E$950))=0,"",INDEX('Our policies'!$B$4:$B$503,_calc!$E$950))&amp;". ")&amp;IF(LEN(IF(LEN(INDEX('Our policies'!$C$4:$C$503,_calc!$E$950))=0,"",INDEX('Our policies'!$C$4:$C$503,_calc!$E$950)))=0,"","Insurer: "&amp;IF(LEN(INDEX('Our policies'!$C$4:$C$503,_calc!$E$950))=0,"",INDEX('Our policies'!$C$4:$C$503,_calc!$E$950))&amp;". ")&amp;IF(LEN(IF(LEN(INDEX('Our policies'!$D$4:$D$503,_calc!$E$950))=0,"",INDEX('Our policies'!$D$4:$D$503,_calc!$E$950)))=0,"","Broker: "&amp;IF(LEN(INDEX('Our policies'!$D$4:$D$503,_calc!$E$950))=0,"",INDEX('Our policies'!$D$4:$D$503,_calc!$E$950))&amp;". ")&amp;IF(LEN(IF(LEN(INDEX('Our policies'!$E$4:$E$503,_calc!$E$950))=0,"",INDEX('Our policies'!$E$4:$E$503,_calc!$E$950)))=0,"","Policy no.: "&amp;IF(LEN(INDEX('Our policies'!$E$4:$E$503,_calc!$E$950))=0,"",INDEX('Our policies'!$E$4:$E$503,_calc!$E$950))&amp;". ")&amp;IF(LEN(IF(LEN(INDEX('Our policies'!$S$4:$S$503,_calc!$E$950))=0,"",INDEX('Our policies'!$S$4:$S$503,_calc!$E$950)))=0,"",IF(LEN(INDEX('Our policies'!$S$4:$S$503,_calc!$E$950))=0,"",INDEX('Our policies'!$S$4:$S$503,_calc!$E$950)))),TRIM(IF(LEN(IF(LEN(INDEX('Vendor COIs'!$C$4:$C$503,(_calc!$E$950-500)))=0,"",INDEX('Vendor COIs'!$C$4:$C$503,(_calc!$E$950-500))))=0,"","Insurer: "&amp;IF(LEN(INDEX('Vendor COIs'!$C$4:$C$503,(_calc!$E$950-500)))=0,"",INDEX('Vendor COIs'!$C$4:$C$503,(_calc!$E$950-500)))&amp;". ")&amp;IF(LEN(IF(LEN(INDEX('Vendor COIs'!$D$4:$D$503,(_calc!$E$950-500)))=0,"",INDEX('Vendor COIs'!$D$4:$D$503,(_calc!$E$950-500))))=0,"","Policy no.: "&amp;IF(LEN(INDEX('Vendor COIs'!$D$4:$D$503,(_calc!$E$950-500)))=0,"",INDEX('Vendor COIs'!$D$4:$D$503,(_calc!$E$950-500)))&amp;". ")&amp;IF(LEN(IF(LEN(INDEX('Vendor COIs'!$F$4:$F$503,(_calc!$E$950-500)))=0,"",INDEX('Vendor COIs'!$F$4:$F$503,(_calc!$E$950-500))))=0,"","Meets minimum: "&amp;IF(LEN(INDEX('Vendor COIs'!$F$4:$F$503,(_calc!$E$950-500)))=0,"",INDEX('Vendor COIs'!$F$4:$F$503,(_calc!$E$950-500)))&amp;". ")&amp;IF(LEN(IF(LEN(INDEX('Vendor COIs'!$G$4:$G$503,(_calc!$E$950-500)))=0,"",INDEX('Vendor COIs'!$G$4:$G$503,(_calc!$E$950-500))))=0,"","Additional insured: "&amp;IF(LEN(INDEX('Vendor COIs'!$G$4:$G$503,(_calc!$E$950-500)))=0,"",INDEX('Vendor COIs'!$G$4:$G$503,(_calc!$E$950-500)))&amp;". ")&amp;IF(LEN(IF(LEN(INDEX('Vendor COIs'!$M$4:$M$503,(_calc!$E$950-500)))=0,"",INDEX('Vendor COIs'!$M$4:$M$503,(_calc!$E$950-500))))=0,"","Vendor contact: "&amp;IF(LEN(INDEX('Vendor COIs'!$M$4:$M$503,(_calc!$E$950-500)))=0,"",INDEX('Vendor COIs'!$M$4:$M$503,(_calc!$E$950-500)))&amp;". ")&amp;IF(LEN(IF(LEN(INDEX('Vendor COIs'!$P$4:$P$503,(_calc!$E$950-500)))=0,"",INDEX('Vendor COIs'!$P$4:$P$503,(_calc!$E$950-500))))=0,"",IF(LEN(INDEX('Vendor COIs'!$P$4:$P$503,(_calc!$E$950-500)))=0,"",INDEX('Vendor COIs'!$P$4:$P$503,(_calc!$E$950-500)))))))</f>
        <v/>
      </c>
      <c r="G948" s="46">
        <f>IF(_calc!$E$950="","",IF(_calc!$E$950&lt;=500,IF(LEN(INDEX('Our policies'!$R$4:$R$503,_calc!$E$950))=0,"",INDEX('Our policies'!$R$4:$R$503,_calc!$E$950)),IF(LEN(INDEX('Vendor COIs'!$O$4:$O$503,(_calc!$E$950-500)))=0,"",INDEX('Vendor COIs'!$O$4:$O$503,(_calc!$E$950-500)))))</f>
        <v/>
      </c>
      <c r="H948" s="46">
        <f>IF(_calc!$E$950="","",IF(_calc!$E$950&lt;=500,IF(LEN(INDEX('Our policies'!$G$4:$G$503,_calc!$E$950))=0,"",INDEX('Our policies'!$G$4:$G$503,_calc!$E$950)),""))</f>
        <v/>
      </c>
      <c r="I948" s="46">
        <f>IF(_calc!$E$950="","",IF(_calc!$E$950&lt;=500,IF(LEN(INDEX('Our policies'!$H$4:$H$503,_calc!$E$950))=0,"",INDEX('Our policies'!$H$4:$H$503,_calc!$E$950)),""))</f>
        <v/>
      </c>
      <c r="K948" s="46">
        <f>IF(_calc!$E$950="","",IF(_calc!$E$950&lt;=500,IF(LEN(INDEX('Our policies'!$P$4:$P$503,_calc!$E$950))=0,"",INDEX('Our policies'!$P$4:$P$503,_calc!$E$950)),IF(LEN(INDEX('Vendor COIs'!$N$4:$N$503,(_calc!$E$950-500)))=0,"",INDEX('Vendor COIs'!$N$4:$N$503,(_calc!$E$950-500)))))</f>
        <v/>
      </c>
    </row>
    <row r="949">
      <c r="A949" s="46">
        <f>IF(_calc!$E$951="","",IF(_calc!$E$951&lt;=500,IF(LEN(INDEX('Our policies'!$A$4:$A$503,_calc!$E$951))=0,"",INDEX('Our policies'!$A$4:$A$503,_calc!$E$951)),"COI – "&amp;IF(LEN(INDEX('Vendor COIs'!$A$4:$A$503,(_calc!$E$951-500)))=0,"",INDEX('Vendor COIs'!$A$4:$A$503,(_calc!$E$951-500)))&amp;" – "&amp;IF(LEN(INDEX('Vendor COIs'!$B$4:$B$503,(_calc!$E$951-500)))=0,"",INDEX('Vendor COIs'!$B$4:$B$503,(_calc!$E$951-500)))))</f>
        <v/>
      </c>
      <c r="B949" s="46">
        <f>IF(_calc!$E$951="","",IF(_calc!$E$951&lt;=500,IF(ISNUMBER(INDEX('Our policies'!$J$4:$J$503,_calc!$E$951)),TEXT(INDEX('Our policies'!$J$4:$J$503,_calc!$E$951),"yyyy-mm-dd"),""),IF(ISNUMBER(INDEX('Vendor COIs'!$H$4:$H$503,(_calc!$E$951-500))),TEXT(INDEX('Vendor COIs'!$H$4:$H$503,(_calc!$E$951-500)),"yyyy-mm-dd"),"")))</f>
        <v/>
      </c>
      <c r="C949" s="46">
        <f>IF(_calc!$E$951="","",IF(_calc!$E$951&lt;=500,"Insurance","Certificate of insurance"))</f>
        <v/>
      </c>
      <c r="D949" s="46">
        <f>IF(_calc!$E$951="","",IF(_calc!$E$951&lt;=500,IF(ISNUMBER(INDEX('Our policies'!$I$4:$I$503,_calc!$E$951)),TEXT(INDEX('Our policies'!$I$4:$I$503,_calc!$E$951),"yyyy-mm-dd"),""),""))</f>
        <v/>
      </c>
      <c r="E949" s="46">
        <f>IF(_calc!$E$951="","",IF(_calc!$E$951&lt;=500,IF(LEN(INDEX('Our policies'!$Q$4:$Q$503,_calc!$E$951))=0,"",INDEX('Our policies'!$Q$4:$Q$503,_calc!$E$951)),"Medium"))</f>
        <v/>
      </c>
      <c r="F949" s="46">
        <f>IF(_calc!$E$951="","",IF(_calc!$E$951&lt;=500,TRIM(IF(LEN(IF(LEN(INDEX('Our policies'!$B$4:$B$503,_calc!$E$951))=0,"",INDEX('Our policies'!$B$4:$B$503,_calc!$E$951)))=0,"","Cover: "&amp;IF(LEN(INDEX('Our policies'!$B$4:$B$503,_calc!$E$951))=0,"",INDEX('Our policies'!$B$4:$B$503,_calc!$E$951))&amp;". ")&amp;IF(LEN(IF(LEN(INDEX('Our policies'!$C$4:$C$503,_calc!$E$951))=0,"",INDEX('Our policies'!$C$4:$C$503,_calc!$E$951)))=0,"","Insurer: "&amp;IF(LEN(INDEX('Our policies'!$C$4:$C$503,_calc!$E$951))=0,"",INDEX('Our policies'!$C$4:$C$503,_calc!$E$951))&amp;". ")&amp;IF(LEN(IF(LEN(INDEX('Our policies'!$D$4:$D$503,_calc!$E$951))=0,"",INDEX('Our policies'!$D$4:$D$503,_calc!$E$951)))=0,"","Broker: "&amp;IF(LEN(INDEX('Our policies'!$D$4:$D$503,_calc!$E$951))=0,"",INDEX('Our policies'!$D$4:$D$503,_calc!$E$951))&amp;". ")&amp;IF(LEN(IF(LEN(INDEX('Our policies'!$E$4:$E$503,_calc!$E$951))=0,"",INDEX('Our policies'!$E$4:$E$503,_calc!$E$951)))=0,"","Policy no.: "&amp;IF(LEN(INDEX('Our policies'!$E$4:$E$503,_calc!$E$951))=0,"",INDEX('Our policies'!$E$4:$E$503,_calc!$E$951))&amp;". ")&amp;IF(LEN(IF(LEN(INDEX('Our policies'!$S$4:$S$503,_calc!$E$951))=0,"",INDEX('Our policies'!$S$4:$S$503,_calc!$E$951)))=0,"",IF(LEN(INDEX('Our policies'!$S$4:$S$503,_calc!$E$951))=0,"",INDEX('Our policies'!$S$4:$S$503,_calc!$E$951)))),TRIM(IF(LEN(IF(LEN(INDEX('Vendor COIs'!$C$4:$C$503,(_calc!$E$951-500)))=0,"",INDEX('Vendor COIs'!$C$4:$C$503,(_calc!$E$951-500))))=0,"","Insurer: "&amp;IF(LEN(INDEX('Vendor COIs'!$C$4:$C$503,(_calc!$E$951-500)))=0,"",INDEX('Vendor COIs'!$C$4:$C$503,(_calc!$E$951-500)))&amp;". ")&amp;IF(LEN(IF(LEN(INDEX('Vendor COIs'!$D$4:$D$503,(_calc!$E$951-500)))=0,"",INDEX('Vendor COIs'!$D$4:$D$503,(_calc!$E$951-500))))=0,"","Policy no.: "&amp;IF(LEN(INDEX('Vendor COIs'!$D$4:$D$503,(_calc!$E$951-500)))=0,"",INDEX('Vendor COIs'!$D$4:$D$503,(_calc!$E$951-500)))&amp;". ")&amp;IF(LEN(IF(LEN(INDEX('Vendor COIs'!$F$4:$F$503,(_calc!$E$951-500)))=0,"",INDEX('Vendor COIs'!$F$4:$F$503,(_calc!$E$951-500))))=0,"","Meets minimum: "&amp;IF(LEN(INDEX('Vendor COIs'!$F$4:$F$503,(_calc!$E$951-500)))=0,"",INDEX('Vendor COIs'!$F$4:$F$503,(_calc!$E$951-500)))&amp;". ")&amp;IF(LEN(IF(LEN(INDEX('Vendor COIs'!$G$4:$G$503,(_calc!$E$951-500)))=0,"",INDEX('Vendor COIs'!$G$4:$G$503,(_calc!$E$951-500))))=0,"","Additional insured: "&amp;IF(LEN(INDEX('Vendor COIs'!$G$4:$G$503,(_calc!$E$951-500)))=0,"",INDEX('Vendor COIs'!$G$4:$G$503,(_calc!$E$951-500)))&amp;". ")&amp;IF(LEN(IF(LEN(INDEX('Vendor COIs'!$M$4:$M$503,(_calc!$E$951-500)))=0,"",INDEX('Vendor COIs'!$M$4:$M$503,(_calc!$E$951-500))))=0,"","Vendor contact: "&amp;IF(LEN(INDEX('Vendor COIs'!$M$4:$M$503,(_calc!$E$951-500)))=0,"",INDEX('Vendor COIs'!$M$4:$M$503,(_calc!$E$951-500)))&amp;". ")&amp;IF(LEN(IF(LEN(INDEX('Vendor COIs'!$P$4:$P$503,(_calc!$E$951-500)))=0,"",INDEX('Vendor COIs'!$P$4:$P$503,(_calc!$E$951-500))))=0,"",IF(LEN(INDEX('Vendor COIs'!$P$4:$P$503,(_calc!$E$951-500)))=0,"",INDEX('Vendor COIs'!$P$4:$P$503,(_calc!$E$951-500)))))))</f>
        <v/>
      </c>
      <c r="G949" s="46">
        <f>IF(_calc!$E$951="","",IF(_calc!$E$951&lt;=500,IF(LEN(INDEX('Our policies'!$R$4:$R$503,_calc!$E$951))=0,"",INDEX('Our policies'!$R$4:$R$503,_calc!$E$951)),IF(LEN(INDEX('Vendor COIs'!$O$4:$O$503,(_calc!$E$951-500)))=0,"",INDEX('Vendor COIs'!$O$4:$O$503,(_calc!$E$951-500)))))</f>
        <v/>
      </c>
      <c r="H949" s="46">
        <f>IF(_calc!$E$951="","",IF(_calc!$E$951&lt;=500,IF(LEN(INDEX('Our policies'!$G$4:$G$503,_calc!$E$951))=0,"",INDEX('Our policies'!$G$4:$G$503,_calc!$E$951)),""))</f>
        <v/>
      </c>
      <c r="I949" s="46">
        <f>IF(_calc!$E$951="","",IF(_calc!$E$951&lt;=500,IF(LEN(INDEX('Our policies'!$H$4:$H$503,_calc!$E$951))=0,"",INDEX('Our policies'!$H$4:$H$503,_calc!$E$951)),""))</f>
        <v/>
      </c>
      <c r="K949" s="46">
        <f>IF(_calc!$E$951="","",IF(_calc!$E$951&lt;=500,IF(LEN(INDEX('Our policies'!$P$4:$P$503,_calc!$E$951))=0,"",INDEX('Our policies'!$P$4:$P$503,_calc!$E$951)),IF(LEN(INDEX('Vendor COIs'!$N$4:$N$503,(_calc!$E$951-500)))=0,"",INDEX('Vendor COIs'!$N$4:$N$503,(_calc!$E$951-500)))))</f>
        <v/>
      </c>
    </row>
    <row r="950">
      <c r="A950" s="46">
        <f>IF(_calc!$E$952="","",IF(_calc!$E$952&lt;=500,IF(LEN(INDEX('Our policies'!$A$4:$A$503,_calc!$E$952))=0,"",INDEX('Our policies'!$A$4:$A$503,_calc!$E$952)),"COI – "&amp;IF(LEN(INDEX('Vendor COIs'!$A$4:$A$503,(_calc!$E$952-500)))=0,"",INDEX('Vendor COIs'!$A$4:$A$503,(_calc!$E$952-500)))&amp;" – "&amp;IF(LEN(INDEX('Vendor COIs'!$B$4:$B$503,(_calc!$E$952-500)))=0,"",INDEX('Vendor COIs'!$B$4:$B$503,(_calc!$E$952-500)))))</f>
        <v/>
      </c>
      <c r="B950" s="46">
        <f>IF(_calc!$E$952="","",IF(_calc!$E$952&lt;=500,IF(ISNUMBER(INDEX('Our policies'!$J$4:$J$503,_calc!$E$952)),TEXT(INDEX('Our policies'!$J$4:$J$503,_calc!$E$952),"yyyy-mm-dd"),""),IF(ISNUMBER(INDEX('Vendor COIs'!$H$4:$H$503,(_calc!$E$952-500))),TEXT(INDEX('Vendor COIs'!$H$4:$H$503,(_calc!$E$952-500)),"yyyy-mm-dd"),"")))</f>
        <v/>
      </c>
      <c r="C950" s="46">
        <f>IF(_calc!$E$952="","",IF(_calc!$E$952&lt;=500,"Insurance","Certificate of insurance"))</f>
        <v/>
      </c>
      <c r="D950" s="46">
        <f>IF(_calc!$E$952="","",IF(_calc!$E$952&lt;=500,IF(ISNUMBER(INDEX('Our policies'!$I$4:$I$503,_calc!$E$952)),TEXT(INDEX('Our policies'!$I$4:$I$503,_calc!$E$952),"yyyy-mm-dd"),""),""))</f>
        <v/>
      </c>
      <c r="E950" s="46">
        <f>IF(_calc!$E$952="","",IF(_calc!$E$952&lt;=500,IF(LEN(INDEX('Our policies'!$Q$4:$Q$503,_calc!$E$952))=0,"",INDEX('Our policies'!$Q$4:$Q$503,_calc!$E$952)),"Medium"))</f>
        <v/>
      </c>
      <c r="F950" s="46">
        <f>IF(_calc!$E$952="","",IF(_calc!$E$952&lt;=500,TRIM(IF(LEN(IF(LEN(INDEX('Our policies'!$B$4:$B$503,_calc!$E$952))=0,"",INDEX('Our policies'!$B$4:$B$503,_calc!$E$952)))=0,"","Cover: "&amp;IF(LEN(INDEX('Our policies'!$B$4:$B$503,_calc!$E$952))=0,"",INDEX('Our policies'!$B$4:$B$503,_calc!$E$952))&amp;". ")&amp;IF(LEN(IF(LEN(INDEX('Our policies'!$C$4:$C$503,_calc!$E$952))=0,"",INDEX('Our policies'!$C$4:$C$503,_calc!$E$952)))=0,"","Insurer: "&amp;IF(LEN(INDEX('Our policies'!$C$4:$C$503,_calc!$E$952))=0,"",INDEX('Our policies'!$C$4:$C$503,_calc!$E$952))&amp;". ")&amp;IF(LEN(IF(LEN(INDEX('Our policies'!$D$4:$D$503,_calc!$E$952))=0,"",INDEX('Our policies'!$D$4:$D$503,_calc!$E$952)))=0,"","Broker: "&amp;IF(LEN(INDEX('Our policies'!$D$4:$D$503,_calc!$E$952))=0,"",INDEX('Our policies'!$D$4:$D$503,_calc!$E$952))&amp;". ")&amp;IF(LEN(IF(LEN(INDEX('Our policies'!$E$4:$E$503,_calc!$E$952))=0,"",INDEX('Our policies'!$E$4:$E$503,_calc!$E$952)))=0,"","Policy no.: "&amp;IF(LEN(INDEX('Our policies'!$E$4:$E$503,_calc!$E$952))=0,"",INDEX('Our policies'!$E$4:$E$503,_calc!$E$952))&amp;". ")&amp;IF(LEN(IF(LEN(INDEX('Our policies'!$S$4:$S$503,_calc!$E$952))=0,"",INDEX('Our policies'!$S$4:$S$503,_calc!$E$952)))=0,"",IF(LEN(INDEX('Our policies'!$S$4:$S$503,_calc!$E$952))=0,"",INDEX('Our policies'!$S$4:$S$503,_calc!$E$952)))),TRIM(IF(LEN(IF(LEN(INDEX('Vendor COIs'!$C$4:$C$503,(_calc!$E$952-500)))=0,"",INDEX('Vendor COIs'!$C$4:$C$503,(_calc!$E$952-500))))=0,"","Insurer: "&amp;IF(LEN(INDEX('Vendor COIs'!$C$4:$C$503,(_calc!$E$952-500)))=0,"",INDEX('Vendor COIs'!$C$4:$C$503,(_calc!$E$952-500)))&amp;". ")&amp;IF(LEN(IF(LEN(INDEX('Vendor COIs'!$D$4:$D$503,(_calc!$E$952-500)))=0,"",INDEX('Vendor COIs'!$D$4:$D$503,(_calc!$E$952-500))))=0,"","Policy no.: "&amp;IF(LEN(INDEX('Vendor COIs'!$D$4:$D$503,(_calc!$E$952-500)))=0,"",INDEX('Vendor COIs'!$D$4:$D$503,(_calc!$E$952-500)))&amp;". ")&amp;IF(LEN(IF(LEN(INDEX('Vendor COIs'!$F$4:$F$503,(_calc!$E$952-500)))=0,"",INDEX('Vendor COIs'!$F$4:$F$503,(_calc!$E$952-500))))=0,"","Meets minimum: "&amp;IF(LEN(INDEX('Vendor COIs'!$F$4:$F$503,(_calc!$E$952-500)))=0,"",INDEX('Vendor COIs'!$F$4:$F$503,(_calc!$E$952-500)))&amp;". ")&amp;IF(LEN(IF(LEN(INDEX('Vendor COIs'!$G$4:$G$503,(_calc!$E$952-500)))=0,"",INDEX('Vendor COIs'!$G$4:$G$503,(_calc!$E$952-500))))=0,"","Additional insured: "&amp;IF(LEN(INDEX('Vendor COIs'!$G$4:$G$503,(_calc!$E$952-500)))=0,"",INDEX('Vendor COIs'!$G$4:$G$503,(_calc!$E$952-500)))&amp;". ")&amp;IF(LEN(IF(LEN(INDEX('Vendor COIs'!$M$4:$M$503,(_calc!$E$952-500)))=0,"",INDEX('Vendor COIs'!$M$4:$M$503,(_calc!$E$952-500))))=0,"","Vendor contact: "&amp;IF(LEN(INDEX('Vendor COIs'!$M$4:$M$503,(_calc!$E$952-500)))=0,"",INDEX('Vendor COIs'!$M$4:$M$503,(_calc!$E$952-500)))&amp;". ")&amp;IF(LEN(IF(LEN(INDEX('Vendor COIs'!$P$4:$P$503,(_calc!$E$952-500)))=0,"",INDEX('Vendor COIs'!$P$4:$P$503,(_calc!$E$952-500))))=0,"",IF(LEN(INDEX('Vendor COIs'!$P$4:$P$503,(_calc!$E$952-500)))=0,"",INDEX('Vendor COIs'!$P$4:$P$503,(_calc!$E$952-500)))))))</f>
        <v/>
      </c>
      <c r="G950" s="46">
        <f>IF(_calc!$E$952="","",IF(_calc!$E$952&lt;=500,IF(LEN(INDEX('Our policies'!$R$4:$R$503,_calc!$E$952))=0,"",INDEX('Our policies'!$R$4:$R$503,_calc!$E$952)),IF(LEN(INDEX('Vendor COIs'!$O$4:$O$503,(_calc!$E$952-500)))=0,"",INDEX('Vendor COIs'!$O$4:$O$503,(_calc!$E$952-500)))))</f>
        <v/>
      </c>
      <c r="H950" s="46">
        <f>IF(_calc!$E$952="","",IF(_calc!$E$952&lt;=500,IF(LEN(INDEX('Our policies'!$G$4:$G$503,_calc!$E$952))=0,"",INDEX('Our policies'!$G$4:$G$503,_calc!$E$952)),""))</f>
        <v/>
      </c>
      <c r="I950" s="46">
        <f>IF(_calc!$E$952="","",IF(_calc!$E$952&lt;=500,IF(LEN(INDEX('Our policies'!$H$4:$H$503,_calc!$E$952))=0,"",INDEX('Our policies'!$H$4:$H$503,_calc!$E$952)),""))</f>
        <v/>
      </c>
      <c r="K950" s="46">
        <f>IF(_calc!$E$952="","",IF(_calc!$E$952&lt;=500,IF(LEN(INDEX('Our policies'!$P$4:$P$503,_calc!$E$952))=0,"",INDEX('Our policies'!$P$4:$P$503,_calc!$E$952)),IF(LEN(INDEX('Vendor COIs'!$N$4:$N$503,(_calc!$E$952-500)))=0,"",INDEX('Vendor COIs'!$N$4:$N$503,(_calc!$E$952-500)))))</f>
        <v/>
      </c>
    </row>
    <row r="951">
      <c r="A951" s="46">
        <f>IF(_calc!$E$953="","",IF(_calc!$E$953&lt;=500,IF(LEN(INDEX('Our policies'!$A$4:$A$503,_calc!$E$953))=0,"",INDEX('Our policies'!$A$4:$A$503,_calc!$E$953)),"COI – "&amp;IF(LEN(INDEX('Vendor COIs'!$A$4:$A$503,(_calc!$E$953-500)))=0,"",INDEX('Vendor COIs'!$A$4:$A$503,(_calc!$E$953-500)))&amp;" – "&amp;IF(LEN(INDEX('Vendor COIs'!$B$4:$B$503,(_calc!$E$953-500)))=0,"",INDEX('Vendor COIs'!$B$4:$B$503,(_calc!$E$953-500)))))</f>
        <v/>
      </c>
      <c r="B951" s="46">
        <f>IF(_calc!$E$953="","",IF(_calc!$E$953&lt;=500,IF(ISNUMBER(INDEX('Our policies'!$J$4:$J$503,_calc!$E$953)),TEXT(INDEX('Our policies'!$J$4:$J$503,_calc!$E$953),"yyyy-mm-dd"),""),IF(ISNUMBER(INDEX('Vendor COIs'!$H$4:$H$503,(_calc!$E$953-500))),TEXT(INDEX('Vendor COIs'!$H$4:$H$503,(_calc!$E$953-500)),"yyyy-mm-dd"),"")))</f>
        <v/>
      </c>
      <c r="C951" s="46">
        <f>IF(_calc!$E$953="","",IF(_calc!$E$953&lt;=500,"Insurance","Certificate of insurance"))</f>
        <v/>
      </c>
      <c r="D951" s="46">
        <f>IF(_calc!$E$953="","",IF(_calc!$E$953&lt;=500,IF(ISNUMBER(INDEX('Our policies'!$I$4:$I$503,_calc!$E$953)),TEXT(INDEX('Our policies'!$I$4:$I$503,_calc!$E$953),"yyyy-mm-dd"),""),""))</f>
        <v/>
      </c>
      <c r="E951" s="46">
        <f>IF(_calc!$E$953="","",IF(_calc!$E$953&lt;=500,IF(LEN(INDEX('Our policies'!$Q$4:$Q$503,_calc!$E$953))=0,"",INDEX('Our policies'!$Q$4:$Q$503,_calc!$E$953)),"Medium"))</f>
        <v/>
      </c>
      <c r="F951" s="46">
        <f>IF(_calc!$E$953="","",IF(_calc!$E$953&lt;=500,TRIM(IF(LEN(IF(LEN(INDEX('Our policies'!$B$4:$B$503,_calc!$E$953))=0,"",INDEX('Our policies'!$B$4:$B$503,_calc!$E$953)))=0,"","Cover: "&amp;IF(LEN(INDEX('Our policies'!$B$4:$B$503,_calc!$E$953))=0,"",INDEX('Our policies'!$B$4:$B$503,_calc!$E$953))&amp;". ")&amp;IF(LEN(IF(LEN(INDEX('Our policies'!$C$4:$C$503,_calc!$E$953))=0,"",INDEX('Our policies'!$C$4:$C$503,_calc!$E$953)))=0,"","Insurer: "&amp;IF(LEN(INDEX('Our policies'!$C$4:$C$503,_calc!$E$953))=0,"",INDEX('Our policies'!$C$4:$C$503,_calc!$E$953))&amp;". ")&amp;IF(LEN(IF(LEN(INDEX('Our policies'!$D$4:$D$503,_calc!$E$953))=0,"",INDEX('Our policies'!$D$4:$D$503,_calc!$E$953)))=0,"","Broker: "&amp;IF(LEN(INDEX('Our policies'!$D$4:$D$503,_calc!$E$953))=0,"",INDEX('Our policies'!$D$4:$D$503,_calc!$E$953))&amp;". ")&amp;IF(LEN(IF(LEN(INDEX('Our policies'!$E$4:$E$503,_calc!$E$953))=0,"",INDEX('Our policies'!$E$4:$E$503,_calc!$E$953)))=0,"","Policy no.: "&amp;IF(LEN(INDEX('Our policies'!$E$4:$E$503,_calc!$E$953))=0,"",INDEX('Our policies'!$E$4:$E$503,_calc!$E$953))&amp;". ")&amp;IF(LEN(IF(LEN(INDEX('Our policies'!$S$4:$S$503,_calc!$E$953))=0,"",INDEX('Our policies'!$S$4:$S$503,_calc!$E$953)))=0,"",IF(LEN(INDEX('Our policies'!$S$4:$S$503,_calc!$E$953))=0,"",INDEX('Our policies'!$S$4:$S$503,_calc!$E$953)))),TRIM(IF(LEN(IF(LEN(INDEX('Vendor COIs'!$C$4:$C$503,(_calc!$E$953-500)))=0,"",INDEX('Vendor COIs'!$C$4:$C$503,(_calc!$E$953-500))))=0,"","Insurer: "&amp;IF(LEN(INDEX('Vendor COIs'!$C$4:$C$503,(_calc!$E$953-500)))=0,"",INDEX('Vendor COIs'!$C$4:$C$503,(_calc!$E$953-500)))&amp;". ")&amp;IF(LEN(IF(LEN(INDEX('Vendor COIs'!$D$4:$D$503,(_calc!$E$953-500)))=0,"",INDEX('Vendor COIs'!$D$4:$D$503,(_calc!$E$953-500))))=0,"","Policy no.: "&amp;IF(LEN(INDEX('Vendor COIs'!$D$4:$D$503,(_calc!$E$953-500)))=0,"",INDEX('Vendor COIs'!$D$4:$D$503,(_calc!$E$953-500)))&amp;". ")&amp;IF(LEN(IF(LEN(INDEX('Vendor COIs'!$F$4:$F$503,(_calc!$E$953-500)))=0,"",INDEX('Vendor COIs'!$F$4:$F$503,(_calc!$E$953-500))))=0,"","Meets minimum: "&amp;IF(LEN(INDEX('Vendor COIs'!$F$4:$F$503,(_calc!$E$953-500)))=0,"",INDEX('Vendor COIs'!$F$4:$F$503,(_calc!$E$953-500)))&amp;". ")&amp;IF(LEN(IF(LEN(INDEX('Vendor COIs'!$G$4:$G$503,(_calc!$E$953-500)))=0,"",INDEX('Vendor COIs'!$G$4:$G$503,(_calc!$E$953-500))))=0,"","Additional insured: "&amp;IF(LEN(INDEX('Vendor COIs'!$G$4:$G$503,(_calc!$E$953-500)))=0,"",INDEX('Vendor COIs'!$G$4:$G$503,(_calc!$E$953-500)))&amp;". ")&amp;IF(LEN(IF(LEN(INDEX('Vendor COIs'!$M$4:$M$503,(_calc!$E$953-500)))=0,"",INDEX('Vendor COIs'!$M$4:$M$503,(_calc!$E$953-500))))=0,"","Vendor contact: "&amp;IF(LEN(INDEX('Vendor COIs'!$M$4:$M$503,(_calc!$E$953-500)))=0,"",INDEX('Vendor COIs'!$M$4:$M$503,(_calc!$E$953-500)))&amp;". ")&amp;IF(LEN(IF(LEN(INDEX('Vendor COIs'!$P$4:$P$503,(_calc!$E$953-500)))=0,"",INDEX('Vendor COIs'!$P$4:$P$503,(_calc!$E$953-500))))=0,"",IF(LEN(INDEX('Vendor COIs'!$P$4:$P$503,(_calc!$E$953-500)))=0,"",INDEX('Vendor COIs'!$P$4:$P$503,(_calc!$E$953-500)))))))</f>
        <v/>
      </c>
      <c r="G951" s="46">
        <f>IF(_calc!$E$953="","",IF(_calc!$E$953&lt;=500,IF(LEN(INDEX('Our policies'!$R$4:$R$503,_calc!$E$953))=0,"",INDEX('Our policies'!$R$4:$R$503,_calc!$E$953)),IF(LEN(INDEX('Vendor COIs'!$O$4:$O$503,(_calc!$E$953-500)))=0,"",INDEX('Vendor COIs'!$O$4:$O$503,(_calc!$E$953-500)))))</f>
        <v/>
      </c>
      <c r="H951" s="46">
        <f>IF(_calc!$E$953="","",IF(_calc!$E$953&lt;=500,IF(LEN(INDEX('Our policies'!$G$4:$G$503,_calc!$E$953))=0,"",INDEX('Our policies'!$G$4:$G$503,_calc!$E$953)),""))</f>
        <v/>
      </c>
      <c r="I951" s="46">
        <f>IF(_calc!$E$953="","",IF(_calc!$E$953&lt;=500,IF(LEN(INDEX('Our policies'!$H$4:$H$503,_calc!$E$953))=0,"",INDEX('Our policies'!$H$4:$H$503,_calc!$E$953)),""))</f>
        <v/>
      </c>
      <c r="K951" s="46">
        <f>IF(_calc!$E$953="","",IF(_calc!$E$953&lt;=500,IF(LEN(INDEX('Our policies'!$P$4:$P$503,_calc!$E$953))=0,"",INDEX('Our policies'!$P$4:$P$503,_calc!$E$953)),IF(LEN(INDEX('Vendor COIs'!$N$4:$N$503,(_calc!$E$953-500)))=0,"",INDEX('Vendor COIs'!$N$4:$N$503,(_calc!$E$953-500)))))</f>
        <v/>
      </c>
    </row>
    <row r="952">
      <c r="A952" s="46">
        <f>IF(_calc!$E$954="","",IF(_calc!$E$954&lt;=500,IF(LEN(INDEX('Our policies'!$A$4:$A$503,_calc!$E$954))=0,"",INDEX('Our policies'!$A$4:$A$503,_calc!$E$954)),"COI – "&amp;IF(LEN(INDEX('Vendor COIs'!$A$4:$A$503,(_calc!$E$954-500)))=0,"",INDEX('Vendor COIs'!$A$4:$A$503,(_calc!$E$954-500)))&amp;" – "&amp;IF(LEN(INDEX('Vendor COIs'!$B$4:$B$503,(_calc!$E$954-500)))=0,"",INDEX('Vendor COIs'!$B$4:$B$503,(_calc!$E$954-500)))))</f>
        <v/>
      </c>
      <c r="B952" s="46">
        <f>IF(_calc!$E$954="","",IF(_calc!$E$954&lt;=500,IF(ISNUMBER(INDEX('Our policies'!$J$4:$J$503,_calc!$E$954)),TEXT(INDEX('Our policies'!$J$4:$J$503,_calc!$E$954),"yyyy-mm-dd"),""),IF(ISNUMBER(INDEX('Vendor COIs'!$H$4:$H$503,(_calc!$E$954-500))),TEXT(INDEX('Vendor COIs'!$H$4:$H$503,(_calc!$E$954-500)),"yyyy-mm-dd"),"")))</f>
        <v/>
      </c>
      <c r="C952" s="46">
        <f>IF(_calc!$E$954="","",IF(_calc!$E$954&lt;=500,"Insurance","Certificate of insurance"))</f>
        <v/>
      </c>
      <c r="D952" s="46">
        <f>IF(_calc!$E$954="","",IF(_calc!$E$954&lt;=500,IF(ISNUMBER(INDEX('Our policies'!$I$4:$I$503,_calc!$E$954)),TEXT(INDEX('Our policies'!$I$4:$I$503,_calc!$E$954),"yyyy-mm-dd"),""),""))</f>
        <v/>
      </c>
      <c r="E952" s="46">
        <f>IF(_calc!$E$954="","",IF(_calc!$E$954&lt;=500,IF(LEN(INDEX('Our policies'!$Q$4:$Q$503,_calc!$E$954))=0,"",INDEX('Our policies'!$Q$4:$Q$503,_calc!$E$954)),"Medium"))</f>
        <v/>
      </c>
      <c r="F952" s="46">
        <f>IF(_calc!$E$954="","",IF(_calc!$E$954&lt;=500,TRIM(IF(LEN(IF(LEN(INDEX('Our policies'!$B$4:$B$503,_calc!$E$954))=0,"",INDEX('Our policies'!$B$4:$B$503,_calc!$E$954)))=0,"","Cover: "&amp;IF(LEN(INDEX('Our policies'!$B$4:$B$503,_calc!$E$954))=0,"",INDEX('Our policies'!$B$4:$B$503,_calc!$E$954))&amp;". ")&amp;IF(LEN(IF(LEN(INDEX('Our policies'!$C$4:$C$503,_calc!$E$954))=0,"",INDEX('Our policies'!$C$4:$C$503,_calc!$E$954)))=0,"","Insurer: "&amp;IF(LEN(INDEX('Our policies'!$C$4:$C$503,_calc!$E$954))=0,"",INDEX('Our policies'!$C$4:$C$503,_calc!$E$954))&amp;". ")&amp;IF(LEN(IF(LEN(INDEX('Our policies'!$D$4:$D$503,_calc!$E$954))=0,"",INDEX('Our policies'!$D$4:$D$503,_calc!$E$954)))=0,"","Broker: "&amp;IF(LEN(INDEX('Our policies'!$D$4:$D$503,_calc!$E$954))=0,"",INDEX('Our policies'!$D$4:$D$503,_calc!$E$954))&amp;". ")&amp;IF(LEN(IF(LEN(INDEX('Our policies'!$E$4:$E$503,_calc!$E$954))=0,"",INDEX('Our policies'!$E$4:$E$503,_calc!$E$954)))=0,"","Policy no.: "&amp;IF(LEN(INDEX('Our policies'!$E$4:$E$503,_calc!$E$954))=0,"",INDEX('Our policies'!$E$4:$E$503,_calc!$E$954))&amp;". ")&amp;IF(LEN(IF(LEN(INDEX('Our policies'!$S$4:$S$503,_calc!$E$954))=0,"",INDEX('Our policies'!$S$4:$S$503,_calc!$E$954)))=0,"",IF(LEN(INDEX('Our policies'!$S$4:$S$503,_calc!$E$954))=0,"",INDEX('Our policies'!$S$4:$S$503,_calc!$E$954)))),TRIM(IF(LEN(IF(LEN(INDEX('Vendor COIs'!$C$4:$C$503,(_calc!$E$954-500)))=0,"",INDEX('Vendor COIs'!$C$4:$C$503,(_calc!$E$954-500))))=0,"","Insurer: "&amp;IF(LEN(INDEX('Vendor COIs'!$C$4:$C$503,(_calc!$E$954-500)))=0,"",INDEX('Vendor COIs'!$C$4:$C$503,(_calc!$E$954-500)))&amp;". ")&amp;IF(LEN(IF(LEN(INDEX('Vendor COIs'!$D$4:$D$503,(_calc!$E$954-500)))=0,"",INDEX('Vendor COIs'!$D$4:$D$503,(_calc!$E$954-500))))=0,"","Policy no.: "&amp;IF(LEN(INDEX('Vendor COIs'!$D$4:$D$503,(_calc!$E$954-500)))=0,"",INDEX('Vendor COIs'!$D$4:$D$503,(_calc!$E$954-500)))&amp;". ")&amp;IF(LEN(IF(LEN(INDEX('Vendor COIs'!$F$4:$F$503,(_calc!$E$954-500)))=0,"",INDEX('Vendor COIs'!$F$4:$F$503,(_calc!$E$954-500))))=0,"","Meets minimum: "&amp;IF(LEN(INDEX('Vendor COIs'!$F$4:$F$503,(_calc!$E$954-500)))=0,"",INDEX('Vendor COIs'!$F$4:$F$503,(_calc!$E$954-500)))&amp;". ")&amp;IF(LEN(IF(LEN(INDEX('Vendor COIs'!$G$4:$G$503,(_calc!$E$954-500)))=0,"",INDEX('Vendor COIs'!$G$4:$G$503,(_calc!$E$954-500))))=0,"","Additional insured: "&amp;IF(LEN(INDEX('Vendor COIs'!$G$4:$G$503,(_calc!$E$954-500)))=0,"",INDEX('Vendor COIs'!$G$4:$G$503,(_calc!$E$954-500)))&amp;". ")&amp;IF(LEN(IF(LEN(INDEX('Vendor COIs'!$M$4:$M$503,(_calc!$E$954-500)))=0,"",INDEX('Vendor COIs'!$M$4:$M$503,(_calc!$E$954-500))))=0,"","Vendor contact: "&amp;IF(LEN(INDEX('Vendor COIs'!$M$4:$M$503,(_calc!$E$954-500)))=0,"",INDEX('Vendor COIs'!$M$4:$M$503,(_calc!$E$954-500)))&amp;". ")&amp;IF(LEN(IF(LEN(INDEX('Vendor COIs'!$P$4:$P$503,(_calc!$E$954-500)))=0,"",INDEX('Vendor COIs'!$P$4:$P$503,(_calc!$E$954-500))))=0,"",IF(LEN(INDEX('Vendor COIs'!$P$4:$P$503,(_calc!$E$954-500)))=0,"",INDEX('Vendor COIs'!$P$4:$P$503,(_calc!$E$954-500)))))))</f>
        <v/>
      </c>
      <c r="G952" s="46">
        <f>IF(_calc!$E$954="","",IF(_calc!$E$954&lt;=500,IF(LEN(INDEX('Our policies'!$R$4:$R$503,_calc!$E$954))=0,"",INDEX('Our policies'!$R$4:$R$503,_calc!$E$954)),IF(LEN(INDEX('Vendor COIs'!$O$4:$O$503,(_calc!$E$954-500)))=0,"",INDEX('Vendor COIs'!$O$4:$O$503,(_calc!$E$954-500)))))</f>
        <v/>
      </c>
      <c r="H952" s="46">
        <f>IF(_calc!$E$954="","",IF(_calc!$E$954&lt;=500,IF(LEN(INDEX('Our policies'!$G$4:$G$503,_calc!$E$954))=0,"",INDEX('Our policies'!$G$4:$G$503,_calc!$E$954)),""))</f>
        <v/>
      </c>
      <c r="I952" s="46">
        <f>IF(_calc!$E$954="","",IF(_calc!$E$954&lt;=500,IF(LEN(INDEX('Our policies'!$H$4:$H$503,_calc!$E$954))=0,"",INDEX('Our policies'!$H$4:$H$503,_calc!$E$954)),""))</f>
        <v/>
      </c>
      <c r="K952" s="46">
        <f>IF(_calc!$E$954="","",IF(_calc!$E$954&lt;=500,IF(LEN(INDEX('Our policies'!$P$4:$P$503,_calc!$E$954))=0,"",INDEX('Our policies'!$P$4:$P$503,_calc!$E$954)),IF(LEN(INDEX('Vendor COIs'!$N$4:$N$503,(_calc!$E$954-500)))=0,"",INDEX('Vendor COIs'!$N$4:$N$503,(_calc!$E$954-500)))))</f>
        <v/>
      </c>
    </row>
    <row r="953">
      <c r="A953" s="46">
        <f>IF(_calc!$E$955="","",IF(_calc!$E$955&lt;=500,IF(LEN(INDEX('Our policies'!$A$4:$A$503,_calc!$E$955))=0,"",INDEX('Our policies'!$A$4:$A$503,_calc!$E$955)),"COI – "&amp;IF(LEN(INDEX('Vendor COIs'!$A$4:$A$503,(_calc!$E$955-500)))=0,"",INDEX('Vendor COIs'!$A$4:$A$503,(_calc!$E$955-500)))&amp;" – "&amp;IF(LEN(INDEX('Vendor COIs'!$B$4:$B$503,(_calc!$E$955-500)))=0,"",INDEX('Vendor COIs'!$B$4:$B$503,(_calc!$E$955-500)))))</f>
        <v/>
      </c>
      <c r="B953" s="46">
        <f>IF(_calc!$E$955="","",IF(_calc!$E$955&lt;=500,IF(ISNUMBER(INDEX('Our policies'!$J$4:$J$503,_calc!$E$955)),TEXT(INDEX('Our policies'!$J$4:$J$503,_calc!$E$955),"yyyy-mm-dd"),""),IF(ISNUMBER(INDEX('Vendor COIs'!$H$4:$H$503,(_calc!$E$955-500))),TEXT(INDEX('Vendor COIs'!$H$4:$H$503,(_calc!$E$955-500)),"yyyy-mm-dd"),"")))</f>
        <v/>
      </c>
      <c r="C953" s="46">
        <f>IF(_calc!$E$955="","",IF(_calc!$E$955&lt;=500,"Insurance","Certificate of insurance"))</f>
        <v/>
      </c>
      <c r="D953" s="46">
        <f>IF(_calc!$E$955="","",IF(_calc!$E$955&lt;=500,IF(ISNUMBER(INDEX('Our policies'!$I$4:$I$503,_calc!$E$955)),TEXT(INDEX('Our policies'!$I$4:$I$503,_calc!$E$955),"yyyy-mm-dd"),""),""))</f>
        <v/>
      </c>
      <c r="E953" s="46">
        <f>IF(_calc!$E$955="","",IF(_calc!$E$955&lt;=500,IF(LEN(INDEX('Our policies'!$Q$4:$Q$503,_calc!$E$955))=0,"",INDEX('Our policies'!$Q$4:$Q$503,_calc!$E$955)),"Medium"))</f>
        <v/>
      </c>
      <c r="F953" s="46">
        <f>IF(_calc!$E$955="","",IF(_calc!$E$955&lt;=500,TRIM(IF(LEN(IF(LEN(INDEX('Our policies'!$B$4:$B$503,_calc!$E$955))=0,"",INDEX('Our policies'!$B$4:$B$503,_calc!$E$955)))=0,"","Cover: "&amp;IF(LEN(INDEX('Our policies'!$B$4:$B$503,_calc!$E$955))=0,"",INDEX('Our policies'!$B$4:$B$503,_calc!$E$955))&amp;". ")&amp;IF(LEN(IF(LEN(INDEX('Our policies'!$C$4:$C$503,_calc!$E$955))=0,"",INDEX('Our policies'!$C$4:$C$503,_calc!$E$955)))=0,"","Insurer: "&amp;IF(LEN(INDEX('Our policies'!$C$4:$C$503,_calc!$E$955))=0,"",INDEX('Our policies'!$C$4:$C$503,_calc!$E$955))&amp;". ")&amp;IF(LEN(IF(LEN(INDEX('Our policies'!$D$4:$D$503,_calc!$E$955))=0,"",INDEX('Our policies'!$D$4:$D$503,_calc!$E$955)))=0,"","Broker: "&amp;IF(LEN(INDEX('Our policies'!$D$4:$D$503,_calc!$E$955))=0,"",INDEX('Our policies'!$D$4:$D$503,_calc!$E$955))&amp;". ")&amp;IF(LEN(IF(LEN(INDEX('Our policies'!$E$4:$E$503,_calc!$E$955))=0,"",INDEX('Our policies'!$E$4:$E$503,_calc!$E$955)))=0,"","Policy no.: "&amp;IF(LEN(INDEX('Our policies'!$E$4:$E$503,_calc!$E$955))=0,"",INDEX('Our policies'!$E$4:$E$503,_calc!$E$955))&amp;". ")&amp;IF(LEN(IF(LEN(INDEX('Our policies'!$S$4:$S$503,_calc!$E$955))=0,"",INDEX('Our policies'!$S$4:$S$503,_calc!$E$955)))=0,"",IF(LEN(INDEX('Our policies'!$S$4:$S$503,_calc!$E$955))=0,"",INDEX('Our policies'!$S$4:$S$503,_calc!$E$955)))),TRIM(IF(LEN(IF(LEN(INDEX('Vendor COIs'!$C$4:$C$503,(_calc!$E$955-500)))=0,"",INDEX('Vendor COIs'!$C$4:$C$503,(_calc!$E$955-500))))=0,"","Insurer: "&amp;IF(LEN(INDEX('Vendor COIs'!$C$4:$C$503,(_calc!$E$955-500)))=0,"",INDEX('Vendor COIs'!$C$4:$C$503,(_calc!$E$955-500)))&amp;". ")&amp;IF(LEN(IF(LEN(INDEX('Vendor COIs'!$D$4:$D$503,(_calc!$E$955-500)))=0,"",INDEX('Vendor COIs'!$D$4:$D$503,(_calc!$E$955-500))))=0,"","Policy no.: "&amp;IF(LEN(INDEX('Vendor COIs'!$D$4:$D$503,(_calc!$E$955-500)))=0,"",INDEX('Vendor COIs'!$D$4:$D$503,(_calc!$E$955-500)))&amp;". ")&amp;IF(LEN(IF(LEN(INDEX('Vendor COIs'!$F$4:$F$503,(_calc!$E$955-500)))=0,"",INDEX('Vendor COIs'!$F$4:$F$503,(_calc!$E$955-500))))=0,"","Meets minimum: "&amp;IF(LEN(INDEX('Vendor COIs'!$F$4:$F$503,(_calc!$E$955-500)))=0,"",INDEX('Vendor COIs'!$F$4:$F$503,(_calc!$E$955-500)))&amp;". ")&amp;IF(LEN(IF(LEN(INDEX('Vendor COIs'!$G$4:$G$503,(_calc!$E$955-500)))=0,"",INDEX('Vendor COIs'!$G$4:$G$503,(_calc!$E$955-500))))=0,"","Additional insured: "&amp;IF(LEN(INDEX('Vendor COIs'!$G$4:$G$503,(_calc!$E$955-500)))=0,"",INDEX('Vendor COIs'!$G$4:$G$503,(_calc!$E$955-500)))&amp;". ")&amp;IF(LEN(IF(LEN(INDEX('Vendor COIs'!$M$4:$M$503,(_calc!$E$955-500)))=0,"",INDEX('Vendor COIs'!$M$4:$M$503,(_calc!$E$955-500))))=0,"","Vendor contact: "&amp;IF(LEN(INDEX('Vendor COIs'!$M$4:$M$503,(_calc!$E$955-500)))=0,"",INDEX('Vendor COIs'!$M$4:$M$503,(_calc!$E$955-500)))&amp;". ")&amp;IF(LEN(IF(LEN(INDEX('Vendor COIs'!$P$4:$P$503,(_calc!$E$955-500)))=0,"",INDEX('Vendor COIs'!$P$4:$P$503,(_calc!$E$955-500))))=0,"",IF(LEN(INDEX('Vendor COIs'!$P$4:$P$503,(_calc!$E$955-500)))=0,"",INDEX('Vendor COIs'!$P$4:$P$503,(_calc!$E$955-500)))))))</f>
        <v/>
      </c>
      <c r="G953" s="46">
        <f>IF(_calc!$E$955="","",IF(_calc!$E$955&lt;=500,IF(LEN(INDEX('Our policies'!$R$4:$R$503,_calc!$E$955))=0,"",INDEX('Our policies'!$R$4:$R$503,_calc!$E$955)),IF(LEN(INDEX('Vendor COIs'!$O$4:$O$503,(_calc!$E$955-500)))=0,"",INDEX('Vendor COIs'!$O$4:$O$503,(_calc!$E$955-500)))))</f>
        <v/>
      </c>
      <c r="H953" s="46">
        <f>IF(_calc!$E$955="","",IF(_calc!$E$955&lt;=500,IF(LEN(INDEX('Our policies'!$G$4:$G$503,_calc!$E$955))=0,"",INDEX('Our policies'!$G$4:$G$503,_calc!$E$955)),""))</f>
        <v/>
      </c>
      <c r="I953" s="46">
        <f>IF(_calc!$E$955="","",IF(_calc!$E$955&lt;=500,IF(LEN(INDEX('Our policies'!$H$4:$H$503,_calc!$E$955))=0,"",INDEX('Our policies'!$H$4:$H$503,_calc!$E$955)),""))</f>
        <v/>
      </c>
      <c r="K953" s="46">
        <f>IF(_calc!$E$955="","",IF(_calc!$E$955&lt;=500,IF(LEN(INDEX('Our policies'!$P$4:$P$503,_calc!$E$955))=0,"",INDEX('Our policies'!$P$4:$P$503,_calc!$E$955)),IF(LEN(INDEX('Vendor COIs'!$N$4:$N$503,(_calc!$E$955-500)))=0,"",INDEX('Vendor COIs'!$N$4:$N$503,(_calc!$E$955-500)))))</f>
        <v/>
      </c>
    </row>
    <row r="954">
      <c r="A954" s="46">
        <f>IF(_calc!$E$956="","",IF(_calc!$E$956&lt;=500,IF(LEN(INDEX('Our policies'!$A$4:$A$503,_calc!$E$956))=0,"",INDEX('Our policies'!$A$4:$A$503,_calc!$E$956)),"COI – "&amp;IF(LEN(INDEX('Vendor COIs'!$A$4:$A$503,(_calc!$E$956-500)))=0,"",INDEX('Vendor COIs'!$A$4:$A$503,(_calc!$E$956-500)))&amp;" – "&amp;IF(LEN(INDEX('Vendor COIs'!$B$4:$B$503,(_calc!$E$956-500)))=0,"",INDEX('Vendor COIs'!$B$4:$B$503,(_calc!$E$956-500)))))</f>
        <v/>
      </c>
      <c r="B954" s="46">
        <f>IF(_calc!$E$956="","",IF(_calc!$E$956&lt;=500,IF(ISNUMBER(INDEX('Our policies'!$J$4:$J$503,_calc!$E$956)),TEXT(INDEX('Our policies'!$J$4:$J$503,_calc!$E$956),"yyyy-mm-dd"),""),IF(ISNUMBER(INDEX('Vendor COIs'!$H$4:$H$503,(_calc!$E$956-500))),TEXT(INDEX('Vendor COIs'!$H$4:$H$503,(_calc!$E$956-500)),"yyyy-mm-dd"),"")))</f>
        <v/>
      </c>
      <c r="C954" s="46">
        <f>IF(_calc!$E$956="","",IF(_calc!$E$956&lt;=500,"Insurance","Certificate of insurance"))</f>
        <v/>
      </c>
      <c r="D954" s="46">
        <f>IF(_calc!$E$956="","",IF(_calc!$E$956&lt;=500,IF(ISNUMBER(INDEX('Our policies'!$I$4:$I$503,_calc!$E$956)),TEXT(INDEX('Our policies'!$I$4:$I$503,_calc!$E$956),"yyyy-mm-dd"),""),""))</f>
        <v/>
      </c>
      <c r="E954" s="46">
        <f>IF(_calc!$E$956="","",IF(_calc!$E$956&lt;=500,IF(LEN(INDEX('Our policies'!$Q$4:$Q$503,_calc!$E$956))=0,"",INDEX('Our policies'!$Q$4:$Q$503,_calc!$E$956)),"Medium"))</f>
        <v/>
      </c>
      <c r="F954" s="46">
        <f>IF(_calc!$E$956="","",IF(_calc!$E$956&lt;=500,TRIM(IF(LEN(IF(LEN(INDEX('Our policies'!$B$4:$B$503,_calc!$E$956))=0,"",INDEX('Our policies'!$B$4:$B$503,_calc!$E$956)))=0,"","Cover: "&amp;IF(LEN(INDEX('Our policies'!$B$4:$B$503,_calc!$E$956))=0,"",INDEX('Our policies'!$B$4:$B$503,_calc!$E$956))&amp;". ")&amp;IF(LEN(IF(LEN(INDEX('Our policies'!$C$4:$C$503,_calc!$E$956))=0,"",INDEX('Our policies'!$C$4:$C$503,_calc!$E$956)))=0,"","Insurer: "&amp;IF(LEN(INDEX('Our policies'!$C$4:$C$503,_calc!$E$956))=0,"",INDEX('Our policies'!$C$4:$C$503,_calc!$E$956))&amp;". ")&amp;IF(LEN(IF(LEN(INDEX('Our policies'!$D$4:$D$503,_calc!$E$956))=0,"",INDEX('Our policies'!$D$4:$D$503,_calc!$E$956)))=0,"","Broker: "&amp;IF(LEN(INDEX('Our policies'!$D$4:$D$503,_calc!$E$956))=0,"",INDEX('Our policies'!$D$4:$D$503,_calc!$E$956))&amp;". ")&amp;IF(LEN(IF(LEN(INDEX('Our policies'!$E$4:$E$503,_calc!$E$956))=0,"",INDEX('Our policies'!$E$4:$E$503,_calc!$E$956)))=0,"","Policy no.: "&amp;IF(LEN(INDEX('Our policies'!$E$4:$E$503,_calc!$E$956))=0,"",INDEX('Our policies'!$E$4:$E$503,_calc!$E$956))&amp;". ")&amp;IF(LEN(IF(LEN(INDEX('Our policies'!$S$4:$S$503,_calc!$E$956))=0,"",INDEX('Our policies'!$S$4:$S$503,_calc!$E$956)))=0,"",IF(LEN(INDEX('Our policies'!$S$4:$S$503,_calc!$E$956))=0,"",INDEX('Our policies'!$S$4:$S$503,_calc!$E$956)))),TRIM(IF(LEN(IF(LEN(INDEX('Vendor COIs'!$C$4:$C$503,(_calc!$E$956-500)))=0,"",INDEX('Vendor COIs'!$C$4:$C$503,(_calc!$E$956-500))))=0,"","Insurer: "&amp;IF(LEN(INDEX('Vendor COIs'!$C$4:$C$503,(_calc!$E$956-500)))=0,"",INDEX('Vendor COIs'!$C$4:$C$503,(_calc!$E$956-500)))&amp;". ")&amp;IF(LEN(IF(LEN(INDEX('Vendor COIs'!$D$4:$D$503,(_calc!$E$956-500)))=0,"",INDEX('Vendor COIs'!$D$4:$D$503,(_calc!$E$956-500))))=0,"","Policy no.: "&amp;IF(LEN(INDEX('Vendor COIs'!$D$4:$D$503,(_calc!$E$956-500)))=0,"",INDEX('Vendor COIs'!$D$4:$D$503,(_calc!$E$956-500)))&amp;". ")&amp;IF(LEN(IF(LEN(INDEX('Vendor COIs'!$F$4:$F$503,(_calc!$E$956-500)))=0,"",INDEX('Vendor COIs'!$F$4:$F$503,(_calc!$E$956-500))))=0,"","Meets minimum: "&amp;IF(LEN(INDEX('Vendor COIs'!$F$4:$F$503,(_calc!$E$956-500)))=0,"",INDEX('Vendor COIs'!$F$4:$F$503,(_calc!$E$956-500)))&amp;". ")&amp;IF(LEN(IF(LEN(INDEX('Vendor COIs'!$G$4:$G$503,(_calc!$E$956-500)))=0,"",INDEX('Vendor COIs'!$G$4:$G$503,(_calc!$E$956-500))))=0,"","Additional insured: "&amp;IF(LEN(INDEX('Vendor COIs'!$G$4:$G$503,(_calc!$E$956-500)))=0,"",INDEX('Vendor COIs'!$G$4:$G$503,(_calc!$E$956-500)))&amp;". ")&amp;IF(LEN(IF(LEN(INDEX('Vendor COIs'!$M$4:$M$503,(_calc!$E$956-500)))=0,"",INDEX('Vendor COIs'!$M$4:$M$503,(_calc!$E$956-500))))=0,"","Vendor contact: "&amp;IF(LEN(INDEX('Vendor COIs'!$M$4:$M$503,(_calc!$E$956-500)))=0,"",INDEX('Vendor COIs'!$M$4:$M$503,(_calc!$E$956-500)))&amp;". ")&amp;IF(LEN(IF(LEN(INDEX('Vendor COIs'!$P$4:$P$503,(_calc!$E$956-500)))=0,"",INDEX('Vendor COIs'!$P$4:$P$503,(_calc!$E$956-500))))=0,"",IF(LEN(INDEX('Vendor COIs'!$P$4:$P$503,(_calc!$E$956-500)))=0,"",INDEX('Vendor COIs'!$P$4:$P$503,(_calc!$E$956-500)))))))</f>
        <v/>
      </c>
      <c r="G954" s="46">
        <f>IF(_calc!$E$956="","",IF(_calc!$E$956&lt;=500,IF(LEN(INDEX('Our policies'!$R$4:$R$503,_calc!$E$956))=0,"",INDEX('Our policies'!$R$4:$R$503,_calc!$E$956)),IF(LEN(INDEX('Vendor COIs'!$O$4:$O$503,(_calc!$E$956-500)))=0,"",INDEX('Vendor COIs'!$O$4:$O$503,(_calc!$E$956-500)))))</f>
        <v/>
      </c>
      <c r="H954" s="46">
        <f>IF(_calc!$E$956="","",IF(_calc!$E$956&lt;=500,IF(LEN(INDEX('Our policies'!$G$4:$G$503,_calc!$E$956))=0,"",INDEX('Our policies'!$G$4:$G$503,_calc!$E$956)),""))</f>
        <v/>
      </c>
      <c r="I954" s="46">
        <f>IF(_calc!$E$956="","",IF(_calc!$E$956&lt;=500,IF(LEN(INDEX('Our policies'!$H$4:$H$503,_calc!$E$956))=0,"",INDEX('Our policies'!$H$4:$H$503,_calc!$E$956)),""))</f>
        <v/>
      </c>
      <c r="K954" s="46">
        <f>IF(_calc!$E$956="","",IF(_calc!$E$956&lt;=500,IF(LEN(INDEX('Our policies'!$P$4:$P$503,_calc!$E$956))=0,"",INDEX('Our policies'!$P$4:$P$503,_calc!$E$956)),IF(LEN(INDEX('Vendor COIs'!$N$4:$N$503,(_calc!$E$956-500)))=0,"",INDEX('Vendor COIs'!$N$4:$N$503,(_calc!$E$956-500)))))</f>
        <v/>
      </c>
    </row>
    <row r="955">
      <c r="A955" s="46">
        <f>IF(_calc!$E$957="","",IF(_calc!$E$957&lt;=500,IF(LEN(INDEX('Our policies'!$A$4:$A$503,_calc!$E$957))=0,"",INDEX('Our policies'!$A$4:$A$503,_calc!$E$957)),"COI – "&amp;IF(LEN(INDEX('Vendor COIs'!$A$4:$A$503,(_calc!$E$957-500)))=0,"",INDEX('Vendor COIs'!$A$4:$A$503,(_calc!$E$957-500)))&amp;" – "&amp;IF(LEN(INDEX('Vendor COIs'!$B$4:$B$503,(_calc!$E$957-500)))=0,"",INDEX('Vendor COIs'!$B$4:$B$503,(_calc!$E$957-500)))))</f>
        <v/>
      </c>
      <c r="B955" s="46">
        <f>IF(_calc!$E$957="","",IF(_calc!$E$957&lt;=500,IF(ISNUMBER(INDEX('Our policies'!$J$4:$J$503,_calc!$E$957)),TEXT(INDEX('Our policies'!$J$4:$J$503,_calc!$E$957),"yyyy-mm-dd"),""),IF(ISNUMBER(INDEX('Vendor COIs'!$H$4:$H$503,(_calc!$E$957-500))),TEXT(INDEX('Vendor COIs'!$H$4:$H$503,(_calc!$E$957-500)),"yyyy-mm-dd"),"")))</f>
        <v/>
      </c>
      <c r="C955" s="46">
        <f>IF(_calc!$E$957="","",IF(_calc!$E$957&lt;=500,"Insurance","Certificate of insurance"))</f>
        <v/>
      </c>
      <c r="D955" s="46">
        <f>IF(_calc!$E$957="","",IF(_calc!$E$957&lt;=500,IF(ISNUMBER(INDEX('Our policies'!$I$4:$I$503,_calc!$E$957)),TEXT(INDEX('Our policies'!$I$4:$I$503,_calc!$E$957),"yyyy-mm-dd"),""),""))</f>
        <v/>
      </c>
      <c r="E955" s="46">
        <f>IF(_calc!$E$957="","",IF(_calc!$E$957&lt;=500,IF(LEN(INDEX('Our policies'!$Q$4:$Q$503,_calc!$E$957))=0,"",INDEX('Our policies'!$Q$4:$Q$503,_calc!$E$957)),"Medium"))</f>
        <v/>
      </c>
      <c r="F955" s="46">
        <f>IF(_calc!$E$957="","",IF(_calc!$E$957&lt;=500,TRIM(IF(LEN(IF(LEN(INDEX('Our policies'!$B$4:$B$503,_calc!$E$957))=0,"",INDEX('Our policies'!$B$4:$B$503,_calc!$E$957)))=0,"","Cover: "&amp;IF(LEN(INDEX('Our policies'!$B$4:$B$503,_calc!$E$957))=0,"",INDEX('Our policies'!$B$4:$B$503,_calc!$E$957))&amp;". ")&amp;IF(LEN(IF(LEN(INDEX('Our policies'!$C$4:$C$503,_calc!$E$957))=0,"",INDEX('Our policies'!$C$4:$C$503,_calc!$E$957)))=0,"","Insurer: "&amp;IF(LEN(INDEX('Our policies'!$C$4:$C$503,_calc!$E$957))=0,"",INDEX('Our policies'!$C$4:$C$503,_calc!$E$957))&amp;". ")&amp;IF(LEN(IF(LEN(INDEX('Our policies'!$D$4:$D$503,_calc!$E$957))=0,"",INDEX('Our policies'!$D$4:$D$503,_calc!$E$957)))=0,"","Broker: "&amp;IF(LEN(INDEX('Our policies'!$D$4:$D$503,_calc!$E$957))=0,"",INDEX('Our policies'!$D$4:$D$503,_calc!$E$957))&amp;". ")&amp;IF(LEN(IF(LEN(INDEX('Our policies'!$E$4:$E$503,_calc!$E$957))=0,"",INDEX('Our policies'!$E$4:$E$503,_calc!$E$957)))=0,"","Policy no.: "&amp;IF(LEN(INDEX('Our policies'!$E$4:$E$503,_calc!$E$957))=0,"",INDEX('Our policies'!$E$4:$E$503,_calc!$E$957))&amp;". ")&amp;IF(LEN(IF(LEN(INDEX('Our policies'!$S$4:$S$503,_calc!$E$957))=0,"",INDEX('Our policies'!$S$4:$S$503,_calc!$E$957)))=0,"",IF(LEN(INDEX('Our policies'!$S$4:$S$503,_calc!$E$957))=0,"",INDEX('Our policies'!$S$4:$S$503,_calc!$E$957)))),TRIM(IF(LEN(IF(LEN(INDEX('Vendor COIs'!$C$4:$C$503,(_calc!$E$957-500)))=0,"",INDEX('Vendor COIs'!$C$4:$C$503,(_calc!$E$957-500))))=0,"","Insurer: "&amp;IF(LEN(INDEX('Vendor COIs'!$C$4:$C$503,(_calc!$E$957-500)))=0,"",INDEX('Vendor COIs'!$C$4:$C$503,(_calc!$E$957-500)))&amp;". ")&amp;IF(LEN(IF(LEN(INDEX('Vendor COIs'!$D$4:$D$503,(_calc!$E$957-500)))=0,"",INDEX('Vendor COIs'!$D$4:$D$503,(_calc!$E$957-500))))=0,"","Policy no.: "&amp;IF(LEN(INDEX('Vendor COIs'!$D$4:$D$503,(_calc!$E$957-500)))=0,"",INDEX('Vendor COIs'!$D$4:$D$503,(_calc!$E$957-500)))&amp;". ")&amp;IF(LEN(IF(LEN(INDEX('Vendor COIs'!$F$4:$F$503,(_calc!$E$957-500)))=0,"",INDEX('Vendor COIs'!$F$4:$F$503,(_calc!$E$957-500))))=0,"","Meets minimum: "&amp;IF(LEN(INDEX('Vendor COIs'!$F$4:$F$503,(_calc!$E$957-500)))=0,"",INDEX('Vendor COIs'!$F$4:$F$503,(_calc!$E$957-500)))&amp;". ")&amp;IF(LEN(IF(LEN(INDEX('Vendor COIs'!$G$4:$G$503,(_calc!$E$957-500)))=0,"",INDEX('Vendor COIs'!$G$4:$G$503,(_calc!$E$957-500))))=0,"","Additional insured: "&amp;IF(LEN(INDEX('Vendor COIs'!$G$4:$G$503,(_calc!$E$957-500)))=0,"",INDEX('Vendor COIs'!$G$4:$G$503,(_calc!$E$957-500)))&amp;". ")&amp;IF(LEN(IF(LEN(INDEX('Vendor COIs'!$M$4:$M$503,(_calc!$E$957-500)))=0,"",INDEX('Vendor COIs'!$M$4:$M$503,(_calc!$E$957-500))))=0,"","Vendor contact: "&amp;IF(LEN(INDEX('Vendor COIs'!$M$4:$M$503,(_calc!$E$957-500)))=0,"",INDEX('Vendor COIs'!$M$4:$M$503,(_calc!$E$957-500)))&amp;". ")&amp;IF(LEN(IF(LEN(INDEX('Vendor COIs'!$P$4:$P$503,(_calc!$E$957-500)))=0,"",INDEX('Vendor COIs'!$P$4:$P$503,(_calc!$E$957-500))))=0,"",IF(LEN(INDEX('Vendor COIs'!$P$4:$P$503,(_calc!$E$957-500)))=0,"",INDEX('Vendor COIs'!$P$4:$P$503,(_calc!$E$957-500)))))))</f>
        <v/>
      </c>
      <c r="G955" s="46">
        <f>IF(_calc!$E$957="","",IF(_calc!$E$957&lt;=500,IF(LEN(INDEX('Our policies'!$R$4:$R$503,_calc!$E$957))=0,"",INDEX('Our policies'!$R$4:$R$503,_calc!$E$957)),IF(LEN(INDEX('Vendor COIs'!$O$4:$O$503,(_calc!$E$957-500)))=0,"",INDEX('Vendor COIs'!$O$4:$O$503,(_calc!$E$957-500)))))</f>
        <v/>
      </c>
      <c r="H955" s="46">
        <f>IF(_calc!$E$957="","",IF(_calc!$E$957&lt;=500,IF(LEN(INDEX('Our policies'!$G$4:$G$503,_calc!$E$957))=0,"",INDEX('Our policies'!$G$4:$G$503,_calc!$E$957)),""))</f>
        <v/>
      </c>
      <c r="I955" s="46">
        <f>IF(_calc!$E$957="","",IF(_calc!$E$957&lt;=500,IF(LEN(INDEX('Our policies'!$H$4:$H$503,_calc!$E$957))=0,"",INDEX('Our policies'!$H$4:$H$503,_calc!$E$957)),""))</f>
        <v/>
      </c>
      <c r="K955" s="46">
        <f>IF(_calc!$E$957="","",IF(_calc!$E$957&lt;=500,IF(LEN(INDEX('Our policies'!$P$4:$P$503,_calc!$E$957))=0,"",INDEX('Our policies'!$P$4:$P$503,_calc!$E$957)),IF(LEN(INDEX('Vendor COIs'!$N$4:$N$503,(_calc!$E$957-500)))=0,"",INDEX('Vendor COIs'!$N$4:$N$503,(_calc!$E$957-500)))))</f>
        <v/>
      </c>
    </row>
    <row r="956">
      <c r="A956" s="46">
        <f>IF(_calc!$E$958="","",IF(_calc!$E$958&lt;=500,IF(LEN(INDEX('Our policies'!$A$4:$A$503,_calc!$E$958))=0,"",INDEX('Our policies'!$A$4:$A$503,_calc!$E$958)),"COI – "&amp;IF(LEN(INDEX('Vendor COIs'!$A$4:$A$503,(_calc!$E$958-500)))=0,"",INDEX('Vendor COIs'!$A$4:$A$503,(_calc!$E$958-500)))&amp;" – "&amp;IF(LEN(INDEX('Vendor COIs'!$B$4:$B$503,(_calc!$E$958-500)))=0,"",INDEX('Vendor COIs'!$B$4:$B$503,(_calc!$E$958-500)))))</f>
        <v/>
      </c>
      <c r="B956" s="46">
        <f>IF(_calc!$E$958="","",IF(_calc!$E$958&lt;=500,IF(ISNUMBER(INDEX('Our policies'!$J$4:$J$503,_calc!$E$958)),TEXT(INDEX('Our policies'!$J$4:$J$503,_calc!$E$958),"yyyy-mm-dd"),""),IF(ISNUMBER(INDEX('Vendor COIs'!$H$4:$H$503,(_calc!$E$958-500))),TEXT(INDEX('Vendor COIs'!$H$4:$H$503,(_calc!$E$958-500)),"yyyy-mm-dd"),"")))</f>
        <v/>
      </c>
      <c r="C956" s="46">
        <f>IF(_calc!$E$958="","",IF(_calc!$E$958&lt;=500,"Insurance","Certificate of insurance"))</f>
        <v/>
      </c>
      <c r="D956" s="46">
        <f>IF(_calc!$E$958="","",IF(_calc!$E$958&lt;=500,IF(ISNUMBER(INDEX('Our policies'!$I$4:$I$503,_calc!$E$958)),TEXT(INDEX('Our policies'!$I$4:$I$503,_calc!$E$958),"yyyy-mm-dd"),""),""))</f>
        <v/>
      </c>
      <c r="E956" s="46">
        <f>IF(_calc!$E$958="","",IF(_calc!$E$958&lt;=500,IF(LEN(INDEX('Our policies'!$Q$4:$Q$503,_calc!$E$958))=0,"",INDEX('Our policies'!$Q$4:$Q$503,_calc!$E$958)),"Medium"))</f>
        <v/>
      </c>
      <c r="F956" s="46">
        <f>IF(_calc!$E$958="","",IF(_calc!$E$958&lt;=500,TRIM(IF(LEN(IF(LEN(INDEX('Our policies'!$B$4:$B$503,_calc!$E$958))=0,"",INDEX('Our policies'!$B$4:$B$503,_calc!$E$958)))=0,"","Cover: "&amp;IF(LEN(INDEX('Our policies'!$B$4:$B$503,_calc!$E$958))=0,"",INDEX('Our policies'!$B$4:$B$503,_calc!$E$958))&amp;". ")&amp;IF(LEN(IF(LEN(INDEX('Our policies'!$C$4:$C$503,_calc!$E$958))=0,"",INDEX('Our policies'!$C$4:$C$503,_calc!$E$958)))=0,"","Insurer: "&amp;IF(LEN(INDEX('Our policies'!$C$4:$C$503,_calc!$E$958))=0,"",INDEX('Our policies'!$C$4:$C$503,_calc!$E$958))&amp;". ")&amp;IF(LEN(IF(LEN(INDEX('Our policies'!$D$4:$D$503,_calc!$E$958))=0,"",INDEX('Our policies'!$D$4:$D$503,_calc!$E$958)))=0,"","Broker: "&amp;IF(LEN(INDEX('Our policies'!$D$4:$D$503,_calc!$E$958))=0,"",INDEX('Our policies'!$D$4:$D$503,_calc!$E$958))&amp;". ")&amp;IF(LEN(IF(LEN(INDEX('Our policies'!$E$4:$E$503,_calc!$E$958))=0,"",INDEX('Our policies'!$E$4:$E$503,_calc!$E$958)))=0,"","Policy no.: "&amp;IF(LEN(INDEX('Our policies'!$E$4:$E$503,_calc!$E$958))=0,"",INDEX('Our policies'!$E$4:$E$503,_calc!$E$958))&amp;". ")&amp;IF(LEN(IF(LEN(INDEX('Our policies'!$S$4:$S$503,_calc!$E$958))=0,"",INDEX('Our policies'!$S$4:$S$503,_calc!$E$958)))=0,"",IF(LEN(INDEX('Our policies'!$S$4:$S$503,_calc!$E$958))=0,"",INDEX('Our policies'!$S$4:$S$503,_calc!$E$958)))),TRIM(IF(LEN(IF(LEN(INDEX('Vendor COIs'!$C$4:$C$503,(_calc!$E$958-500)))=0,"",INDEX('Vendor COIs'!$C$4:$C$503,(_calc!$E$958-500))))=0,"","Insurer: "&amp;IF(LEN(INDEX('Vendor COIs'!$C$4:$C$503,(_calc!$E$958-500)))=0,"",INDEX('Vendor COIs'!$C$4:$C$503,(_calc!$E$958-500)))&amp;". ")&amp;IF(LEN(IF(LEN(INDEX('Vendor COIs'!$D$4:$D$503,(_calc!$E$958-500)))=0,"",INDEX('Vendor COIs'!$D$4:$D$503,(_calc!$E$958-500))))=0,"","Policy no.: "&amp;IF(LEN(INDEX('Vendor COIs'!$D$4:$D$503,(_calc!$E$958-500)))=0,"",INDEX('Vendor COIs'!$D$4:$D$503,(_calc!$E$958-500)))&amp;". ")&amp;IF(LEN(IF(LEN(INDEX('Vendor COIs'!$F$4:$F$503,(_calc!$E$958-500)))=0,"",INDEX('Vendor COIs'!$F$4:$F$503,(_calc!$E$958-500))))=0,"","Meets minimum: "&amp;IF(LEN(INDEX('Vendor COIs'!$F$4:$F$503,(_calc!$E$958-500)))=0,"",INDEX('Vendor COIs'!$F$4:$F$503,(_calc!$E$958-500)))&amp;". ")&amp;IF(LEN(IF(LEN(INDEX('Vendor COIs'!$G$4:$G$503,(_calc!$E$958-500)))=0,"",INDEX('Vendor COIs'!$G$4:$G$503,(_calc!$E$958-500))))=0,"","Additional insured: "&amp;IF(LEN(INDEX('Vendor COIs'!$G$4:$G$503,(_calc!$E$958-500)))=0,"",INDEX('Vendor COIs'!$G$4:$G$503,(_calc!$E$958-500)))&amp;". ")&amp;IF(LEN(IF(LEN(INDEX('Vendor COIs'!$M$4:$M$503,(_calc!$E$958-500)))=0,"",INDEX('Vendor COIs'!$M$4:$M$503,(_calc!$E$958-500))))=0,"","Vendor contact: "&amp;IF(LEN(INDEX('Vendor COIs'!$M$4:$M$503,(_calc!$E$958-500)))=0,"",INDEX('Vendor COIs'!$M$4:$M$503,(_calc!$E$958-500)))&amp;". ")&amp;IF(LEN(IF(LEN(INDEX('Vendor COIs'!$P$4:$P$503,(_calc!$E$958-500)))=0,"",INDEX('Vendor COIs'!$P$4:$P$503,(_calc!$E$958-500))))=0,"",IF(LEN(INDEX('Vendor COIs'!$P$4:$P$503,(_calc!$E$958-500)))=0,"",INDEX('Vendor COIs'!$P$4:$P$503,(_calc!$E$958-500)))))))</f>
        <v/>
      </c>
      <c r="G956" s="46">
        <f>IF(_calc!$E$958="","",IF(_calc!$E$958&lt;=500,IF(LEN(INDEX('Our policies'!$R$4:$R$503,_calc!$E$958))=0,"",INDEX('Our policies'!$R$4:$R$503,_calc!$E$958)),IF(LEN(INDEX('Vendor COIs'!$O$4:$O$503,(_calc!$E$958-500)))=0,"",INDEX('Vendor COIs'!$O$4:$O$503,(_calc!$E$958-500)))))</f>
        <v/>
      </c>
      <c r="H956" s="46">
        <f>IF(_calc!$E$958="","",IF(_calc!$E$958&lt;=500,IF(LEN(INDEX('Our policies'!$G$4:$G$503,_calc!$E$958))=0,"",INDEX('Our policies'!$G$4:$G$503,_calc!$E$958)),""))</f>
        <v/>
      </c>
      <c r="I956" s="46">
        <f>IF(_calc!$E$958="","",IF(_calc!$E$958&lt;=500,IF(LEN(INDEX('Our policies'!$H$4:$H$503,_calc!$E$958))=0,"",INDEX('Our policies'!$H$4:$H$503,_calc!$E$958)),""))</f>
        <v/>
      </c>
      <c r="K956" s="46">
        <f>IF(_calc!$E$958="","",IF(_calc!$E$958&lt;=500,IF(LEN(INDEX('Our policies'!$P$4:$P$503,_calc!$E$958))=0,"",INDEX('Our policies'!$P$4:$P$503,_calc!$E$958)),IF(LEN(INDEX('Vendor COIs'!$N$4:$N$503,(_calc!$E$958-500)))=0,"",INDEX('Vendor COIs'!$N$4:$N$503,(_calc!$E$958-500)))))</f>
        <v/>
      </c>
    </row>
    <row r="957">
      <c r="A957" s="46">
        <f>IF(_calc!$E$959="","",IF(_calc!$E$959&lt;=500,IF(LEN(INDEX('Our policies'!$A$4:$A$503,_calc!$E$959))=0,"",INDEX('Our policies'!$A$4:$A$503,_calc!$E$959)),"COI – "&amp;IF(LEN(INDEX('Vendor COIs'!$A$4:$A$503,(_calc!$E$959-500)))=0,"",INDEX('Vendor COIs'!$A$4:$A$503,(_calc!$E$959-500)))&amp;" – "&amp;IF(LEN(INDEX('Vendor COIs'!$B$4:$B$503,(_calc!$E$959-500)))=0,"",INDEX('Vendor COIs'!$B$4:$B$503,(_calc!$E$959-500)))))</f>
        <v/>
      </c>
      <c r="B957" s="46">
        <f>IF(_calc!$E$959="","",IF(_calc!$E$959&lt;=500,IF(ISNUMBER(INDEX('Our policies'!$J$4:$J$503,_calc!$E$959)),TEXT(INDEX('Our policies'!$J$4:$J$503,_calc!$E$959),"yyyy-mm-dd"),""),IF(ISNUMBER(INDEX('Vendor COIs'!$H$4:$H$503,(_calc!$E$959-500))),TEXT(INDEX('Vendor COIs'!$H$4:$H$503,(_calc!$E$959-500)),"yyyy-mm-dd"),"")))</f>
        <v/>
      </c>
      <c r="C957" s="46">
        <f>IF(_calc!$E$959="","",IF(_calc!$E$959&lt;=500,"Insurance","Certificate of insurance"))</f>
        <v/>
      </c>
      <c r="D957" s="46">
        <f>IF(_calc!$E$959="","",IF(_calc!$E$959&lt;=500,IF(ISNUMBER(INDEX('Our policies'!$I$4:$I$503,_calc!$E$959)),TEXT(INDEX('Our policies'!$I$4:$I$503,_calc!$E$959),"yyyy-mm-dd"),""),""))</f>
        <v/>
      </c>
      <c r="E957" s="46">
        <f>IF(_calc!$E$959="","",IF(_calc!$E$959&lt;=500,IF(LEN(INDEX('Our policies'!$Q$4:$Q$503,_calc!$E$959))=0,"",INDEX('Our policies'!$Q$4:$Q$503,_calc!$E$959)),"Medium"))</f>
        <v/>
      </c>
      <c r="F957" s="46">
        <f>IF(_calc!$E$959="","",IF(_calc!$E$959&lt;=500,TRIM(IF(LEN(IF(LEN(INDEX('Our policies'!$B$4:$B$503,_calc!$E$959))=0,"",INDEX('Our policies'!$B$4:$B$503,_calc!$E$959)))=0,"","Cover: "&amp;IF(LEN(INDEX('Our policies'!$B$4:$B$503,_calc!$E$959))=0,"",INDEX('Our policies'!$B$4:$B$503,_calc!$E$959))&amp;". ")&amp;IF(LEN(IF(LEN(INDEX('Our policies'!$C$4:$C$503,_calc!$E$959))=0,"",INDEX('Our policies'!$C$4:$C$503,_calc!$E$959)))=0,"","Insurer: "&amp;IF(LEN(INDEX('Our policies'!$C$4:$C$503,_calc!$E$959))=0,"",INDEX('Our policies'!$C$4:$C$503,_calc!$E$959))&amp;". ")&amp;IF(LEN(IF(LEN(INDEX('Our policies'!$D$4:$D$503,_calc!$E$959))=0,"",INDEX('Our policies'!$D$4:$D$503,_calc!$E$959)))=0,"","Broker: "&amp;IF(LEN(INDEX('Our policies'!$D$4:$D$503,_calc!$E$959))=0,"",INDEX('Our policies'!$D$4:$D$503,_calc!$E$959))&amp;". ")&amp;IF(LEN(IF(LEN(INDEX('Our policies'!$E$4:$E$503,_calc!$E$959))=0,"",INDEX('Our policies'!$E$4:$E$503,_calc!$E$959)))=0,"","Policy no.: "&amp;IF(LEN(INDEX('Our policies'!$E$4:$E$503,_calc!$E$959))=0,"",INDEX('Our policies'!$E$4:$E$503,_calc!$E$959))&amp;". ")&amp;IF(LEN(IF(LEN(INDEX('Our policies'!$S$4:$S$503,_calc!$E$959))=0,"",INDEX('Our policies'!$S$4:$S$503,_calc!$E$959)))=0,"",IF(LEN(INDEX('Our policies'!$S$4:$S$503,_calc!$E$959))=0,"",INDEX('Our policies'!$S$4:$S$503,_calc!$E$959)))),TRIM(IF(LEN(IF(LEN(INDEX('Vendor COIs'!$C$4:$C$503,(_calc!$E$959-500)))=0,"",INDEX('Vendor COIs'!$C$4:$C$503,(_calc!$E$959-500))))=0,"","Insurer: "&amp;IF(LEN(INDEX('Vendor COIs'!$C$4:$C$503,(_calc!$E$959-500)))=0,"",INDEX('Vendor COIs'!$C$4:$C$503,(_calc!$E$959-500)))&amp;". ")&amp;IF(LEN(IF(LEN(INDEX('Vendor COIs'!$D$4:$D$503,(_calc!$E$959-500)))=0,"",INDEX('Vendor COIs'!$D$4:$D$503,(_calc!$E$959-500))))=0,"","Policy no.: "&amp;IF(LEN(INDEX('Vendor COIs'!$D$4:$D$503,(_calc!$E$959-500)))=0,"",INDEX('Vendor COIs'!$D$4:$D$503,(_calc!$E$959-500)))&amp;". ")&amp;IF(LEN(IF(LEN(INDEX('Vendor COIs'!$F$4:$F$503,(_calc!$E$959-500)))=0,"",INDEX('Vendor COIs'!$F$4:$F$503,(_calc!$E$959-500))))=0,"","Meets minimum: "&amp;IF(LEN(INDEX('Vendor COIs'!$F$4:$F$503,(_calc!$E$959-500)))=0,"",INDEX('Vendor COIs'!$F$4:$F$503,(_calc!$E$959-500)))&amp;". ")&amp;IF(LEN(IF(LEN(INDEX('Vendor COIs'!$G$4:$G$503,(_calc!$E$959-500)))=0,"",INDEX('Vendor COIs'!$G$4:$G$503,(_calc!$E$959-500))))=0,"","Additional insured: "&amp;IF(LEN(INDEX('Vendor COIs'!$G$4:$G$503,(_calc!$E$959-500)))=0,"",INDEX('Vendor COIs'!$G$4:$G$503,(_calc!$E$959-500)))&amp;". ")&amp;IF(LEN(IF(LEN(INDEX('Vendor COIs'!$M$4:$M$503,(_calc!$E$959-500)))=0,"",INDEX('Vendor COIs'!$M$4:$M$503,(_calc!$E$959-500))))=0,"","Vendor contact: "&amp;IF(LEN(INDEX('Vendor COIs'!$M$4:$M$503,(_calc!$E$959-500)))=0,"",INDEX('Vendor COIs'!$M$4:$M$503,(_calc!$E$959-500)))&amp;". ")&amp;IF(LEN(IF(LEN(INDEX('Vendor COIs'!$P$4:$P$503,(_calc!$E$959-500)))=0,"",INDEX('Vendor COIs'!$P$4:$P$503,(_calc!$E$959-500))))=0,"",IF(LEN(INDEX('Vendor COIs'!$P$4:$P$503,(_calc!$E$959-500)))=0,"",INDEX('Vendor COIs'!$P$4:$P$503,(_calc!$E$959-500)))))))</f>
        <v/>
      </c>
      <c r="G957" s="46">
        <f>IF(_calc!$E$959="","",IF(_calc!$E$959&lt;=500,IF(LEN(INDEX('Our policies'!$R$4:$R$503,_calc!$E$959))=0,"",INDEX('Our policies'!$R$4:$R$503,_calc!$E$959)),IF(LEN(INDEX('Vendor COIs'!$O$4:$O$503,(_calc!$E$959-500)))=0,"",INDEX('Vendor COIs'!$O$4:$O$503,(_calc!$E$959-500)))))</f>
        <v/>
      </c>
      <c r="H957" s="46">
        <f>IF(_calc!$E$959="","",IF(_calc!$E$959&lt;=500,IF(LEN(INDEX('Our policies'!$G$4:$G$503,_calc!$E$959))=0,"",INDEX('Our policies'!$G$4:$G$503,_calc!$E$959)),""))</f>
        <v/>
      </c>
      <c r="I957" s="46">
        <f>IF(_calc!$E$959="","",IF(_calc!$E$959&lt;=500,IF(LEN(INDEX('Our policies'!$H$4:$H$503,_calc!$E$959))=0,"",INDEX('Our policies'!$H$4:$H$503,_calc!$E$959)),""))</f>
        <v/>
      </c>
      <c r="K957" s="46">
        <f>IF(_calc!$E$959="","",IF(_calc!$E$959&lt;=500,IF(LEN(INDEX('Our policies'!$P$4:$P$503,_calc!$E$959))=0,"",INDEX('Our policies'!$P$4:$P$503,_calc!$E$959)),IF(LEN(INDEX('Vendor COIs'!$N$4:$N$503,(_calc!$E$959-500)))=0,"",INDEX('Vendor COIs'!$N$4:$N$503,(_calc!$E$959-500)))))</f>
        <v/>
      </c>
    </row>
    <row r="958">
      <c r="A958" s="46">
        <f>IF(_calc!$E$960="","",IF(_calc!$E$960&lt;=500,IF(LEN(INDEX('Our policies'!$A$4:$A$503,_calc!$E$960))=0,"",INDEX('Our policies'!$A$4:$A$503,_calc!$E$960)),"COI – "&amp;IF(LEN(INDEX('Vendor COIs'!$A$4:$A$503,(_calc!$E$960-500)))=0,"",INDEX('Vendor COIs'!$A$4:$A$503,(_calc!$E$960-500)))&amp;" – "&amp;IF(LEN(INDEX('Vendor COIs'!$B$4:$B$503,(_calc!$E$960-500)))=0,"",INDEX('Vendor COIs'!$B$4:$B$503,(_calc!$E$960-500)))))</f>
        <v/>
      </c>
      <c r="B958" s="46">
        <f>IF(_calc!$E$960="","",IF(_calc!$E$960&lt;=500,IF(ISNUMBER(INDEX('Our policies'!$J$4:$J$503,_calc!$E$960)),TEXT(INDEX('Our policies'!$J$4:$J$503,_calc!$E$960),"yyyy-mm-dd"),""),IF(ISNUMBER(INDEX('Vendor COIs'!$H$4:$H$503,(_calc!$E$960-500))),TEXT(INDEX('Vendor COIs'!$H$4:$H$503,(_calc!$E$960-500)),"yyyy-mm-dd"),"")))</f>
        <v/>
      </c>
      <c r="C958" s="46">
        <f>IF(_calc!$E$960="","",IF(_calc!$E$960&lt;=500,"Insurance","Certificate of insurance"))</f>
        <v/>
      </c>
      <c r="D958" s="46">
        <f>IF(_calc!$E$960="","",IF(_calc!$E$960&lt;=500,IF(ISNUMBER(INDEX('Our policies'!$I$4:$I$503,_calc!$E$960)),TEXT(INDEX('Our policies'!$I$4:$I$503,_calc!$E$960),"yyyy-mm-dd"),""),""))</f>
        <v/>
      </c>
      <c r="E958" s="46">
        <f>IF(_calc!$E$960="","",IF(_calc!$E$960&lt;=500,IF(LEN(INDEX('Our policies'!$Q$4:$Q$503,_calc!$E$960))=0,"",INDEX('Our policies'!$Q$4:$Q$503,_calc!$E$960)),"Medium"))</f>
        <v/>
      </c>
      <c r="F958" s="46">
        <f>IF(_calc!$E$960="","",IF(_calc!$E$960&lt;=500,TRIM(IF(LEN(IF(LEN(INDEX('Our policies'!$B$4:$B$503,_calc!$E$960))=0,"",INDEX('Our policies'!$B$4:$B$503,_calc!$E$960)))=0,"","Cover: "&amp;IF(LEN(INDEX('Our policies'!$B$4:$B$503,_calc!$E$960))=0,"",INDEX('Our policies'!$B$4:$B$503,_calc!$E$960))&amp;". ")&amp;IF(LEN(IF(LEN(INDEX('Our policies'!$C$4:$C$503,_calc!$E$960))=0,"",INDEX('Our policies'!$C$4:$C$503,_calc!$E$960)))=0,"","Insurer: "&amp;IF(LEN(INDEX('Our policies'!$C$4:$C$503,_calc!$E$960))=0,"",INDEX('Our policies'!$C$4:$C$503,_calc!$E$960))&amp;". ")&amp;IF(LEN(IF(LEN(INDEX('Our policies'!$D$4:$D$503,_calc!$E$960))=0,"",INDEX('Our policies'!$D$4:$D$503,_calc!$E$960)))=0,"","Broker: "&amp;IF(LEN(INDEX('Our policies'!$D$4:$D$503,_calc!$E$960))=0,"",INDEX('Our policies'!$D$4:$D$503,_calc!$E$960))&amp;". ")&amp;IF(LEN(IF(LEN(INDEX('Our policies'!$E$4:$E$503,_calc!$E$960))=0,"",INDEX('Our policies'!$E$4:$E$503,_calc!$E$960)))=0,"","Policy no.: "&amp;IF(LEN(INDEX('Our policies'!$E$4:$E$503,_calc!$E$960))=0,"",INDEX('Our policies'!$E$4:$E$503,_calc!$E$960))&amp;". ")&amp;IF(LEN(IF(LEN(INDEX('Our policies'!$S$4:$S$503,_calc!$E$960))=0,"",INDEX('Our policies'!$S$4:$S$503,_calc!$E$960)))=0,"",IF(LEN(INDEX('Our policies'!$S$4:$S$503,_calc!$E$960))=0,"",INDEX('Our policies'!$S$4:$S$503,_calc!$E$960)))),TRIM(IF(LEN(IF(LEN(INDEX('Vendor COIs'!$C$4:$C$503,(_calc!$E$960-500)))=0,"",INDEX('Vendor COIs'!$C$4:$C$503,(_calc!$E$960-500))))=0,"","Insurer: "&amp;IF(LEN(INDEX('Vendor COIs'!$C$4:$C$503,(_calc!$E$960-500)))=0,"",INDEX('Vendor COIs'!$C$4:$C$503,(_calc!$E$960-500)))&amp;". ")&amp;IF(LEN(IF(LEN(INDEX('Vendor COIs'!$D$4:$D$503,(_calc!$E$960-500)))=0,"",INDEX('Vendor COIs'!$D$4:$D$503,(_calc!$E$960-500))))=0,"","Policy no.: "&amp;IF(LEN(INDEX('Vendor COIs'!$D$4:$D$503,(_calc!$E$960-500)))=0,"",INDEX('Vendor COIs'!$D$4:$D$503,(_calc!$E$960-500)))&amp;". ")&amp;IF(LEN(IF(LEN(INDEX('Vendor COIs'!$F$4:$F$503,(_calc!$E$960-500)))=0,"",INDEX('Vendor COIs'!$F$4:$F$503,(_calc!$E$960-500))))=0,"","Meets minimum: "&amp;IF(LEN(INDEX('Vendor COIs'!$F$4:$F$503,(_calc!$E$960-500)))=0,"",INDEX('Vendor COIs'!$F$4:$F$503,(_calc!$E$960-500)))&amp;". ")&amp;IF(LEN(IF(LEN(INDEX('Vendor COIs'!$G$4:$G$503,(_calc!$E$960-500)))=0,"",INDEX('Vendor COIs'!$G$4:$G$503,(_calc!$E$960-500))))=0,"","Additional insured: "&amp;IF(LEN(INDEX('Vendor COIs'!$G$4:$G$503,(_calc!$E$960-500)))=0,"",INDEX('Vendor COIs'!$G$4:$G$503,(_calc!$E$960-500)))&amp;". ")&amp;IF(LEN(IF(LEN(INDEX('Vendor COIs'!$M$4:$M$503,(_calc!$E$960-500)))=0,"",INDEX('Vendor COIs'!$M$4:$M$503,(_calc!$E$960-500))))=0,"","Vendor contact: "&amp;IF(LEN(INDEX('Vendor COIs'!$M$4:$M$503,(_calc!$E$960-500)))=0,"",INDEX('Vendor COIs'!$M$4:$M$503,(_calc!$E$960-500)))&amp;". ")&amp;IF(LEN(IF(LEN(INDEX('Vendor COIs'!$P$4:$P$503,(_calc!$E$960-500)))=0,"",INDEX('Vendor COIs'!$P$4:$P$503,(_calc!$E$960-500))))=0,"",IF(LEN(INDEX('Vendor COIs'!$P$4:$P$503,(_calc!$E$960-500)))=0,"",INDEX('Vendor COIs'!$P$4:$P$503,(_calc!$E$960-500)))))))</f>
        <v/>
      </c>
      <c r="G958" s="46">
        <f>IF(_calc!$E$960="","",IF(_calc!$E$960&lt;=500,IF(LEN(INDEX('Our policies'!$R$4:$R$503,_calc!$E$960))=0,"",INDEX('Our policies'!$R$4:$R$503,_calc!$E$960)),IF(LEN(INDEX('Vendor COIs'!$O$4:$O$503,(_calc!$E$960-500)))=0,"",INDEX('Vendor COIs'!$O$4:$O$503,(_calc!$E$960-500)))))</f>
        <v/>
      </c>
      <c r="H958" s="46">
        <f>IF(_calc!$E$960="","",IF(_calc!$E$960&lt;=500,IF(LEN(INDEX('Our policies'!$G$4:$G$503,_calc!$E$960))=0,"",INDEX('Our policies'!$G$4:$G$503,_calc!$E$960)),""))</f>
        <v/>
      </c>
      <c r="I958" s="46">
        <f>IF(_calc!$E$960="","",IF(_calc!$E$960&lt;=500,IF(LEN(INDEX('Our policies'!$H$4:$H$503,_calc!$E$960))=0,"",INDEX('Our policies'!$H$4:$H$503,_calc!$E$960)),""))</f>
        <v/>
      </c>
      <c r="K958" s="46">
        <f>IF(_calc!$E$960="","",IF(_calc!$E$960&lt;=500,IF(LEN(INDEX('Our policies'!$P$4:$P$503,_calc!$E$960))=0,"",INDEX('Our policies'!$P$4:$P$503,_calc!$E$960)),IF(LEN(INDEX('Vendor COIs'!$N$4:$N$503,(_calc!$E$960-500)))=0,"",INDEX('Vendor COIs'!$N$4:$N$503,(_calc!$E$960-500)))))</f>
        <v/>
      </c>
    </row>
    <row r="959">
      <c r="A959" s="46">
        <f>IF(_calc!$E$961="","",IF(_calc!$E$961&lt;=500,IF(LEN(INDEX('Our policies'!$A$4:$A$503,_calc!$E$961))=0,"",INDEX('Our policies'!$A$4:$A$503,_calc!$E$961)),"COI – "&amp;IF(LEN(INDEX('Vendor COIs'!$A$4:$A$503,(_calc!$E$961-500)))=0,"",INDEX('Vendor COIs'!$A$4:$A$503,(_calc!$E$961-500)))&amp;" – "&amp;IF(LEN(INDEX('Vendor COIs'!$B$4:$B$503,(_calc!$E$961-500)))=0,"",INDEX('Vendor COIs'!$B$4:$B$503,(_calc!$E$961-500)))))</f>
        <v/>
      </c>
      <c r="B959" s="46">
        <f>IF(_calc!$E$961="","",IF(_calc!$E$961&lt;=500,IF(ISNUMBER(INDEX('Our policies'!$J$4:$J$503,_calc!$E$961)),TEXT(INDEX('Our policies'!$J$4:$J$503,_calc!$E$961),"yyyy-mm-dd"),""),IF(ISNUMBER(INDEX('Vendor COIs'!$H$4:$H$503,(_calc!$E$961-500))),TEXT(INDEX('Vendor COIs'!$H$4:$H$503,(_calc!$E$961-500)),"yyyy-mm-dd"),"")))</f>
        <v/>
      </c>
      <c r="C959" s="46">
        <f>IF(_calc!$E$961="","",IF(_calc!$E$961&lt;=500,"Insurance","Certificate of insurance"))</f>
        <v/>
      </c>
      <c r="D959" s="46">
        <f>IF(_calc!$E$961="","",IF(_calc!$E$961&lt;=500,IF(ISNUMBER(INDEX('Our policies'!$I$4:$I$503,_calc!$E$961)),TEXT(INDEX('Our policies'!$I$4:$I$503,_calc!$E$961),"yyyy-mm-dd"),""),""))</f>
        <v/>
      </c>
      <c r="E959" s="46">
        <f>IF(_calc!$E$961="","",IF(_calc!$E$961&lt;=500,IF(LEN(INDEX('Our policies'!$Q$4:$Q$503,_calc!$E$961))=0,"",INDEX('Our policies'!$Q$4:$Q$503,_calc!$E$961)),"Medium"))</f>
        <v/>
      </c>
      <c r="F959" s="46">
        <f>IF(_calc!$E$961="","",IF(_calc!$E$961&lt;=500,TRIM(IF(LEN(IF(LEN(INDEX('Our policies'!$B$4:$B$503,_calc!$E$961))=0,"",INDEX('Our policies'!$B$4:$B$503,_calc!$E$961)))=0,"","Cover: "&amp;IF(LEN(INDEX('Our policies'!$B$4:$B$503,_calc!$E$961))=0,"",INDEX('Our policies'!$B$4:$B$503,_calc!$E$961))&amp;". ")&amp;IF(LEN(IF(LEN(INDEX('Our policies'!$C$4:$C$503,_calc!$E$961))=0,"",INDEX('Our policies'!$C$4:$C$503,_calc!$E$961)))=0,"","Insurer: "&amp;IF(LEN(INDEX('Our policies'!$C$4:$C$503,_calc!$E$961))=0,"",INDEX('Our policies'!$C$4:$C$503,_calc!$E$961))&amp;". ")&amp;IF(LEN(IF(LEN(INDEX('Our policies'!$D$4:$D$503,_calc!$E$961))=0,"",INDEX('Our policies'!$D$4:$D$503,_calc!$E$961)))=0,"","Broker: "&amp;IF(LEN(INDEX('Our policies'!$D$4:$D$503,_calc!$E$961))=0,"",INDEX('Our policies'!$D$4:$D$503,_calc!$E$961))&amp;". ")&amp;IF(LEN(IF(LEN(INDEX('Our policies'!$E$4:$E$503,_calc!$E$961))=0,"",INDEX('Our policies'!$E$4:$E$503,_calc!$E$961)))=0,"","Policy no.: "&amp;IF(LEN(INDEX('Our policies'!$E$4:$E$503,_calc!$E$961))=0,"",INDEX('Our policies'!$E$4:$E$503,_calc!$E$961))&amp;". ")&amp;IF(LEN(IF(LEN(INDEX('Our policies'!$S$4:$S$503,_calc!$E$961))=0,"",INDEX('Our policies'!$S$4:$S$503,_calc!$E$961)))=0,"",IF(LEN(INDEX('Our policies'!$S$4:$S$503,_calc!$E$961))=0,"",INDEX('Our policies'!$S$4:$S$503,_calc!$E$961)))),TRIM(IF(LEN(IF(LEN(INDEX('Vendor COIs'!$C$4:$C$503,(_calc!$E$961-500)))=0,"",INDEX('Vendor COIs'!$C$4:$C$503,(_calc!$E$961-500))))=0,"","Insurer: "&amp;IF(LEN(INDEX('Vendor COIs'!$C$4:$C$503,(_calc!$E$961-500)))=0,"",INDEX('Vendor COIs'!$C$4:$C$503,(_calc!$E$961-500)))&amp;". ")&amp;IF(LEN(IF(LEN(INDEX('Vendor COIs'!$D$4:$D$503,(_calc!$E$961-500)))=0,"",INDEX('Vendor COIs'!$D$4:$D$503,(_calc!$E$961-500))))=0,"","Policy no.: "&amp;IF(LEN(INDEX('Vendor COIs'!$D$4:$D$503,(_calc!$E$961-500)))=0,"",INDEX('Vendor COIs'!$D$4:$D$503,(_calc!$E$961-500)))&amp;". ")&amp;IF(LEN(IF(LEN(INDEX('Vendor COIs'!$F$4:$F$503,(_calc!$E$961-500)))=0,"",INDEX('Vendor COIs'!$F$4:$F$503,(_calc!$E$961-500))))=0,"","Meets minimum: "&amp;IF(LEN(INDEX('Vendor COIs'!$F$4:$F$503,(_calc!$E$961-500)))=0,"",INDEX('Vendor COIs'!$F$4:$F$503,(_calc!$E$961-500)))&amp;". ")&amp;IF(LEN(IF(LEN(INDEX('Vendor COIs'!$G$4:$G$503,(_calc!$E$961-500)))=0,"",INDEX('Vendor COIs'!$G$4:$G$503,(_calc!$E$961-500))))=0,"","Additional insured: "&amp;IF(LEN(INDEX('Vendor COIs'!$G$4:$G$503,(_calc!$E$961-500)))=0,"",INDEX('Vendor COIs'!$G$4:$G$503,(_calc!$E$961-500)))&amp;". ")&amp;IF(LEN(IF(LEN(INDEX('Vendor COIs'!$M$4:$M$503,(_calc!$E$961-500)))=0,"",INDEX('Vendor COIs'!$M$4:$M$503,(_calc!$E$961-500))))=0,"","Vendor contact: "&amp;IF(LEN(INDEX('Vendor COIs'!$M$4:$M$503,(_calc!$E$961-500)))=0,"",INDEX('Vendor COIs'!$M$4:$M$503,(_calc!$E$961-500)))&amp;". ")&amp;IF(LEN(IF(LEN(INDEX('Vendor COIs'!$P$4:$P$503,(_calc!$E$961-500)))=0,"",INDEX('Vendor COIs'!$P$4:$P$503,(_calc!$E$961-500))))=0,"",IF(LEN(INDEX('Vendor COIs'!$P$4:$P$503,(_calc!$E$961-500)))=0,"",INDEX('Vendor COIs'!$P$4:$P$503,(_calc!$E$961-500)))))))</f>
        <v/>
      </c>
      <c r="G959" s="46">
        <f>IF(_calc!$E$961="","",IF(_calc!$E$961&lt;=500,IF(LEN(INDEX('Our policies'!$R$4:$R$503,_calc!$E$961))=0,"",INDEX('Our policies'!$R$4:$R$503,_calc!$E$961)),IF(LEN(INDEX('Vendor COIs'!$O$4:$O$503,(_calc!$E$961-500)))=0,"",INDEX('Vendor COIs'!$O$4:$O$503,(_calc!$E$961-500)))))</f>
        <v/>
      </c>
      <c r="H959" s="46">
        <f>IF(_calc!$E$961="","",IF(_calc!$E$961&lt;=500,IF(LEN(INDEX('Our policies'!$G$4:$G$503,_calc!$E$961))=0,"",INDEX('Our policies'!$G$4:$G$503,_calc!$E$961)),""))</f>
        <v/>
      </c>
      <c r="I959" s="46">
        <f>IF(_calc!$E$961="","",IF(_calc!$E$961&lt;=500,IF(LEN(INDEX('Our policies'!$H$4:$H$503,_calc!$E$961))=0,"",INDEX('Our policies'!$H$4:$H$503,_calc!$E$961)),""))</f>
        <v/>
      </c>
      <c r="K959" s="46">
        <f>IF(_calc!$E$961="","",IF(_calc!$E$961&lt;=500,IF(LEN(INDEX('Our policies'!$P$4:$P$503,_calc!$E$961))=0,"",INDEX('Our policies'!$P$4:$P$503,_calc!$E$961)),IF(LEN(INDEX('Vendor COIs'!$N$4:$N$503,(_calc!$E$961-500)))=0,"",INDEX('Vendor COIs'!$N$4:$N$503,(_calc!$E$961-500)))))</f>
        <v/>
      </c>
    </row>
    <row r="960">
      <c r="A960" s="46">
        <f>IF(_calc!$E$962="","",IF(_calc!$E$962&lt;=500,IF(LEN(INDEX('Our policies'!$A$4:$A$503,_calc!$E$962))=0,"",INDEX('Our policies'!$A$4:$A$503,_calc!$E$962)),"COI – "&amp;IF(LEN(INDEX('Vendor COIs'!$A$4:$A$503,(_calc!$E$962-500)))=0,"",INDEX('Vendor COIs'!$A$4:$A$503,(_calc!$E$962-500)))&amp;" – "&amp;IF(LEN(INDEX('Vendor COIs'!$B$4:$B$503,(_calc!$E$962-500)))=0,"",INDEX('Vendor COIs'!$B$4:$B$503,(_calc!$E$962-500)))))</f>
        <v/>
      </c>
      <c r="B960" s="46">
        <f>IF(_calc!$E$962="","",IF(_calc!$E$962&lt;=500,IF(ISNUMBER(INDEX('Our policies'!$J$4:$J$503,_calc!$E$962)),TEXT(INDEX('Our policies'!$J$4:$J$503,_calc!$E$962),"yyyy-mm-dd"),""),IF(ISNUMBER(INDEX('Vendor COIs'!$H$4:$H$503,(_calc!$E$962-500))),TEXT(INDEX('Vendor COIs'!$H$4:$H$503,(_calc!$E$962-500)),"yyyy-mm-dd"),"")))</f>
        <v/>
      </c>
      <c r="C960" s="46">
        <f>IF(_calc!$E$962="","",IF(_calc!$E$962&lt;=500,"Insurance","Certificate of insurance"))</f>
        <v/>
      </c>
      <c r="D960" s="46">
        <f>IF(_calc!$E$962="","",IF(_calc!$E$962&lt;=500,IF(ISNUMBER(INDEX('Our policies'!$I$4:$I$503,_calc!$E$962)),TEXT(INDEX('Our policies'!$I$4:$I$503,_calc!$E$962),"yyyy-mm-dd"),""),""))</f>
        <v/>
      </c>
      <c r="E960" s="46">
        <f>IF(_calc!$E$962="","",IF(_calc!$E$962&lt;=500,IF(LEN(INDEX('Our policies'!$Q$4:$Q$503,_calc!$E$962))=0,"",INDEX('Our policies'!$Q$4:$Q$503,_calc!$E$962)),"Medium"))</f>
        <v/>
      </c>
      <c r="F960" s="46">
        <f>IF(_calc!$E$962="","",IF(_calc!$E$962&lt;=500,TRIM(IF(LEN(IF(LEN(INDEX('Our policies'!$B$4:$B$503,_calc!$E$962))=0,"",INDEX('Our policies'!$B$4:$B$503,_calc!$E$962)))=0,"","Cover: "&amp;IF(LEN(INDEX('Our policies'!$B$4:$B$503,_calc!$E$962))=0,"",INDEX('Our policies'!$B$4:$B$503,_calc!$E$962))&amp;". ")&amp;IF(LEN(IF(LEN(INDEX('Our policies'!$C$4:$C$503,_calc!$E$962))=0,"",INDEX('Our policies'!$C$4:$C$503,_calc!$E$962)))=0,"","Insurer: "&amp;IF(LEN(INDEX('Our policies'!$C$4:$C$503,_calc!$E$962))=0,"",INDEX('Our policies'!$C$4:$C$503,_calc!$E$962))&amp;". ")&amp;IF(LEN(IF(LEN(INDEX('Our policies'!$D$4:$D$503,_calc!$E$962))=0,"",INDEX('Our policies'!$D$4:$D$503,_calc!$E$962)))=0,"","Broker: "&amp;IF(LEN(INDEX('Our policies'!$D$4:$D$503,_calc!$E$962))=0,"",INDEX('Our policies'!$D$4:$D$503,_calc!$E$962))&amp;". ")&amp;IF(LEN(IF(LEN(INDEX('Our policies'!$E$4:$E$503,_calc!$E$962))=0,"",INDEX('Our policies'!$E$4:$E$503,_calc!$E$962)))=0,"","Policy no.: "&amp;IF(LEN(INDEX('Our policies'!$E$4:$E$503,_calc!$E$962))=0,"",INDEX('Our policies'!$E$4:$E$503,_calc!$E$962))&amp;". ")&amp;IF(LEN(IF(LEN(INDEX('Our policies'!$S$4:$S$503,_calc!$E$962))=0,"",INDEX('Our policies'!$S$4:$S$503,_calc!$E$962)))=0,"",IF(LEN(INDEX('Our policies'!$S$4:$S$503,_calc!$E$962))=0,"",INDEX('Our policies'!$S$4:$S$503,_calc!$E$962)))),TRIM(IF(LEN(IF(LEN(INDEX('Vendor COIs'!$C$4:$C$503,(_calc!$E$962-500)))=0,"",INDEX('Vendor COIs'!$C$4:$C$503,(_calc!$E$962-500))))=0,"","Insurer: "&amp;IF(LEN(INDEX('Vendor COIs'!$C$4:$C$503,(_calc!$E$962-500)))=0,"",INDEX('Vendor COIs'!$C$4:$C$503,(_calc!$E$962-500)))&amp;". ")&amp;IF(LEN(IF(LEN(INDEX('Vendor COIs'!$D$4:$D$503,(_calc!$E$962-500)))=0,"",INDEX('Vendor COIs'!$D$4:$D$503,(_calc!$E$962-500))))=0,"","Policy no.: "&amp;IF(LEN(INDEX('Vendor COIs'!$D$4:$D$503,(_calc!$E$962-500)))=0,"",INDEX('Vendor COIs'!$D$4:$D$503,(_calc!$E$962-500)))&amp;". ")&amp;IF(LEN(IF(LEN(INDEX('Vendor COIs'!$F$4:$F$503,(_calc!$E$962-500)))=0,"",INDEX('Vendor COIs'!$F$4:$F$503,(_calc!$E$962-500))))=0,"","Meets minimum: "&amp;IF(LEN(INDEX('Vendor COIs'!$F$4:$F$503,(_calc!$E$962-500)))=0,"",INDEX('Vendor COIs'!$F$4:$F$503,(_calc!$E$962-500)))&amp;". ")&amp;IF(LEN(IF(LEN(INDEX('Vendor COIs'!$G$4:$G$503,(_calc!$E$962-500)))=0,"",INDEX('Vendor COIs'!$G$4:$G$503,(_calc!$E$962-500))))=0,"","Additional insured: "&amp;IF(LEN(INDEX('Vendor COIs'!$G$4:$G$503,(_calc!$E$962-500)))=0,"",INDEX('Vendor COIs'!$G$4:$G$503,(_calc!$E$962-500)))&amp;". ")&amp;IF(LEN(IF(LEN(INDEX('Vendor COIs'!$M$4:$M$503,(_calc!$E$962-500)))=0,"",INDEX('Vendor COIs'!$M$4:$M$503,(_calc!$E$962-500))))=0,"","Vendor contact: "&amp;IF(LEN(INDEX('Vendor COIs'!$M$4:$M$503,(_calc!$E$962-500)))=0,"",INDEX('Vendor COIs'!$M$4:$M$503,(_calc!$E$962-500)))&amp;". ")&amp;IF(LEN(IF(LEN(INDEX('Vendor COIs'!$P$4:$P$503,(_calc!$E$962-500)))=0,"",INDEX('Vendor COIs'!$P$4:$P$503,(_calc!$E$962-500))))=0,"",IF(LEN(INDEX('Vendor COIs'!$P$4:$P$503,(_calc!$E$962-500)))=0,"",INDEX('Vendor COIs'!$P$4:$P$503,(_calc!$E$962-500)))))))</f>
        <v/>
      </c>
      <c r="G960" s="46">
        <f>IF(_calc!$E$962="","",IF(_calc!$E$962&lt;=500,IF(LEN(INDEX('Our policies'!$R$4:$R$503,_calc!$E$962))=0,"",INDEX('Our policies'!$R$4:$R$503,_calc!$E$962)),IF(LEN(INDEX('Vendor COIs'!$O$4:$O$503,(_calc!$E$962-500)))=0,"",INDEX('Vendor COIs'!$O$4:$O$503,(_calc!$E$962-500)))))</f>
        <v/>
      </c>
      <c r="H960" s="46">
        <f>IF(_calc!$E$962="","",IF(_calc!$E$962&lt;=500,IF(LEN(INDEX('Our policies'!$G$4:$G$503,_calc!$E$962))=0,"",INDEX('Our policies'!$G$4:$G$503,_calc!$E$962)),""))</f>
        <v/>
      </c>
      <c r="I960" s="46">
        <f>IF(_calc!$E$962="","",IF(_calc!$E$962&lt;=500,IF(LEN(INDEX('Our policies'!$H$4:$H$503,_calc!$E$962))=0,"",INDEX('Our policies'!$H$4:$H$503,_calc!$E$962)),""))</f>
        <v/>
      </c>
      <c r="K960" s="46">
        <f>IF(_calc!$E$962="","",IF(_calc!$E$962&lt;=500,IF(LEN(INDEX('Our policies'!$P$4:$P$503,_calc!$E$962))=0,"",INDEX('Our policies'!$P$4:$P$503,_calc!$E$962)),IF(LEN(INDEX('Vendor COIs'!$N$4:$N$503,(_calc!$E$962-500)))=0,"",INDEX('Vendor COIs'!$N$4:$N$503,(_calc!$E$962-500)))))</f>
        <v/>
      </c>
    </row>
    <row r="961">
      <c r="A961" s="46">
        <f>IF(_calc!$E$963="","",IF(_calc!$E$963&lt;=500,IF(LEN(INDEX('Our policies'!$A$4:$A$503,_calc!$E$963))=0,"",INDEX('Our policies'!$A$4:$A$503,_calc!$E$963)),"COI – "&amp;IF(LEN(INDEX('Vendor COIs'!$A$4:$A$503,(_calc!$E$963-500)))=0,"",INDEX('Vendor COIs'!$A$4:$A$503,(_calc!$E$963-500)))&amp;" – "&amp;IF(LEN(INDEX('Vendor COIs'!$B$4:$B$503,(_calc!$E$963-500)))=0,"",INDEX('Vendor COIs'!$B$4:$B$503,(_calc!$E$963-500)))))</f>
        <v/>
      </c>
      <c r="B961" s="46">
        <f>IF(_calc!$E$963="","",IF(_calc!$E$963&lt;=500,IF(ISNUMBER(INDEX('Our policies'!$J$4:$J$503,_calc!$E$963)),TEXT(INDEX('Our policies'!$J$4:$J$503,_calc!$E$963),"yyyy-mm-dd"),""),IF(ISNUMBER(INDEX('Vendor COIs'!$H$4:$H$503,(_calc!$E$963-500))),TEXT(INDEX('Vendor COIs'!$H$4:$H$503,(_calc!$E$963-500)),"yyyy-mm-dd"),"")))</f>
        <v/>
      </c>
      <c r="C961" s="46">
        <f>IF(_calc!$E$963="","",IF(_calc!$E$963&lt;=500,"Insurance","Certificate of insurance"))</f>
        <v/>
      </c>
      <c r="D961" s="46">
        <f>IF(_calc!$E$963="","",IF(_calc!$E$963&lt;=500,IF(ISNUMBER(INDEX('Our policies'!$I$4:$I$503,_calc!$E$963)),TEXT(INDEX('Our policies'!$I$4:$I$503,_calc!$E$963),"yyyy-mm-dd"),""),""))</f>
        <v/>
      </c>
      <c r="E961" s="46">
        <f>IF(_calc!$E$963="","",IF(_calc!$E$963&lt;=500,IF(LEN(INDEX('Our policies'!$Q$4:$Q$503,_calc!$E$963))=0,"",INDEX('Our policies'!$Q$4:$Q$503,_calc!$E$963)),"Medium"))</f>
        <v/>
      </c>
      <c r="F961" s="46">
        <f>IF(_calc!$E$963="","",IF(_calc!$E$963&lt;=500,TRIM(IF(LEN(IF(LEN(INDEX('Our policies'!$B$4:$B$503,_calc!$E$963))=0,"",INDEX('Our policies'!$B$4:$B$503,_calc!$E$963)))=0,"","Cover: "&amp;IF(LEN(INDEX('Our policies'!$B$4:$B$503,_calc!$E$963))=0,"",INDEX('Our policies'!$B$4:$B$503,_calc!$E$963))&amp;". ")&amp;IF(LEN(IF(LEN(INDEX('Our policies'!$C$4:$C$503,_calc!$E$963))=0,"",INDEX('Our policies'!$C$4:$C$503,_calc!$E$963)))=0,"","Insurer: "&amp;IF(LEN(INDEX('Our policies'!$C$4:$C$503,_calc!$E$963))=0,"",INDEX('Our policies'!$C$4:$C$503,_calc!$E$963))&amp;". ")&amp;IF(LEN(IF(LEN(INDEX('Our policies'!$D$4:$D$503,_calc!$E$963))=0,"",INDEX('Our policies'!$D$4:$D$503,_calc!$E$963)))=0,"","Broker: "&amp;IF(LEN(INDEX('Our policies'!$D$4:$D$503,_calc!$E$963))=0,"",INDEX('Our policies'!$D$4:$D$503,_calc!$E$963))&amp;". ")&amp;IF(LEN(IF(LEN(INDEX('Our policies'!$E$4:$E$503,_calc!$E$963))=0,"",INDEX('Our policies'!$E$4:$E$503,_calc!$E$963)))=0,"","Policy no.: "&amp;IF(LEN(INDEX('Our policies'!$E$4:$E$503,_calc!$E$963))=0,"",INDEX('Our policies'!$E$4:$E$503,_calc!$E$963))&amp;". ")&amp;IF(LEN(IF(LEN(INDEX('Our policies'!$S$4:$S$503,_calc!$E$963))=0,"",INDEX('Our policies'!$S$4:$S$503,_calc!$E$963)))=0,"",IF(LEN(INDEX('Our policies'!$S$4:$S$503,_calc!$E$963))=0,"",INDEX('Our policies'!$S$4:$S$503,_calc!$E$963)))),TRIM(IF(LEN(IF(LEN(INDEX('Vendor COIs'!$C$4:$C$503,(_calc!$E$963-500)))=0,"",INDEX('Vendor COIs'!$C$4:$C$503,(_calc!$E$963-500))))=0,"","Insurer: "&amp;IF(LEN(INDEX('Vendor COIs'!$C$4:$C$503,(_calc!$E$963-500)))=0,"",INDEX('Vendor COIs'!$C$4:$C$503,(_calc!$E$963-500)))&amp;". ")&amp;IF(LEN(IF(LEN(INDEX('Vendor COIs'!$D$4:$D$503,(_calc!$E$963-500)))=0,"",INDEX('Vendor COIs'!$D$4:$D$503,(_calc!$E$963-500))))=0,"","Policy no.: "&amp;IF(LEN(INDEX('Vendor COIs'!$D$4:$D$503,(_calc!$E$963-500)))=0,"",INDEX('Vendor COIs'!$D$4:$D$503,(_calc!$E$963-500)))&amp;". ")&amp;IF(LEN(IF(LEN(INDEX('Vendor COIs'!$F$4:$F$503,(_calc!$E$963-500)))=0,"",INDEX('Vendor COIs'!$F$4:$F$503,(_calc!$E$963-500))))=0,"","Meets minimum: "&amp;IF(LEN(INDEX('Vendor COIs'!$F$4:$F$503,(_calc!$E$963-500)))=0,"",INDEX('Vendor COIs'!$F$4:$F$503,(_calc!$E$963-500)))&amp;". ")&amp;IF(LEN(IF(LEN(INDEX('Vendor COIs'!$G$4:$G$503,(_calc!$E$963-500)))=0,"",INDEX('Vendor COIs'!$G$4:$G$503,(_calc!$E$963-500))))=0,"","Additional insured: "&amp;IF(LEN(INDEX('Vendor COIs'!$G$4:$G$503,(_calc!$E$963-500)))=0,"",INDEX('Vendor COIs'!$G$4:$G$503,(_calc!$E$963-500)))&amp;". ")&amp;IF(LEN(IF(LEN(INDEX('Vendor COIs'!$M$4:$M$503,(_calc!$E$963-500)))=0,"",INDEX('Vendor COIs'!$M$4:$M$503,(_calc!$E$963-500))))=0,"","Vendor contact: "&amp;IF(LEN(INDEX('Vendor COIs'!$M$4:$M$503,(_calc!$E$963-500)))=0,"",INDEX('Vendor COIs'!$M$4:$M$503,(_calc!$E$963-500)))&amp;". ")&amp;IF(LEN(IF(LEN(INDEX('Vendor COIs'!$P$4:$P$503,(_calc!$E$963-500)))=0,"",INDEX('Vendor COIs'!$P$4:$P$503,(_calc!$E$963-500))))=0,"",IF(LEN(INDEX('Vendor COIs'!$P$4:$P$503,(_calc!$E$963-500)))=0,"",INDEX('Vendor COIs'!$P$4:$P$503,(_calc!$E$963-500)))))))</f>
        <v/>
      </c>
      <c r="G961" s="46">
        <f>IF(_calc!$E$963="","",IF(_calc!$E$963&lt;=500,IF(LEN(INDEX('Our policies'!$R$4:$R$503,_calc!$E$963))=0,"",INDEX('Our policies'!$R$4:$R$503,_calc!$E$963)),IF(LEN(INDEX('Vendor COIs'!$O$4:$O$503,(_calc!$E$963-500)))=0,"",INDEX('Vendor COIs'!$O$4:$O$503,(_calc!$E$963-500)))))</f>
        <v/>
      </c>
      <c r="H961" s="46">
        <f>IF(_calc!$E$963="","",IF(_calc!$E$963&lt;=500,IF(LEN(INDEX('Our policies'!$G$4:$G$503,_calc!$E$963))=0,"",INDEX('Our policies'!$G$4:$G$503,_calc!$E$963)),""))</f>
        <v/>
      </c>
      <c r="I961" s="46">
        <f>IF(_calc!$E$963="","",IF(_calc!$E$963&lt;=500,IF(LEN(INDEX('Our policies'!$H$4:$H$503,_calc!$E$963))=0,"",INDEX('Our policies'!$H$4:$H$503,_calc!$E$963)),""))</f>
        <v/>
      </c>
      <c r="K961" s="46">
        <f>IF(_calc!$E$963="","",IF(_calc!$E$963&lt;=500,IF(LEN(INDEX('Our policies'!$P$4:$P$503,_calc!$E$963))=0,"",INDEX('Our policies'!$P$4:$P$503,_calc!$E$963)),IF(LEN(INDEX('Vendor COIs'!$N$4:$N$503,(_calc!$E$963-500)))=0,"",INDEX('Vendor COIs'!$N$4:$N$503,(_calc!$E$963-500)))))</f>
        <v/>
      </c>
    </row>
    <row r="962">
      <c r="A962" s="46">
        <f>IF(_calc!$E$964="","",IF(_calc!$E$964&lt;=500,IF(LEN(INDEX('Our policies'!$A$4:$A$503,_calc!$E$964))=0,"",INDEX('Our policies'!$A$4:$A$503,_calc!$E$964)),"COI – "&amp;IF(LEN(INDEX('Vendor COIs'!$A$4:$A$503,(_calc!$E$964-500)))=0,"",INDEX('Vendor COIs'!$A$4:$A$503,(_calc!$E$964-500)))&amp;" – "&amp;IF(LEN(INDEX('Vendor COIs'!$B$4:$B$503,(_calc!$E$964-500)))=0,"",INDEX('Vendor COIs'!$B$4:$B$503,(_calc!$E$964-500)))))</f>
        <v/>
      </c>
      <c r="B962" s="46">
        <f>IF(_calc!$E$964="","",IF(_calc!$E$964&lt;=500,IF(ISNUMBER(INDEX('Our policies'!$J$4:$J$503,_calc!$E$964)),TEXT(INDEX('Our policies'!$J$4:$J$503,_calc!$E$964),"yyyy-mm-dd"),""),IF(ISNUMBER(INDEX('Vendor COIs'!$H$4:$H$503,(_calc!$E$964-500))),TEXT(INDEX('Vendor COIs'!$H$4:$H$503,(_calc!$E$964-500)),"yyyy-mm-dd"),"")))</f>
        <v/>
      </c>
      <c r="C962" s="46">
        <f>IF(_calc!$E$964="","",IF(_calc!$E$964&lt;=500,"Insurance","Certificate of insurance"))</f>
        <v/>
      </c>
      <c r="D962" s="46">
        <f>IF(_calc!$E$964="","",IF(_calc!$E$964&lt;=500,IF(ISNUMBER(INDEX('Our policies'!$I$4:$I$503,_calc!$E$964)),TEXT(INDEX('Our policies'!$I$4:$I$503,_calc!$E$964),"yyyy-mm-dd"),""),""))</f>
        <v/>
      </c>
      <c r="E962" s="46">
        <f>IF(_calc!$E$964="","",IF(_calc!$E$964&lt;=500,IF(LEN(INDEX('Our policies'!$Q$4:$Q$503,_calc!$E$964))=0,"",INDEX('Our policies'!$Q$4:$Q$503,_calc!$E$964)),"Medium"))</f>
        <v/>
      </c>
      <c r="F962" s="46">
        <f>IF(_calc!$E$964="","",IF(_calc!$E$964&lt;=500,TRIM(IF(LEN(IF(LEN(INDEX('Our policies'!$B$4:$B$503,_calc!$E$964))=0,"",INDEX('Our policies'!$B$4:$B$503,_calc!$E$964)))=0,"","Cover: "&amp;IF(LEN(INDEX('Our policies'!$B$4:$B$503,_calc!$E$964))=0,"",INDEX('Our policies'!$B$4:$B$503,_calc!$E$964))&amp;". ")&amp;IF(LEN(IF(LEN(INDEX('Our policies'!$C$4:$C$503,_calc!$E$964))=0,"",INDEX('Our policies'!$C$4:$C$503,_calc!$E$964)))=0,"","Insurer: "&amp;IF(LEN(INDEX('Our policies'!$C$4:$C$503,_calc!$E$964))=0,"",INDEX('Our policies'!$C$4:$C$503,_calc!$E$964))&amp;". ")&amp;IF(LEN(IF(LEN(INDEX('Our policies'!$D$4:$D$503,_calc!$E$964))=0,"",INDEX('Our policies'!$D$4:$D$503,_calc!$E$964)))=0,"","Broker: "&amp;IF(LEN(INDEX('Our policies'!$D$4:$D$503,_calc!$E$964))=0,"",INDEX('Our policies'!$D$4:$D$503,_calc!$E$964))&amp;". ")&amp;IF(LEN(IF(LEN(INDEX('Our policies'!$E$4:$E$503,_calc!$E$964))=0,"",INDEX('Our policies'!$E$4:$E$503,_calc!$E$964)))=0,"","Policy no.: "&amp;IF(LEN(INDEX('Our policies'!$E$4:$E$503,_calc!$E$964))=0,"",INDEX('Our policies'!$E$4:$E$503,_calc!$E$964))&amp;". ")&amp;IF(LEN(IF(LEN(INDEX('Our policies'!$S$4:$S$503,_calc!$E$964))=0,"",INDEX('Our policies'!$S$4:$S$503,_calc!$E$964)))=0,"",IF(LEN(INDEX('Our policies'!$S$4:$S$503,_calc!$E$964))=0,"",INDEX('Our policies'!$S$4:$S$503,_calc!$E$964)))),TRIM(IF(LEN(IF(LEN(INDEX('Vendor COIs'!$C$4:$C$503,(_calc!$E$964-500)))=0,"",INDEX('Vendor COIs'!$C$4:$C$503,(_calc!$E$964-500))))=0,"","Insurer: "&amp;IF(LEN(INDEX('Vendor COIs'!$C$4:$C$503,(_calc!$E$964-500)))=0,"",INDEX('Vendor COIs'!$C$4:$C$503,(_calc!$E$964-500)))&amp;". ")&amp;IF(LEN(IF(LEN(INDEX('Vendor COIs'!$D$4:$D$503,(_calc!$E$964-500)))=0,"",INDEX('Vendor COIs'!$D$4:$D$503,(_calc!$E$964-500))))=0,"","Policy no.: "&amp;IF(LEN(INDEX('Vendor COIs'!$D$4:$D$503,(_calc!$E$964-500)))=0,"",INDEX('Vendor COIs'!$D$4:$D$503,(_calc!$E$964-500)))&amp;". ")&amp;IF(LEN(IF(LEN(INDEX('Vendor COIs'!$F$4:$F$503,(_calc!$E$964-500)))=0,"",INDEX('Vendor COIs'!$F$4:$F$503,(_calc!$E$964-500))))=0,"","Meets minimum: "&amp;IF(LEN(INDEX('Vendor COIs'!$F$4:$F$503,(_calc!$E$964-500)))=0,"",INDEX('Vendor COIs'!$F$4:$F$503,(_calc!$E$964-500)))&amp;". ")&amp;IF(LEN(IF(LEN(INDEX('Vendor COIs'!$G$4:$G$503,(_calc!$E$964-500)))=0,"",INDEX('Vendor COIs'!$G$4:$G$503,(_calc!$E$964-500))))=0,"","Additional insured: "&amp;IF(LEN(INDEX('Vendor COIs'!$G$4:$G$503,(_calc!$E$964-500)))=0,"",INDEX('Vendor COIs'!$G$4:$G$503,(_calc!$E$964-500)))&amp;". ")&amp;IF(LEN(IF(LEN(INDEX('Vendor COIs'!$M$4:$M$503,(_calc!$E$964-500)))=0,"",INDEX('Vendor COIs'!$M$4:$M$503,(_calc!$E$964-500))))=0,"","Vendor contact: "&amp;IF(LEN(INDEX('Vendor COIs'!$M$4:$M$503,(_calc!$E$964-500)))=0,"",INDEX('Vendor COIs'!$M$4:$M$503,(_calc!$E$964-500)))&amp;". ")&amp;IF(LEN(IF(LEN(INDEX('Vendor COIs'!$P$4:$P$503,(_calc!$E$964-500)))=0,"",INDEX('Vendor COIs'!$P$4:$P$503,(_calc!$E$964-500))))=0,"",IF(LEN(INDEX('Vendor COIs'!$P$4:$P$503,(_calc!$E$964-500)))=0,"",INDEX('Vendor COIs'!$P$4:$P$503,(_calc!$E$964-500)))))))</f>
        <v/>
      </c>
      <c r="G962" s="46">
        <f>IF(_calc!$E$964="","",IF(_calc!$E$964&lt;=500,IF(LEN(INDEX('Our policies'!$R$4:$R$503,_calc!$E$964))=0,"",INDEX('Our policies'!$R$4:$R$503,_calc!$E$964)),IF(LEN(INDEX('Vendor COIs'!$O$4:$O$503,(_calc!$E$964-500)))=0,"",INDEX('Vendor COIs'!$O$4:$O$503,(_calc!$E$964-500)))))</f>
        <v/>
      </c>
      <c r="H962" s="46">
        <f>IF(_calc!$E$964="","",IF(_calc!$E$964&lt;=500,IF(LEN(INDEX('Our policies'!$G$4:$G$503,_calc!$E$964))=0,"",INDEX('Our policies'!$G$4:$G$503,_calc!$E$964)),""))</f>
        <v/>
      </c>
      <c r="I962" s="46">
        <f>IF(_calc!$E$964="","",IF(_calc!$E$964&lt;=500,IF(LEN(INDEX('Our policies'!$H$4:$H$503,_calc!$E$964))=0,"",INDEX('Our policies'!$H$4:$H$503,_calc!$E$964)),""))</f>
        <v/>
      </c>
      <c r="K962" s="46">
        <f>IF(_calc!$E$964="","",IF(_calc!$E$964&lt;=500,IF(LEN(INDEX('Our policies'!$P$4:$P$503,_calc!$E$964))=0,"",INDEX('Our policies'!$P$4:$P$503,_calc!$E$964)),IF(LEN(INDEX('Vendor COIs'!$N$4:$N$503,(_calc!$E$964-500)))=0,"",INDEX('Vendor COIs'!$N$4:$N$503,(_calc!$E$964-500)))))</f>
        <v/>
      </c>
    </row>
    <row r="963">
      <c r="A963" s="46">
        <f>IF(_calc!$E$965="","",IF(_calc!$E$965&lt;=500,IF(LEN(INDEX('Our policies'!$A$4:$A$503,_calc!$E$965))=0,"",INDEX('Our policies'!$A$4:$A$503,_calc!$E$965)),"COI – "&amp;IF(LEN(INDEX('Vendor COIs'!$A$4:$A$503,(_calc!$E$965-500)))=0,"",INDEX('Vendor COIs'!$A$4:$A$503,(_calc!$E$965-500)))&amp;" – "&amp;IF(LEN(INDEX('Vendor COIs'!$B$4:$B$503,(_calc!$E$965-500)))=0,"",INDEX('Vendor COIs'!$B$4:$B$503,(_calc!$E$965-500)))))</f>
        <v/>
      </c>
      <c r="B963" s="46">
        <f>IF(_calc!$E$965="","",IF(_calc!$E$965&lt;=500,IF(ISNUMBER(INDEX('Our policies'!$J$4:$J$503,_calc!$E$965)),TEXT(INDEX('Our policies'!$J$4:$J$503,_calc!$E$965),"yyyy-mm-dd"),""),IF(ISNUMBER(INDEX('Vendor COIs'!$H$4:$H$503,(_calc!$E$965-500))),TEXT(INDEX('Vendor COIs'!$H$4:$H$503,(_calc!$E$965-500)),"yyyy-mm-dd"),"")))</f>
        <v/>
      </c>
      <c r="C963" s="46">
        <f>IF(_calc!$E$965="","",IF(_calc!$E$965&lt;=500,"Insurance","Certificate of insurance"))</f>
        <v/>
      </c>
      <c r="D963" s="46">
        <f>IF(_calc!$E$965="","",IF(_calc!$E$965&lt;=500,IF(ISNUMBER(INDEX('Our policies'!$I$4:$I$503,_calc!$E$965)),TEXT(INDEX('Our policies'!$I$4:$I$503,_calc!$E$965),"yyyy-mm-dd"),""),""))</f>
        <v/>
      </c>
      <c r="E963" s="46">
        <f>IF(_calc!$E$965="","",IF(_calc!$E$965&lt;=500,IF(LEN(INDEX('Our policies'!$Q$4:$Q$503,_calc!$E$965))=0,"",INDEX('Our policies'!$Q$4:$Q$503,_calc!$E$965)),"Medium"))</f>
        <v/>
      </c>
      <c r="F963" s="46">
        <f>IF(_calc!$E$965="","",IF(_calc!$E$965&lt;=500,TRIM(IF(LEN(IF(LEN(INDEX('Our policies'!$B$4:$B$503,_calc!$E$965))=0,"",INDEX('Our policies'!$B$4:$B$503,_calc!$E$965)))=0,"","Cover: "&amp;IF(LEN(INDEX('Our policies'!$B$4:$B$503,_calc!$E$965))=0,"",INDEX('Our policies'!$B$4:$B$503,_calc!$E$965))&amp;". ")&amp;IF(LEN(IF(LEN(INDEX('Our policies'!$C$4:$C$503,_calc!$E$965))=0,"",INDEX('Our policies'!$C$4:$C$503,_calc!$E$965)))=0,"","Insurer: "&amp;IF(LEN(INDEX('Our policies'!$C$4:$C$503,_calc!$E$965))=0,"",INDEX('Our policies'!$C$4:$C$503,_calc!$E$965))&amp;". ")&amp;IF(LEN(IF(LEN(INDEX('Our policies'!$D$4:$D$503,_calc!$E$965))=0,"",INDEX('Our policies'!$D$4:$D$503,_calc!$E$965)))=0,"","Broker: "&amp;IF(LEN(INDEX('Our policies'!$D$4:$D$503,_calc!$E$965))=0,"",INDEX('Our policies'!$D$4:$D$503,_calc!$E$965))&amp;". ")&amp;IF(LEN(IF(LEN(INDEX('Our policies'!$E$4:$E$503,_calc!$E$965))=0,"",INDEX('Our policies'!$E$4:$E$503,_calc!$E$965)))=0,"","Policy no.: "&amp;IF(LEN(INDEX('Our policies'!$E$4:$E$503,_calc!$E$965))=0,"",INDEX('Our policies'!$E$4:$E$503,_calc!$E$965))&amp;". ")&amp;IF(LEN(IF(LEN(INDEX('Our policies'!$S$4:$S$503,_calc!$E$965))=0,"",INDEX('Our policies'!$S$4:$S$503,_calc!$E$965)))=0,"",IF(LEN(INDEX('Our policies'!$S$4:$S$503,_calc!$E$965))=0,"",INDEX('Our policies'!$S$4:$S$503,_calc!$E$965)))),TRIM(IF(LEN(IF(LEN(INDEX('Vendor COIs'!$C$4:$C$503,(_calc!$E$965-500)))=0,"",INDEX('Vendor COIs'!$C$4:$C$503,(_calc!$E$965-500))))=0,"","Insurer: "&amp;IF(LEN(INDEX('Vendor COIs'!$C$4:$C$503,(_calc!$E$965-500)))=0,"",INDEX('Vendor COIs'!$C$4:$C$503,(_calc!$E$965-500)))&amp;". ")&amp;IF(LEN(IF(LEN(INDEX('Vendor COIs'!$D$4:$D$503,(_calc!$E$965-500)))=0,"",INDEX('Vendor COIs'!$D$4:$D$503,(_calc!$E$965-500))))=0,"","Policy no.: "&amp;IF(LEN(INDEX('Vendor COIs'!$D$4:$D$503,(_calc!$E$965-500)))=0,"",INDEX('Vendor COIs'!$D$4:$D$503,(_calc!$E$965-500)))&amp;". ")&amp;IF(LEN(IF(LEN(INDEX('Vendor COIs'!$F$4:$F$503,(_calc!$E$965-500)))=0,"",INDEX('Vendor COIs'!$F$4:$F$503,(_calc!$E$965-500))))=0,"","Meets minimum: "&amp;IF(LEN(INDEX('Vendor COIs'!$F$4:$F$503,(_calc!$E$965-500)))=0,"",INDEX('Vendor COIs'!$F$4:$F$503,(_calc!$E$965-500)))&amp;". ")&amp;IF(LEN(IF(LEN(INDEX('Vendor COIs'!$G$4:$G$503,(_calc!$E$965-500)))=0,"",INDEX('Vendor COIs'!$G$4:$G$503,(_calc!$E$965-500))))=0,"","Additional insured: "&amp;IF(LEN(INDEX('Vendor COIs'!$G$4:$G$503,(_calc!$E$965-500)))=0,"",INDEX('Vendor COIs'!$G$4:$G$503,(_calc!$E$965-500)))&amp;". ")&amp;IF(LEN(IF(LEN(INDEX('Vendor COIs'!$M$4:$M$503,(_calc!$E$965-500)))=0,"",INDEX('Vendor COIs'!$M$4:$M$503,(_calc!$E$965-500))))=0,"","Vendor contact: "&amp;IF(LEN(INDEX('Vendor COIs'!$M$4:$M$503,(_calc!$E$965-500)))=0,"",INDEX('Vendor COIs'!$M$4:$M$503,(_calc!$E$965-500)))&amp;". ")&amp;IF(LEN(IF(LEN(INDEX('Vendor COIs'!$P$4:$P$503,(_calc!$E$965-500)))=0,"",INDEX('Vendor COIs'!$P$4:$P$503,(_calc!$E$965-500))))=0,"",IF(LEN(INDEX('Vendor COIs'!$P$4:$P$503,(_calc!$E$965-500)))=0,"",INDEX('Vendor COIs'!$P$4:$P$503,(_calc!$E$965-500)))))))</f>
        <v/>
      </c>
      <c r="G963" s="46">
        <f>IF(_calc!$E$965="","",IF(_calc!$E$965&lt;=500,IF(LEN(INDEX('Our policies'!$R$4:$R$503,_calc!$E$965))=0,"",INDEX('Our policies'!$R$4:$R$503,_calc!$E$965)),IF(LEN(INDEX('Vendor COIs'!$O$4:$O$503,(_calc!$E$965-500)))=0,"",INDEX('Vendor COIs'!$O$4:$O$503,(_calc!$E$965-500)))))</f>
        <v/>
      </c>
      <c r="H963" s="46">
        <f>IF(_calc!$E$965="","",IF(_calc!$E$965&lt;=500,IF(LEN(INDEX('Our policies'!$G$4:$G$503,_calc!$E$965))=0,"",INDEX('Our policies'!$G$4:$G$503,_calc!$E$965)),""))</f>
        <v/>
      </c>
      <c r="I963" s="46">
        <f>IF(_calc!$E$965="","",IF(_calc!$E$965&lt;=500,IF(LEN(INDEX('Our policies'!$H$4:$H$503,_calc!$E$965))=0,"",INDEX('Our policies'!$H$4:$H$503,_calc!$E$965)),""))</f>
        <v/>
      </c>
      <c r="K963" s="46">
        <f>IF(_calc!$E$965="","",IF(_calc!$E$965&lt;=500,IF(LEN(INDEX('Our policies'!$P$4:$P$503,_calc!$E$965))=0,"",INDEX('Our policies'!$P$4:$P$503,_calc!$E$965)),IF(LEN(INDEX('Vendor COIs'!$N$4:$N$503,(_calc!$E$965-500)))=0,"",INDEX('Vendor COIs'!$N$4:$N$503,(_calc!$E$965-500)))))</f>
        <v/>
      </c>
    </row>
    <row r="964">
      <c r="A964" s="46">
        <f>IF(_calc!$E$966="","",IF(_calc!$E$966&lt;=500,IF(LEN(INDEX('Our policies'!$A$4:$A$503,_calc!$E$966))=0,"",INDEX('Our policies'!$A$4:$A$503,_calc!$E$966)),"COI – "&amp;IF(LEN(INDEX('Vendor COIs'!$A$4:$A$503,(_calc!$E$966-500)))=0,"",INDEX('Vendor COIs'!$A$4:$A$503,(_calc!$E$966-500)))&amp;" – "&amp;IF(LEN(INDEX('Vendor COIs'!$B$4:$B$503,(_calc!$E$966-500)))=0,"",INDEX('Vendor COIs'!$B$4:$B$503,(_calc!$E$966-500)))))</f>
        <v/>
      </c>
      <c r="B964" s="46">
        <f>IF(_calc!$E$966="","",IF(_calc!$E$966&lt;=500,IF(ISNUMBER(INDEX('Our policies'!$J$4:$J$503,_calc!$E$966)),TEXT(INDEX('Our policies'!$J$4:$J$503,_calc!$E$966),"yyyy-mm-dd"),""),IF(ISNUMBER(INDEX('Vendor COIs'!$H$4:$H$503,(_calc!$E$966-500))),TEXT(INDEX('Vendor COIs'!$H$4:$H$503,(_calc!$E$966-500)),"yyyy-mm-dd"),"")))</f>
        <v/>
      </c>
      <c r="C964" s="46">
        <f>IF(_calc!$E$966="","",IF(_calc!$E$966&lt;=500,"Insurance","Certificate of insurance"))</f>
        <v/>
      </c>
      <c r="D964" s="46">
        <f>IF(_calc!$E$966="","",IF(_calc!$E$966&lt;=500,IF(ISNUMBER(INDEX('Our policies'!$I$4:$I$503,_calc!$E$966)),TEXT(INDEX('Our policies'!$I$4:$I$503,_calc!$E$966),"yyyy-mm-dd"),""),""))</f>
        <v/>
      </c>
      <c r="E964" s="46">
        <f>IF(_calc!$E$966="","",IF(_calc!$E$966&lt;=500,IF(LEN(INDEX('Our policies'!$Q$4:$Q$503,_calc!$E$966))=0,"",INDEX('Our policies'!$Q$4:$Q$503,_calc!$E$966)),"Medium"))</f>
        <v/>
      </c>
      <c r="F964" s="46">
        <f>IF(_calc!$E$966="","",IF(_calc!$E$966&lt;=500,TRIM(IF(LEN(IF(LEN(INDEX('Our policies'!$B$4:$B$503,_calc!$E$966))=0,"",INDEX('Our policies'!$B$4:$B$503,_calc!$E$966)))=0,"","Cover: "&amp;IF(LEN(INDEX('Our policies'!$B$4:$B$503,_calc!$E$966))=0,"",INDEX('Our policies'!$B$4:$B$503,_calc!$E$966))&amp;". ")&amp;IF(LEN(IF(LEN(INDEX('Our policies'!$C$4:$C$503,_calc!$E$966))=0,"",INDEX('Our policies'!$C$4:$C$503,_calc!$E$966)))=0,"","Insurer: "&amp;IF(LEN(INDEX('Our policies'!$C$4:$C$503,_calc!$E$966))=0,"",INDEX('Our policies'!$C$4:$C$503,_calc!$E$966))&amp;". ")&amp;IF(LEN(IF(LEN(INDEX('Our policies'!$D$4:$D$503,_calc!$E$966))=0,"",INDEX('Our policies'!$D$4:$D$503,_calc!$E$966)))=0,"","Broker: "&amp;IF(LEN(INDEX('Our policies'!$D$4:$D$503,_calc!$E$966))=0,"",INDEX('Our policies'!$D$4:$D$503,_calc!$E$966))&amp;". ")&amp;IF(LEN(IF(LEN(INDEX('Our policies'!$E$4:$E$503,_calc!$E$966))=0,"",INDEX('Our policies'!$E$4:$E$503,_calc!$E$966)))=0,"","Policy no.: "&amp;IF(LEN(INDEX('Our policies'!$E$4:$E$503,_calc!$E$966))=0,"",INDEX('Our policies'!$E$4:$E$503,_calc!$E$966))&amp;". ")&amp;IF(LEN(IF(LEN(INDEX('Our policies'!$S$4:$S$503,_calc!$E$966))=0,"",INDEX('Our policies'!$S$4:$S$503,_calc!$E$966)))=0,"",IF(LEN(INDEX('Our policies'!$S$4:$S$503,_calc!$E$966))=0,"",INDEX('Our policies'!$S$4:$S$503,_calc!$E$966)))),TRIM(IF(LEN(IF(LEN(INDEX('Vendor COIs'!$C$4:$C$503,(_calc!$E$966-500)))=0,"",INDEX('Vendor COIs'!$C$4:$C$503,(_calc!$E$966-500))))=0,"","Insurer: "&amp;IF(LEN(INDEX('Vendor COIs'!$C$4:$C$503,(_calc!$E$966-500)))=0,"",INDEX('Vendor COIs'!$C$4:$C$503,(_calc!$E$966-500)))&amp;". ")&amp;IF(LEN(IF(LEN(INDEX('Vendor COIs'!$D$4:$D$503,(_calc!$E$966-500)))=0,"",INDEX('Vendor COIs'!$D$4:$D$503,(_calc!$E$966-500))))=0,"","Policy no.: "&amp;IF(LEN(INDEX('Vendor COIs'!$D$4:$D$503,(_calc!$E$966-500)))=0,"",INDEX('Vendor COIs'!$D$4:$D$503,(_calc!$E$966-500)))&amp;". ")&amp;IF(LEN(IF(LEN(INDEX('Vendor COIs'!$F$4:$F$503,(_calc!$E$966-500)))=0,"",INDEX('Vendor COIs'!$F$4:$F$503,(_calc!$E$966-500))))=0,"","Meets minimum: "&amp;IF(LEN(INDEX('Vendor COIs'!$F$4:$F$503,(_calc!$E$966-500)))=0,"",INDEX('Vendor COIs'!$F$4:$F$503,(_calc!$E$966-500)))&amp;". ")&amp;IF(LEN(IF(LEN(INDEX('Vendor COIs'!$G$4:$G$503,(_calc!$E$966-500)))=0,"",INDEX('Vendor COIs'!$G$4:$G$503,(_calc!$E$966-500))))=0,"","Additional insured: "&amp;IF(LEN(INDEX('Vendor COIs'!$G$4:$G$503,(_calc!$E$966-500)))=0,"",INDEX('Vendor COIs'!$G$4:$G$503,(_calc!$E$966-500)))&amp;". ")&amp;IF(LEN(IF(LEN(INDEX('Vendor COIs'!$M$4:$M$503,(_calc!$E$966-500)))=0,"",INDEX('Vendor COIs'!$M$4:$M$503,(_calc!$E$966-500))))=0,"","Vendor contact: "&amp;IF(LEN(INDEX('Vendor COIs'!$M$4:$M$503,(_calc!$E$966-500)))=0,"",INDEX('Vendor COIs'!$M$4:$M$503,(_calc!$E$966-500)))&amp;". ")&amp;IF(LEN(IF(LEN(INDEX('Vendor COIs'!$P$4:$P$503,(_calc!$E$966-500)))=0,"",INDEX('Vendor COIs'!$P$4:$P$503,(_calc!$E$966-500))))=0,"",IF(LEN(INDEX('Vendor COIs'!$P$4:$P$503,(_calc!$E$966-500)))=0,"",INDEX('Vendor COIs'!$P$4:$P$503,(_calc!$E$966-500)))))))</f>
        <v/>
      </c>
      <c r="G964" s="46">
        <f>IF(_calc!$E$966="","",IF(_calc!$E$966&lt;=500,IF(LEN(INDEX('Our policies'!$R$4:$R$503,_calc!$E$966))=0,"",INDEX('Our policies'!$R$4:$R$503,_calc!$E$966)),IF(LEN(INDEX('Vendor COIs'!$O$4:$O$503,(_calc!$E$966-500)))=0,"",INDEX('Vendor COIs'!$O$4:$O$503,(_calc!$E$966-500)))))</f>
        <v/>
      </c>
      <c r="H964" s="46">
        <f>IF(_calc!$E$966="","",IF(_calc!$E$966&lt;=500,IF(LEN(INDEX('Our policies'!$G$4:$G$503,_calc!$E$966))=0,"",INDEX('Our policies'!$G$4:$G$503,_calc!$E$966)),""))</f>
        <v/>
      </c>
      <c r="I964" s="46">
        <f>IF(_calc!$E$966="","",IF(_calc!$E$966&lt;=500,IF(LEN(INDEX('Our policies'!$H$4:$H$503,_calc!$E$966))=0,"",INDEX('Our policies'!$H$4:$H$503,_calc!$E$966)),""))</f>
        <v/>
      </c>
      <c r="K964" s="46">
        <f>IF(_calc!$E$966="","",IF(_calc!$E$966&lt;=500,IF(LEN(INDEX('Our policies'!$P$4:$P$503,_calc!$E$966))=0,"",INDEX('Our policies'!$P$4:$P$503,_calc!$E$966)),IF(LEN(INDEX('Vendor COIs'!$N$4:$N$503,(_calc!$E$966-500)))=0,"",INDEX('Vendor COIs'!$N$4:$N$503,(_calc!$E$966-500)))))</f>
        <v/>
      </c>
    </row>
    <row r="965">
      <c r="A965" s="46">
        <f>IF(_calc!$E$967="","",IF(_calc!$E$967&lt;=500,IF(LEN(INDEX('Our policies'!$A$4:$A$503,_calc!$E$967))=0,"",INDEX('Our policies'!$A$4:$A$503,_calc!$E$967)),"COI – "&amp;IF(LEN(INDEX('Vendor COIs'!$A$4:$A$503,(_calc!$E$967-500)))=0,"",INDEX('Vendor COIs'!$A$4:$A$503,(_calc!$E$967-500)))&amp;" – "&amp;IF(LEN(INDEX('Vendor COIs'!$B$4:$B$503,(_calc!$E$967-500)))=0,"",INDEX('Vendor COIs'!$B$4:$B$503,(_calc!$E$967-500)))))</f>
        <v/>
      </c>
      <c r="B965" s="46">
        <f>IF(_calc!$E$967="","",IF(_calc!$E$967&lt;=500,IF(ISNUMBER(INDEX('Our policies'!$J$4:$J$503,_calc!$E$967)),TEXT(INDEX('Our policies'!$J$4:$J$503,_calc!$E$967),"yyyy-mm-dd"),""),IF(ISNUMBER(INDEX('Vendor COIs'!$H$4:$H$503,(_calc!$E$967-500))),TEXT(INDEX('Vendor COIs'!$H$4:$H$503,(_calc!$E$967-500)),"yyyy-mm-dd"),"")))</f>
        <v/>
      </c>
      <c r="C965" s="46">
        <f>IF(_calc!$E$967="","",IF(_calc!$E$967&lt;=500,"Insurance","Certificate of insurance"))</f>
        <v/>
      </c>
      <c r="D965" s="46">
        <f>IF(_calc!$E$967="","",IF(_calc!$E$967&lt;=500,IF(ISNUMBER(INDEX('Our policies'!$I$4:$I$503,_calc!$E$967)),TEXT(INDEX('Our policies'!$I$4:$I$503,_calc!$E$967),"yyyy-mm-dd"),""),""))</f>
        <v/>
      </c>
      <c r="E965" s="46">
        <f>IF(_calc!$E$967="","",IF(_calc!$E$967&lt;=500,IF(LEN(INDEX('Our policies'!$Q$4:$Q$503,_calc!$E$967))=0,"",INDEX('Our policies'!$Q$4:$Q$503,_calc!$E$967)),"Medium"))</f>
        <v/>
      </c>
      <c r="F965" s="46">
        <f>IF(_calc!$E$967="","",IF(_calc!$E$967&lt;=500,TRIM(IF(LEN(IF(LEN(INDEX('Our policies'!$B$4:$B$503,_calc!$E$967))=0,"",INDEX('Our policies'!$B$4:$B$503,_calc!$E$967)))=0,"","Cover: "&amp;IF(LEN(INDEX('Our policies'!$B$4:$B$503,_calc!$E$967))=0,"",INDEX('Our policies'!$B$4:$B$503,_calc!$E$967))&amp;". ")&amp;IF(LEN(IF(LEN(INDEX('Our policies'!$C$4:$C$503,_calc!$E$967))=0,"",INDEX('Our policies'!$C$4:$C$503,_calc!$E$967)))=0,"","Insurer: "&amp;IF(LEN(INDEX('Our policies'!$C$4:$C$503,_calc!$E$967))=0,"",INDEX('Our policies'!$C$4:$C$503,_calc!$E$967))&amp;". ")&amp;IF(LEN(IF(LEN(INDEX('Our policies'!$D$4:$D$503,_calc!$E$967))=0,"",INDEX('Our policies'!$D$4:$D$503,_calc!$E$967)))=0,"","Broker: "&amp;IF(LEN(INDEX('Our policies'!$D$4:$D$503,_calc!$E$967))=0,"",INDEX('Our policies'!$D$4:$D$503,_calc!$E$967))&amp;". ")&amp;IF(LEN(IF(LEN(INDEX('Our policies'!$E$4:$E$503,_calc!$E$967))=0,"",INDEX('Our policies'!$E$4:$E$503,_calc!$E$967)))=0,"","Policy no.: "&amp;IF(LEN(INDEX('Our policies'!$E$4:$E$503,_calc!$E$967))=0,"",INDEX('Our policies'!$E$4:$E$503,_calc!$E$967))&amp;". ")&amp;IF(LEN(IF(LEN(INDEX('Our policies'!$S$4:$S$503,_calc!$E$967))=0,"",INDEX('Our policies'!$S$4:$S$503,_calc!$E$967)))=0,"",IF(LEN(INDEX('Our policies'!$S$4:$S$503,_calc!$E$967))=0,"",INDEX('Our policies'!$S$4:$S$503,_calc!$E$967)))),TRIM(IF(LEN(IF(LEN(INDEX('Vendor COIs'!$C$4:$C$503,(_calc!$E$967-500)))=0,"",INDEX('Vendor COIs'!$C$4:$C$503,(_calc!$E$967-500))))=0,"","Insurer: "&amp;IF(LEN(INDEX('Vendor COIs'!$C$4:$C$503,(_calc!$E$967-500)))=0,"",INDEX('Vendor COIs'!$C$4:$C$503,(_calc!$E$967-500)))&amp;". ")&amp;IF(LEN(IF(LEN(INDEX('Vendor COIs'!$D$4:$D$503,(_calc!$E$967-500)))=0,"",INDEX('Vendor COIs'!$D$4:$D$503,(_calc!$E$967-500))))=0,"","Policy no.: "&amp;IF(LEN(INDEX('Vendor COIs'!$D$4:$D$503,(_calc!$E$967-500)))=0,"",INDEX('Vendor COIs'!$D$4:$D$503,(_calc!$E$967-500)))&amp;". ")&amp;IF(LEN(IF(LEN(INDEX('Vendor COIs'!$F$4:$F$503,(_calc!$E$967-500)))=0,"",INDEX('Vendor COIs'!$F$4:$F$503,(_calc!$E$967-500))))=0,"","Meets minimum: "&amp;IF(LEN(INDEX('Vendor COIs'!$F$4:$F$503,(_calc!$E$967-500)))=0,"",INDEX('Vendor COIs'!$F$4:$F$503,(_calc!$E$967-500)))&amp;". ")&amp;IF(LEN(IF(LEN(INDEX('Vendor COIs'!$G$4:$G$503,(_calc!$E$967-500)))=0,"",INDEX('Vendor COIs'!$G$4:$G$503,(_calc!$E$967-500))))=0,"","Additional insured: "&amp;IF(LEN(INDEX('Vendor COIs'!$G$4:$G$503,(_calc!$E$967-500)))=0,"",INDEX('Vendor COIs'!$G$4:$G$503,(_calc!$E$967-500)))&amp;". ")&amp;IF(LEN(IF(LEN(INDEX('Vendor COIs'!$M$4:$M$503,(_calc!$E$967-500)))=0,"",INDEX('Vendor COIs'!$M$4:$M$503,(_calc!$E$967-500))))=0,"","Vendor contact: "&amp;IF(LEN(INDEX('Vendor COIs'!$M$4:$M$503,(_calc!$E$967-500)))=0,"",INDEX('Vendor COIs'!$M$4:$M$503,(_calc!$E$967-500)))&amp;". ")&amp;IF(LEN(IF(LEN(INDEX('Vendor COIs'!$P$4:$P$503,(_calc!$E$967-500)))=0,"",INDEX('Vendor COIs'!$P$4:$P$503,(_calc!$E$967-500))))=0,"",IF(LEN(INDEX('Vendor COIs'!$P$4:$P$503,(_calc!$E$967-500)))=0,"",INDEX('Vendor COIs'!$P$4:$P$503,(_calc!$E$967-500)))))))</f>
        <v/>
      </c>
      <c r="G965" s="46">
        <f>IF(_calc!$E$967="","",IF(_calc!$E$967&lt;=500,IF(LEN(INDEX('Our policies'!$R$4:$R$503,_calc!$E$967))=0,"",INDEX('Our policies'!$R$4:$R$503,_calc!$E$967)),IF(LEN(INDEX('Vendor COIs'!$O$4:$O$503,(_calc!$E$967-500)))=0,"",INDEX('Vendor COIs'!$O$4:$O$503,(_calc!$E$967-500)))))</f>
        <v/>
      </c>
      <c r="H965" s="46">
        <f>IF(_calc!$E$967="","",IF(_calc!$E$967&lt;=500,IF(LEN(INDEX('Our policies'!$G$4:$G$503,_calc!$E$967))=0,"",INDEX('Our policies'!$G$4:$G$503,_calc!$E$967)),""))</f>
        <v/>
      </c>
      <c r="I965" s="46">
        <f>IF(_calc!$E$967="","",IF(_calc!$E$967&lt;=500,IF(LEN(INDEX('Our policies'!$H$4:$H$503,_calc!$E$967))=0,"",INDEX('Our policies'!$H$4:$H$503,_calc!$E$967)),""))</f>
        <v/>
      </c>
      <c r="K965" s="46">
        <f>IF(_calc!$E$967="","",IF(_calc!$E$967&lt;=500,IF(LEN(INDEX('Our policies'!$P$4:$P$503,_calc!$E$967))=0,"",INDEX('Our policies'!$P$4:$P$503,_calc!$E$967)),IF(LEN(INDEX('Vendor COIs'!$N$4:$N$503,(_calc!$E$967-500)))=0,"",INDEX('Vendor COIs'!$N$4:$N$503,(_calc!$E$967-500)))))</f>
        <v/>
      </c>
    </row>
    <row r="966">
      <c r="A966" s="46">
        <f>IF(_calc!$E$968="","",IF(_calc!$E$968&lt;=500,IF(LEN(INDEX('Our policies'!$A$4:$A$503,_calc!$E$968))=0,"",INDEX('Our policies'!$A$4:$A$503,_calc!$E$968)),"COI – "&amp;IF(LEN(INDEX('Vendor COIs'!$A$4:$A$503,(_calc!$E$968-500)))=0,"",INDEX('Vendor COIs'!$A$4:$A$503,(_calc!$E$968-500)))&amp;" – "&amp;IF(LEN(INDEX('Vendor COIs'!$B$4:$B$503,(_calc!$E$968-500)))=0,"",INDEX('Vendor COIs'!$B$4:$B$503,(_calc!$E$968-500)))))</f>
        <v/>
      </c>
      <c r="B966" s="46">
        <f>IF(_calc!$E$968="","",IF(_calc!$E$968&lt;=500,IF(ISNUMBER(INDEX('Our policies'!$J$4:$J$503,_calc!$E$968)),TEXT(INDEX('Our policies'!$J$4:$J$503,_calc!$E$968),"yyyy-mm-dd"),""),IF(ISNUMBER(INDEX('Vendor COIs'!$H$4:$H$503,(_calc!$E$968-500))),TEXT(INDEX('Vendor COIs'!$H$4:$H$503,(_calc!$E$968-500)),"yyyy-mm-dd"),"")))</f>
        <v/>
      </c>
      <c r="C966" s="46">
        <f>IF(_calc!$E$968="","",IF(_calc!$E$968&lt;=500,"Insurance","Certificate of insurance"))</f>
        <v/>
      </c>
      <c r="D966" s="46">
        <f>IF(_calc!$E$968="","",IF(_calc!$E$968&lt;=500,IF(ISNUMBER(INDEX('Our policies'!$I$4:$I$503,_calc!$E$968)),TEXT(INDEX('Our policies'!$I$4:$I$503,_calc!$E$968),"yyyy-mm-dd"),""),""))</f>
        <v/>
      </c>
      <c r="E966" s="46">
        <f>IF(_calc!$E$968="","",IF(_calc!$E$968&lt;=500,IF(LEN(INDEX('Our policies'!$Q$4:$Q$503,_calc!$E$968))=0,"",INDEX('Our policies'!$Q$4:$Q$503,_calc!$E$968)),"Medium"))</f>
        <v/>
      </c>
      <c r="F966" s="46">
        <f>IF(_calc!$E$968="","",IF(_calc!$E$968&lt;=500,TRIM(IF(LEN(IF(LEN(INDEX('Our policies'!$B$4:$B$503,_calc!$E$968))=0,"",INDEX('Our policies'!$B$4:$B$503,_calc!$E$968)))=0,"","Cover: "&amp;IF(LEN(INDEX('Our policies'!$B$4:$B$503,_calc!$E$968))=0,"",INDEX('Our policies'!$B$4:$B$503,_calc!$E$968))&amp;". ")&amp;IF(LEN(IF(LEN(INDEX('Our policies'!$C$4:$C$503,_calc!$E$968))=0,"",INDEX('Our policies'!$C$4:$C$503,_calc!$E$968)))=0,"","Insurer: "&amp;IF(LEN(INDEX('Our policies'!$C$4:$C$503,_calc!$E$968))=0,"",INDEX('Our policies'!$C$4:$C$503,_calc!$E$968))&amp;". ")&amp;IF(LEN(IF(LEN(INDEX('Our policies'!$D$4:$D$503,_calc!$E$968))=0,"",INDEX('Our policies'!$D$4:$D$503,_calc!$E$968)))=0,"","Broker: "&amp;IF(LEN(INDEX('Our policies'!$D$4:$D$503,_calc!$E$968))=0,"",INDEX('Our policies'!$D$4:$D$503,_calc!$E$968))&amp;". ")&amp;IF(LEN(IF(LEN(INDEX('Our policies'!$E$4:$E$503,_calc!$E$968))=0,"",INDEX('Our policies'!$E$4:$E$503,_calc!$E$968)))=0,"","Policy no.: "&amp;IF(LEN(INDEX('Our policies'!$E$4:$E$503,_calc!$E$968))=0,"",INDEX('Our policies'!$E$4:$E$503,_calc!$E$968))&amp;". ")&amp;IF(LEN(IF(LEN(INDEX('Our policies'!$S$4:$S$503,_calc!$E$968))=0,"",INDEX('Our policies'!$S$4:$S$503,_calc!$E$968)))=0,"",IF(LEN(INDEX('Our policies'!$S$4:$S$503,_calc!$E$968))=0,"",INDEX('Our policies'!$S$4:$S$503,_calc!$E$968)))),TRIM(IF(LEN(IF(LEN(INDEX('Vendor COIs'!$C$4:$C$503,(_calc!$E$968-500)))=0,"",INDEX('Vendor COIs'!$C$4:$C$503,(_calc!$E$968-500))))=0,"","Insurer: "&amp;IF(LEN(INDEX('Vendor COIs'!$C$4:$C$503,(_calc!$E$968-500)))=0,"",INDEX('Vendor COIs'!$C$4:$C$503,(_calc!$E$968-500)))&amp;". ")&amp;IF(LEN(IF(LEN(INDEX('Vendor COIs'!$D$4:$D$503,(_calc!$E$968-500)))=0,"",INDEX('Vendor COIs'!$D$4:$D$503,(_calc!$E$968-500))))=0,"","Policy no.: "&amp;IF(LEN(INDEX('Vendor COIs'!$D$4:$D$503,(_calc!$E$968-500)))=0,"",INDEX('Vendor COIs'!$D$4:$D$503,(_calc!$E$968-500)))&amp;". ")&amp;IF(LEN(IF(LEN(INDEX('Vendor COIs'!$F$4:$F$503,(_calc!$E$968-500)))=0,"",INDEX('Vendor COIs'!$F$4:$F$503,(_calc!$E$968-500))))=0,"","Meets minimum: "&amp;IF(LEN(INDEX('Vendor COIs'!$F$4:$F$503,(_calc!$E$968-500)))=0,"",INDEX('Vendor COIs'!$F$4:$F$503,(_calc!$E$968-500)))&amp;". ")&amp;IF(LEN(IF(LEN(INDEX('Vendor COIs'!$G$4:$G$503,(_calc!$E$968-500)))=0,"",INDEX('Vendor COIs'!$G$4:$G$503,(_calc!$E$968-500))))=0,"","Additional insured: "&amp;IF(LEN(INDEX('Vendor COIs'!$G$4:$G$503,(_calc!$E$968-500)))=0,"",INDEX('Vendor COIs'!$G$4:$G$503,(_calc!$E$968-500)))&amp;". ")&amp;IF(LEN(IF(LEN(INDEX('Vendor COIs'!$M$4:$M$503,(_calc!$E$968-500)))=0,"",INDEX('Vendor COIs'!$M$4:$M$503,(_calc!$E$968-500))))=0,"","Vendor contact: "&amp;IF(LEN(INDEX('Vendor COIs'!$M$4:$M$503,(_calc!$E$968-500)))=0,"",INDEX('Vendor COIs'!$M$4:$M$503,(_calc!$E$968-500)))&amp;". ")&amp;IF(LEN(IF(LEN(INDEX('Vendor COIs'!$P$4:$P$503,(_calc!$E$968-500)))=0,"",INDEX('Vendor COIs'!$P$4:$P$503,(_calc!$E$968-500))))=0,"",IF(LEN(INDEX('Vendor COIs'!$P$4:$P$503,(_calc!$E$968-500)))=0,"",INDEX('Vendor COIs'!$P$4:$P$503,(_calc!$E$968-500)))))))</f>
        <v/>
      </c>
      <c r="G966" s="46">
        <f>IF(_calc!$E$968="","",IF(_calc!$E$968&lt;=500,IF(LEN(INDEX('Our policies'!$R$4:$R$503,_calc!$E$968))=0,"",INDEX('Our policies'!$R$4:$R$503,_calc!$E$968)),IF(LEN(INDEX('Vendor COIs'!$O$4:$O$503,(_calc!$E$968-500)))=0,"",INDEX('Vendor COIs'!$O$4:$O$503,(_calc!$E$968-500)))))</f>
        <v/>
      </c>
      <c r="H966" s="46">
        <f>IF(_calc!$E$968="","",IF(_calc!$E$968&lt;=500,IF(LEN(INDEX('Our policies'!$G$4:$G$503,_calc!$E$968))=0,"",INDEX('Our policies'!$G$4:$G$503,_calc!$E$968)),""))</f>
        <v/>
      </c>
      <c r="I966" s="46">
        <f>IF(_calc!$E$968="","",IF(_calc!$E$968&lt;=500,IF(LEN(INDEX('Our policies'!$H$4:$H$503,_calc!$E$968))=0,"",INDEX('Our policies'!$H$4:$H$503,_calc!$E$968)),""))</f>
        <v/>
      </c>
      <c r="K966" s="46">
        <f>IF(_calc!$E$968="","",IF(_calc!$E$968&lt;=500,IF(LEN(INDEX('Our policies'!$P$4:$P$503,_calc!$E$968))=0,"",INDEX('Our policies'!$P$4:$P$503,_calc!$E$968)),IF(LEN(INDEX('Vendor COIs'!$N$4:$N$503,(_calc!$E$968-500)))=0,"",INDEX('Vendor COIs'!$N$4:$N$503,(_calc!$E$968-500)))))</f>
        <v/>
      </c>
    </row>
    <row r="967">
      <c r="A967" s="46">
        <f>IF(_calc!$E$969="","",IF(_calc!$E$969&lt;=500,IF(LEN(INDEX('Our policies'!$A$4:$A$503,_calc!$E$969))=0,"",INDEX('Our policies'!$A$4:$A$503,_calc!$E$969)),"COI – "&amp;IF(LEN(INDEX('Vendor COIs'!$A$4:$A$503,(_calc!$E$969-500)))=0,"",INDEX('Vendor COIs'!$A$4:$A$503,(_calc!$E$969-500)))&amp;" – "&amp;IF(LEN(INDEX('Vendor COIs'!$B$4:$B$503,(_calc!$E$969-500)))=0,"",INDEX('Vendor COIs'!$B$4:$B$503,(_calc!$E$969-500)))))</f>
        <v/>
      </c>
      <c r="B967" s="46">
        <f>IF(_calc!$E$969="","",IF(_calc!$E$969&lt;=500,IF(ISNUMBER(INDEX('Our policies'!$J$4:$J$503,_calc!$E$969)),TEXT(INDEX('Our policies'!$J$4:$J$503,_calc!$E$969),"yyyy-mm-dd"),""),IF(ISNUMBER(INDEX('Vendor COIs'!$H$4:$H$503,(_calc!$E$969-500))),TEXT(INDEX('Vendor COIs'!$H$4:$H$503,(_calc!$E$969-500)),"yyyy-mm-dd"),"")))</f>
        <v/>
      </c>
      <c r="C967" s="46">
        <f>IF(_calc!$E$969="","",IF(_calc!$E$969&lt;=500,"Insurance","Certificate of insurance"))</f>
        <v/>
      </c>
      <c r="D967" s="46">
        <f>IF(_calc!$E$969="","",IF(_calc!$E$969&lt;=500,IF(ISNUMBER(INDEX('Our policies'!$I$4:$I$503,_calc!$E$969)),TEXT(INDEX('Our policies'!$I$4:$I$503,_calc!$E$969),"yyyy-mm-dd"),""),""))</f>
        <v/>
      </c>
      <c r="E967" s="46">
        <f>IF(_calc!$E$969="","",IF(_calc!$E$969&lt;=500,IF(LEN(INDEX('Our policies'!$Q$4:$Q$503,_calc!$E$969))=0,"",INDEX('Our policies'!$Q$4:$Q$503,_calc!$E$969)),"Medium"))</f>
        <v/>
      </c>
      <c r="F967" s="46">
        <f>IF(_calc!$E$969="","",IF(_calc!$E$969&lt;=500,TRIM(IF(LEN(IF(LEN(INDEX('Our policies'!$B$4:$B$503,_calc!$E$969))=0,"",INDEX('Our policies'!$B$4:$B$503,_calc!$E$969)))=0,"","Cover: "&amp;IF(LEN(INDEX('Our policies'!$B$4:$B$503,_calc!$E$969))=0,"",INDEX('Our policies'!$B$4:$B$503,_calc!$E$969))&amp;". ")&amp;IF(LEN(IF(LEN(INDEX('Our policies'!$C$4:$C$503,_calc!$E$969))=0,"",INDEX('Our policies'!$C$4:$C$503,_calc!$E$969)))=0,"","Insurer: "&amp;IF(LEN(INDEX('Our policies'!$C$4:$C$503,_calc!$E$969))=0,"",INDEX('Our policies'!$C$4:$C$503,_calc!$E$969))&amp;". ")&amp;IF(LEN(IF(LEN(INDEX('Our policies'!$D$4:$D$503,_calc!$E$969))=0,"",INDEX('Our policies'!$D$4:$D$503,_calc!$E$969)))=0,"","Broker: "&amp;IF(LEN(INDEX('Our policies'!$D$4:$D$503,_calc!$E$969))=0,"",INDEX('Our policies'!$D$4:$D$503,_calc!$E$969))&amp;". ")&amp;IF(LEN(IF(LEN(INDEX('Our policies'!$E$4:$E$503,_calc!$E$969))=0,"",INDEX('Our policies'!$E$4:$E$503,_calc!$E$969)))=0,"","Policy no.: "&amp;IF(LEN(INDEX('Our policies'!$E$4:$E$503,_calc!$E$969))=0,"",INDEX('Our policies'!$E$4:$E$503,_calc!$E$969))&amp;". ")&amp;IF(LEN(IF(LEN(INDEX('Our policies'!$S$4:$S$503,_calc!$E$969))=0,"",INDEX('Our policies'!$S$4:$S$503,_calc!$E$969)))=0,"",IF(LEN(INDEX('Our policies'!$S$4:$S$503,_calc!$E$969))=0,"",INDEX('Our policies'!$S$4:$S$503,_calc!$E$969)))),TRIM(IF(LEN(IF(LEN(INDEX('Vendor COIs'!$C$4:$C$503,(_calc!$E$969-500)))=0,"",INDEX('Vendor COIs'!$C$4:$C$503,(_calc!$E$969-500))))=0,"","Insurer: "&amp;IF(LEN(INDEX('Vendor COIs'!$C$4:$C$503,(_calc!$E$969-500)))=0,"",INDEX('Vendor COIs'!$C$4:$C$503,(_calc!$E$969-500)))&amp;". ")&amp;IF(LEN(IF(LEN(INDEX('Vendor COIs'!$D$4:$D$503,(_calc!$E$969-500)))=0,"",INDEX('Vendor COIs'!$D$4:$D$503,(_calc!$E$969-500))))=0,"","Policy no.: "&amp;IF(LEN(INDEX('Vendor COIs'!$D$4:$D$503,(_calc!$E$969-500)))=0,"",INDEX('Vendor COIs'!$D$4:$D$503,(_calc!$E$969-500)))&amp;". ")&amp;IF(LEN(IF(LEN(INDEX('Vendor COIs'!$F$4:$F$503,(_calc!$E$969-500)))=0,"",INDEX('Vendor COIs'!$F$4:$F$503,(_calc!$E$969-500))))=0,"","Meets minimum: "&amp;IF(LEN(INDEX('Vendor COIs'!$F$4:$F$503,(_calc!$E$969-500)))=0,"",INDEX('Vendor COIs'!$F$4:$F$503,(_calc!$E$969-500)))&amp;". ")&amp;IF(LEN(IF(LEN(INDEX('Vendor COIs'!$G$4:$G$503,(_calc!$E$969-500)))=0,"",INDEX('Vendor COIs'!$G$4:$G$503,(_calc!$E$969-500))))=0,"","Additional insured: "&amp;IF(LEN(INDEX('Vendor COIs'!$G$4:$G$503,(_calc!$E$969-500)))=0,"",INDEX('Vendor COIs'!$G$4:$G$503,(_calc!$E$969-500)))&amp;". ")&amp;IF(LEN(IF(LEN(INDEX('Vendor COIs'!$M$4:$M$503,(_calc!$E$969-500)))=0,"",INDEX('Vendor COIs'!$M$4:$M$503,(_calc!$E$969-500))))=0,"","Vendor contact: "&amp;IF(LEN(INDEX('Vendor COIs'!$M$4:$M$503,(_calc!$E$969-500)))=0,"",INDEX('Vendor COIs'!$M$4:$M$503,(_calc!$E$969-500)))&amp;". ")&amp;IF(LEN(IF(LEN(INDEX('Vendor COIs'!$P$4:$P$503,(_calc!$E$969-500)))=0,"",INDEX('Vendor COIs'!$P$4:$P$503,(_calc!$E$969-500))))=0,"",IF(LEN(INDEX('Vendor COIs'!$P$4:$P$503,(_calc!$E$969-500)))=0,"",INDEX('Vendor COIs'!$P$4:$P$503,(_calc!$E$969-500)))))))</f>
        <v/>
      </c>
      <c r="G967" s="46">
        <f>IF(_calc!$E$969="","",IF(_calc!$E$969&lt;=500,IF(LEN(INDEX('Our policies'!$R$4:$R$503,_calc!$E$969))=0,"",INDEX('Our policies'!$R$4:$R$503,_calc!$E$969)),IF(LEN(INDEX('Vendor COIs'!$O$4:$O$503,(_calc!$E$969-500)))=0,"",INDEX('Vendor COIs'!$O$4:$O$503,(_calc!$E$969-500)))))</f>
        <v/>
      </c>
      <c r="H967" s="46">
        <f>IF(_calc!$E$969="","",IF(_calc!$E$969&lt;=500,IF(LEN(INDEX('Our policies'!$G$4:$G$503,_calc!$E$969))=0,"",INDEX('Our policies'!$G$4:$G$503,_calc!$E$969)),""))</f>
        <v/>
      </c>
      <c r="I967" s="46">
        <f>IF(_calc!$E$969="","",IF(_calc!$E$969&lt;=500,IF(LEN(INDEX('Our policies'!$H$4:$H$503,_calc!$E$969))=0,"",INDEX('Our policies'!$H$4:$H$503,_calc!$E$969)),""))</f>
        <v/>
      </c>
      <c r="K967" s="46">
        <f>IF(_calc!$E$969="","",IF(_calc!$E$969&lt;=500,IF(LEN(INDEX('Our policies'!$P$4:$P$503,_calc!$E$969))=0,"",INDEX('Our policies'!$P$4:$P$503,_calc!$E$969)),IF(LEN(INDEX('Vendor COIs'!$N$4:$N$503,(_calc!$E$969-500)))=0,"",INDEX('Vendor COIs'!$N$4:$N$503,(_calc!$E$969-500)))))</f>
        <v/>
      </c>
    </row>
    <row r="968">
      <c r="A968" s="46">
        <f>IF(_calc!$E$970="","",IF(_calc!$E$970&lt;=500,IF(LEN(INDEX('Our policies'!$A$4:$A$503,_calc!$E$970))=0,"",INDEX('Our policies'!$A$4:$A$503,_calc!$E$970)),"COI – "&amp;IF(LEN(INDEX('Vendor COIs'!$A$4:$A$503,(_calc!$E$970-500)))=0,"",INDEX('Vendor COIs'!$A$4:$A$503,(_calc!$E$970-500)))&amp;" – "&amp;IF(LEN(INDEX('Vendor COIs'!$B$4:$B$503,(_calc!$E$970-500)))=0,"",INDEX('Vendor COIs'!$B$4:$B$503,(_calc!$E$970-500)))))</f>
        <v/>
      </c>
      <c r="B968" s="46">
        <f>IF(_calc!$E$970="","",IF(_calc!$E$970&lt;=500,IF(ISNUMBER(INDEX('Our policies'!$J$4:$J$503,_calc!$E$970)),TEXT(INDEX('Our policies'!$J$4:$J$503,_calc!$E$970),"yyyy-mm-dd"),""),IF(ISNUMBER(INDEX('Vendor COIs'!$H$4:$H$503,(_calc!$E$970-500))),TEXT(INDEX('Vendor COIs'!$H$4:$H$503,(_calc!$E$970-500)),"yyyy-mm-dd"),"")))</f>
        <v/>
      </c>
      <c r="C968" s="46">
        <f>IF(_calc!$E$970="","",IF(_calc!$E$970&lt;=500,"Insurance","Certificate of insurance"))</f>
        <v/>
      </c>
      <c r="D968" s="46">
        <f>IF(_calc!$E$970="","",IF(_calc!$E$970&lt;=500,IF(ISNUMBER(INDEX('Our policies'!$I$4:$I$503,_calc!$E$970)),TEXT(INDEX('Our policies'!$I$4:$I$503,_calc!$E$970),"yyyy-mm-dd"),""),""))</f>
        <v/>
      </c>
      <c r="E968" s="46">
        <f>IF(_calc!$E$970="","",IF(_calc!$E$970&lt;=500,IF(LEN(INDEX('Our policies'!$Q$4:$Q$503,_calc!$E$970))=0,"",INDEX('Our policies'!$Q$4:$Q$503,_calc!$E$970)),"Medium"))</f>
        <v/>
      </c>
      <c r="F968" s="46">
        <f>IF(_calc!$E$970="","",IF(_calc!$E$970&lt;=500,TRIM(IF(LEN(IF(LEN(INDEX('Our policies'!$B$4:$B$503,_calc!$E$970))=0,"",INDEX('Our policies'!$B$4:$B$503,_calc!$E$970)))=0,"","Cover: "&amp;IF(LEN(INDEX('Our policies'!$B$4:$B$503,_calc!$E$970))=0,"",INDEX('Our policies'!$B$4:$B$503,_calc!$E$970))&amp;". ")&amp;IF(LEN(IF(LEN(INDEX('Our policies'!$C$4:$C$503,_calc!$E$970))=0,"",INDEX('Our policies'!$C$4:$C$503,_calc!$E$970)))=0,"","Insurer: "&amp;IF(LEN(INDEX('Our policies'!$C$4:$C$503,_calc!$E$970))=0,"",INDEX('Our policies'!$C$4:$C$503,_calc!$E$970))&amp;". ")&amp;IF(LEN(IF(LEN(INDEX('Our policies'!$D$4:$D$503,_calc!$E$970))=0,"",INDEX('Our policies'!$D$4:$D$503,_calc!$E$970)))=0,"","Broker: "&amp;IF(LEN(INDEX('Our policies'!$D$4:$D$503,_calc!$E$970))=0,"",INDEX('Our policies'!$D$4:$D$503,_calc!$E$970))&amp;". ")&amp;IF(LEN(IF(LEN(INDEX('Our policies'!$E$4:$E$503,_calc!$E$970))=0,"",INDEX('Our policies'!$E$4:$E$503,_calc!$E$970)))=0,"","Policy no.: "&amp;IF(LEN(INDEX('Our policies'!$E$4:$E$503,_calc!$E$970))=0,"",INDEX('Our policies'!$E$4:$E$503,_calc!$E$970))&amp;". ")&amp;IF(LEN(IF(LEN(INDEX('Our policies'!$S$4:$S$503,_calc!$E$970))=0,"",INDEX('Our policies'!$S$4:$S$503,_calc!$E$970)))=0,"",IF(LEN(INDEX('Our policies'!$S$4:$S$503,_calc!$E$970))=0,"",INDEX('Our policies'!$S$4:$S$503,_calc!$E$970)))),TRIM(IF(LEN(IF(LEN(INDEX('Vendor COIs'!$C$4:$C$503,(_calc!$E$970-500)))=0,"",INDEX('Vendor COIs'!$C$4:$C$503,(_calc!$E$970-500))))=0,"","Insurer: "&amp;IF(LEN(INDEX('Vendor COIs'!$C$4:$C$503,(_calc!$E$970-500)))=0,"",INDEX('Vendor COIs'!$C$4:$C$503,(_calc!$E$970-500)))&amp;". ")&amp;IF(LEN(IF(LEN(INDEX('Vendor COIs'!$D$4:$D$503,(_calc!$E$970-500)))=0,"",INDEX('Vendor COIs'!$D$4:$D$503,(_calc!$E$970-500))))=0,"","Policy no.: "&amp;IF(LEN(INDEX('Vendor COIs'!$D$4:$D$503,(_calc!$E$970-500)))=0,"",INDEX('Vendor COIs'!$D$4:$D$503,(_calc!$E$970-500)))&amp;". ")&amp;IF(LEN(IF(LEN(INDEX('Vendor COIs'!$F$4:$F$503,(_calc!$E$970-500)))=0,"",INDEX('Vendor COIs'!$F$4:$F$503,(_calc!$E$970-500))))=0,"","Meets minimum: "&amp;IF(LEN(INDEX('Vendor COIs'!$F$4:$F$503,(_calc!$E$970-500)))=0,"",INDEX('Vendor COIs'!$F$4:$F$503,(_calc!$E$970-500)))&amp;". ")&amp;IF(LEN(IF(LEN(INDEX('Vendor COIs'!$G$4:$G$503,(_calc!$E$970-500)))=0,"",INDEX('Vendor COIs'!$G$4:$G$503,(_calc!$E$970-500))))=0,"","Additional insured: "&amp;IF(LEN(INDEX('Vendor COIs'!$G$4:$G$503,(_calc!$E$970-500)))=0,"",INDEX('Vendor COIs'!$G$4:$G$503,(_calc!$E$970-500)))&amp;". ")&amp;IF(LEN(IF(LEN(INDEX('Vendor COIs'!$M$4:$M$503,(_calc!$E$970-500)))=0,"",INDEX('Vendor COIs'!$M$4:$M$503,(_calc!$E$970-500))))=0,"","Vendor contact: "&amp;IF(LEN(INDEX('Vendor COIs'!$M$4:$M$503,(_calc!$E$970-500)))=0,"",INDEX('Vendor COIs'!$M$4:$M$503,(_calc!$E$970-500)))&amp;". ")&amp;IF(LEN(IF(LEN(INDEX('Vendor COIs'!$P$4:$P$503,(_calc!$E$970-500)))=0,"",INDEX('Vendor COIs'!$P$4:$P$503,(_calc!$E$970-500))))=0,"",IF(LEN(INDEX('Vendor COIs'!$P$4:$P$503,(_calc!$E$970-500)))=0,"",INDEX('Vendor COIs'!$P$4:$P$503,(_calc!$E$970-500)))))))</f>
        <v/>
      </c>
      <c r="G968" s="46">
        <f>IF(_calc!$E$970="","",IF(_calc!$E$970&lt;=500,IF(LEN(INDEX('Our policies'!$R$4:$R$503,_calc!$E$970))=0,"",INDEX('Our policies'!$R$4:$R$503,_calc!$E$970)),IF(LEN(INDEX('Vendor COIs'!$O$4:$O$503,(_calc!$E$970-500)))=0,"",INDEX('Vendor COIs'!$O$4:$O$503,(_calc!$E$970-500)))))</f>
        <v/>
      </c>
      <c r="H968" s="46">
        <f>IF(_calc!$E$970="","",IF(_calc!$E$970&lt;=500,IF(LEN(INDEX('Our policies'!$G$4:$G$503,_calc!$E$970))=0,"",INDEX('Our policies'!$G$4:$G$503,_calc!$E$970)),""))</f>
        <v/>
      </c>
      <c r="I968" s="46">
        <f>IF(_calc!$E$970="","",IF(_calc!$E$970&lt;=500,IF(LEN(INDEX('Our policies'!$H$4:$H$503,_calc!$E$970))=0,"",INDEX('Our policies'!$H$4:$H$503,_calc!$E$970)),""))</f>
        <v/>
      </c>
      <c r="K968" s="46">
        <f>IF(_calc!$E$970="","",IF(_calc!$E$970&lt;=500,IF(LEN(INDEX('Our policies'!$P$4:$P$503,_calc!$E$970))=0,"",INDEX('Our policies'!$P$4:$P$503,_calc!$E$970)),IF(LEN(INDEX('Vendor COIs'!$N$4:$N$503,(_calc!$E$970-500)))=0,"",INDEX('Vendor COIs'!$N$4:$N$503,(_calc!$E$970-500)))))</f>
        <v/>
      </c>
    </row>
    <row r="969">
      <c r="A969" s="46">
        <f>IF(_calc!$E$971="","",IF(_calc!$E$971&lt;=500,IF(LEN(INDEX('Our policies'!$A$4:$A$503,_calc!$E$971))=0,"",INDEX('Our policies'!$A$4:$A$503,_calc!$E$971)),"COI – "&amp;IF(LEN(INDEX('Vendor COIs'!$A$4:$A$503,(_calc!$E$971-500)))=0,"",INDEX('Vendor COIs'!$A$4:$A$503,(_calc!$E$971-500)))&amp;" – "&amp;IF(LEN(INDEX('Vendor COIs'!$B$4:$B$503,(_calc!$E$971-500)))=0,"",INDEX('Vendor COIs'!$B$4:$B$503,(_calc!$E$971-500)))))</f>
        <v/>
      </c>
      <c r="B969" s="46">
        <f>IF(_calc!$E$971="","",IF(_calc!$E$971&lt;=500,IF(ISNUMBER(INDEX('Our policies'!$J$4:$J$503,_calc!$E$971)),TEXT(INDEX('Our policies'!$J$4:$J$503,_calc!$E$971),"yyyy-mm-dd"),""),IF(ISNUMBER(INDEX('Vendor COIs'!$H$4:$H$503,(_calc!$E$971-500))),TEXT(INDEX('Vendor COIs'!$H$4:$H$503,(_calc!$E$971-500)),"yyyy-mm-dd"),"")))</f>
        <v/>
      </c>
      <c r="C969" s="46">
        <f>IF(_calc!$E$971="","",IF(_calc!$E$971&lt;=500,"Insurance","Certificate of insurance"))</f>
        <v/>
      </c>
      <c r="D969" s="46">
        <f>IF(_calc!$E$971="","",IF(_calc!$E$971&lt;=500,IF(ISNUMBER(INDEX('Our policies'!$I$4:$I$503,_calc!$E$971)),TEXT(INDEX('Our policies'!$I$4:$I$503,_calc!$E$971),"yyyy-mm-dd"),""),""))</f>
        <v/>
      </c>
      <c r="E969" s="46">
        <f>IF(_calc!$E$971="","",IF(_calc!$E$971&lt;=500,IF(LEN(INDEX('Our policies'!$Q$4:$Q$503,_calc!$E$971))=0,"",INDEX('Our policies'!$Q$4:$Q$503,_calc!$E$971)),"Medium"))</f>
        <v/>
      </c>
      <c r="F969" s="46">
        <f>IF(_calc!$E$971="","",IF(_calc!$E$971&lt;=500,TRIM(IF(LEN(IF(LEN(INDEX('Our policies'!$B$4:$B$503,_calc!$E$971))=0,"",INDEX('Our policies'!$B$4:$B$503,_calc!$E$971)))=0,"","Cover: "&amp;IF(LEN(INDEX('Our policies'!$B$4:$B$503,_calc!$E$971))=0,"",INDEX('Our policies'!$B$4:$B$503,_calc!$E$971))&amp;". ")&amp;IF(LEN(IF(LEN(INDEX('Our policies'!$C$4:$C$503,_calc!$E$971))=0,"",INDEX('Our policies'!$C$4:$C$503,_calc!$E$971)))=0,"","Insurer: "&amp;IF(LEN(INDEX('Our policies'!$C$4:$C$503,_calc!$E$971))=0,"",INDEX('Our policies'!$C$4:$C$503,_calc!$E$971))&amp;". ")&amp;IF(LEN(IF(LEN(INDEX('Our policies'!$D$4:$D$503,_calc!$E$971))=0,"",INDEX('Our policies'!$D$4:$D$503,_calc!$E$971)))=0,"","Broker: "&amp;IF(LEN(INDEX('Our policies'!$D$4:$D$503,_calc!$E$971))=0,"",INDEX('Our policies'!$D$4:$D$503,_calc!$E$971))&amp;". ")&amp;IF(LEN(IF(LEN(INDEX('Our policies'!$E$4:$E$503,_calc!$E$971))=0,"",INDEX('Our policies'!$E$4:$E$503,_calc!$E$971)))=0,"","Policy no.: "&amp;IF(LEN(INDEX('Our policies'!$E$4:$E$503,_calc!$E$971))=0,"",INDEX('Our policies'!$E$4:$E$503,_calc!$E$971))&amp;". ")&amp;IF(LEN(IF(LEN(INDEX('Our policies'!$S$4:$S$503,_calc!$E$971))=0,"",INDEX('Our policies'!$S$4:$S$503,_calc!$E$971)))=0,"",IF(LEN(INDEX('Our policies'!$S$4:$S$503,_calc!$E$971))=0,"",INDEX('Our policies'!$S$4:$S$503,_calc!$E$971)))),TRIM(IF(LEN(IF(LEN(INDEX('Vendor COIs'!$C$4:$C$503,(_calc!$E$971-500)))=0,"",INDEX('Vendor COIs'!$C$4:$C$503,(_calc!$E$971-500))))=0,"","Insurer: "&amp;IF(LEN(INDEX('Vendor COIs'!$C$4:$C$503,(_calc!$E$971-500)))=0,"",INDEX('Vendor COIs'!$C$4:$C$503,(_calc!$E$971-500)))&amp;". ")&amp;IF(LEN(IF(LEN(INDEX('Vendor COIs'!$D$4:$D$503,(_calc!$E$971-500)))=0,"",INDEX('Vendor COIs'!$D$4:$D$503,(_calc!$E$971-500))))=0,"","Policy no.: "&amp;IF(LEN(INDEX('Vendor COIs'!$D$4:$D$503,(_calc!$E$971-500)))=0,"",INDEX('Vendor COIs'!$D$4:$D$503,(_calc!$E$971-500)))&amp;". ")&amp;IF(LEN(IF(LEN(INDEX('Vendor COIs'!$F$4:$F$503,(_calc!$E$971-500)))=0,"",INDEX('Vendor COIs'!$F$4:$F$503,(_calc!$E$971-500))))=0,"","Meets minimum: "&amp;IF(LEN(INDEX('Vendor COIs'!$F$4:$F$503,(_calc!$E$971-500)))=0,"",INDEX('Vendor COIs'!$F$4:$F$503,(_calc!$E$971-500)))&amp;". ")&amp;IF(LEN(IF(LEN(INDEX('Vendor COIs'!$G$4:$G$503,(_calc!$E$971-500)))=0,"",INDEX('Vendor COIs'!$G$4:$G$503,(_calc!$E$971-500))))=0,"","Additional insured: "&amp;IF(LEN(INDEX('Vendor COIs'!$G$4:$G$503,(_calc!$E$971-500)))=0,"",INDEX('Vendor COIs'!$G$4:$G$503,(_calc!$E$971-500)))&amp;". ")&amp;IF(LEN(IF(LEN(INDEX('Vendor COIs'!$M$4:$M$503,(_calc!$E$971-500)))=0,"",INDEX('Vendor COIs'!$M$4:$M$503,(_calc!$E$971-500))))=0,"","Vendor contact: "&amp;IF(LEN(INDEX('Vendor COIs'!$M$4:$M$503,(_calc!$E$971-500)))=0,"",INDEX('Vendor COIs'!$M$4:$M$503,(_calc!$E$971-500)))&amp;". ")&amp;IF(LEN(IF(LEN(INDEX('Vendor COIs'!$P$4:$P$503,(_calc!$E$971-500)))=0,"",INDEX('Vendor COIs'!$P$4:$P$503,(_calc!$E$971-500))))=0,"",IF(LEN(INDEX('Vendor COIs'!$P$4:$P$503,(_calc!$E$971-500)))=0,"",INDEX('Vendor COIs'!$P$4:$P$503,(_calc!$E$971-500)))))))</f>
        <v/>
      </c>
      <c r="G969" s="46">
        <f>IF(_calc!$E$971="","",IF(_calc!$E$971&lt;=500,IF(LEN(INDEX('Our policies'!$R$4:$R$503,_calc!$E$971))=0,"",INDEX('Our policies'!$R$4:$R$503,_calc!$E$971)),IF(LEN(INDEX('Vendor COIs'!$O$4:$O$503,(_calc!$E$971-500)))=0,"",INDEX('Vendor COIs'!$O$4:$O$503,(_calc!$E$971-500)))))</f>
        <v/>
      </c>
      <c r="H969" s="46">
        <f>IF(_calc!$E$971="","",IF(_calc!$E$971&lt;=500,IF(LEN(INDEX('Our policies'!$G$4:$G$503,_calc!$E$971))=0,"",INDEX('Our policies'!$G$4:$G$503,_calc!$E$971)),""))</f>
        <v/>
      </c>
      <c r="I969" s="46">
        <f>IF(_calc!$E$971="","",IF(_calc!$E$971&lt;=500,IF(LEN(INDEX('Our policies'!$H$4:$H$503,_calc!$E$971))=0,"",INDEX('Our policies'!$H$4:$H$503,_calc!$E$971)),""))</f>
        <v/>
      </c>
      <c r="K969" s="46">
        <f>IF(_calc!$E$971="","",IF(_calc!$E$971&lt;=500,IF(LEN(INDEX('Our policies'!$P$4:$P$503,_calc!$E$971))=0,"",INDEX('Our policies'!$P$4:$P$503,_calc!$E$971)),IF(LEN(INDEX('Vendor COIs'!$N$4:$N$503,(_calc!$E$971-500)))=0,"",INDEX('Vendor COIs'!$N$4:$N$503,(_calc!$E$971-500)))))</f>
        <v/>
      </c>
    </row>
    <row r="970">
      <c r="A970" s="46">
        <f>IF(_calc!$E$972="","",IF(_calc!$E$972&lt;=500,IF(LEN(INDEX('Our policies'!$A$4:$A$503,_calc!$E$972))=0,"",INDEX('Our policies'!$A$4:$A$503,_calc!$E$972)),"COI – "&amp;IF(LEN(INDEX('Vendor COIs'!$A$4:$A$503,(_calc!$E$972-500)))=0,"",INDEX('Vendor COIs'!$A$4:$A$503,(_calc!$E$972-500)))&amp;" – "&amp;IF(LEN(INDEX('Vendor COIs'!$B$4:$B$503,(_calc!$E$972-500)))=0,"",INDEX('Vendor COIs'!$B$4:$B$503,(_calc!$E$972-500)))))</f>
        <v/>
      </c>
      <c r="B970" s="46">
        <f>IF(_calc!$E$972="","",IF(_calc!$E$972&lt;=500,IF(ISNUMBER(INDEX('Our policies'!$J$4:$J$503,_calc!$E$972)),TEXT(INDEX('Our policies'!$J$4:$J$503,_calc!$E$972),"yyyy-mm-dd"),""),IF(ISNUMBER(INDEX('Vendor COIs'!$H$4:$H$503,(_calc!$E$972-500))),TEXT(INDEX('Vendor COIs'!$H$4:$H$503,(_calc!$E$972-500)),"yyyy-mm-dd"),"")))</f>
        <v/>
      </c>
      <c r="C970" s="46">
        <f>IF(_calc!$E$972="","",IF(_calc!$E$972&lt;=500,"Insurance","Certificate of insurance"))</f>
        <v/>
      </c>
      <c r="D970" s="46">
        <f>IF(_calc!$E$972="","",IF(_calc!$E$972&lt;=500,IF(ISNUMBER(INDEX('Our policies'!$I$4:$I$503,_calc!$E$972)),TEXT(INDEX('Our policies'!$I$4:$I$503,_calc!$E$972),"yyyy-mm-dd"),""),""))</f>
        <v/>
      </c>
      <c r="E970" s="46">
        <f>IF(_calc!$E$972="","",IF(_calc!$E$972&lt;=500,IF(LEN(INDEX('Our policies'!$Q$4:$Q$503,_calc!$E$972))=0,"",INDEX('Our policies'!$Q$4:$Q$503,_calc!$E$972)),"Medium"))</f>
        <v/>
      </c>
      <c r="F970" s="46">
        <f>IF(_calc!$E$972="","",IF(_calc!$E$972&lt;=500,TRIM(IF(LEN(IF(LEN(INDEX('Our policies'!$B$4:$B$503,_calc!$E$972))=0,"",INDEX('Our policies'!$B$4:$B$503,_calc!$E$972)))=0,"","Cover: "&amp;IF(LEN(INDEX('Our policies'!$B$4:$B$503,_calc!$E$972))=0,"",INDEX('Our policies'!$B$4:$B$503,_calc!$E$972))&amp;". ")&amp;IF(LEN(IF(LEN(INDEX('Our policies'!$C$4:$C$503,_calc!$E$972))=0,"",INDEX('Our policies'!$C$4:$C$503,_calc!$E$972)))=0,"","Insurer: "&amp;IF(LEN(INDEX('Our policies'!$C$4:$C$503,_calc!$E$972))=0,"",INDEX('Our policies'!$C$4:$C$503,_calc!$E$972))&amp;". ")&amp;IF(LEN(IF(LEN(INDEX('Our policies'!$D$4:$D$503,_calc!$E$972))=0,"",INDEX('Our policies'!$D$4:$D$503,_calc!$E$972)))=0,"","Broker: "&amp;IF(LEN(INDEX('Our policies'!$D$4:$D$503,_calc!$E$972))=0,"",INDEX('Our policies'!$D$4:$D$503,_calc!$E$972))&amp;". ")&amp;IF(LEN(IF(LEN(INDEX('Our policies'!$E$4:$E$503,_calc!$E$972))=0,"",INDEX('Our policies'!$E$4:$E$503,_calc!$E$972)))=0,"","Policy no.: "&amp;IF(LEN(INDEX('Our policies'!$E$4:$E$503,_calc!$E$972))=0,"",INDEX('Our policies'!$E$4:$E$503,_calc!$E$972))&amp;". ")&amp;IF(LEN(IF(LEN(INDEX('Our policies'!$S$4:$S$503,_calc!$E$972))=0,"",INDEX('Our policies'!$S$4:$S$503,_calc!$E$972)))=0,"",IF(LEN(INDEX('Our policies'!$S$4:$S$503,_calc!$E$972))=0,"",INDEX('Our policies'!$S$4:$S$503,_calc!$E$972)))),TRIM(IF(LEN(IF(LEN(INDEX('Vendor COIs'!$C$4:$C$503,(_calc!$E$972-500)))=0,"",INDEX('Vendor COIs'!$C$4:$C$503,(_calc!$E$972-500))))=0,"","Insurer: "&amp;IF(LEN(INDEX('Vendor COIs'!$C$4:$C$503,(_calc!$E$972-500)))=0,"",INDEX('Vendor COIs'!$C$4:$C$503,(_calc!$E$972-500)))&amp;". ")&amp;IF(LEN(IF(LEN(INDEX('Vendor COIs'!$D$4:$D$503,(_calc!$E$972-500)))=0,"",INDEX('Vendor COIs'!$D$4:$D$503,(_calc!$E$972-500))))=0,"","Policy no.: "&amp;IF(LEN(INDEX('Vendor COIs'!$D$4:$D$503,(_calc!$E$972-500)))=0,"",INDEX('Vendor COIs'!$D$4:$D$503,(_calc!$E$972-500)))&amp;". ")&amp;IF(LEN(IF(LEN(INDEX('Vendor COIs'!$F$4:$F$503,(_calc!$E$972-500)))=0,"",INDEX('Vendor COIs'!$F$4:$F$503,(_calc!$E$972-500))))=0,"","Meets minimum: "&amp;IF(LEN(INDEX('Vendor COIs'!$F$4:$F$503,(_calc!$E$972-500)))=0,"",INDEX('Vendor COIs'!$F$4:$F$503,(_calc!$E$972-500)))&amp;". ")&amp;IF(LEN(IF(LEN(INDEX('Vendor COIs'!$G$4:$G$503,(_calc!$E$972-500)))=0,"",INDEX('Vendor COIs'!$G$4:$G$503,(_calc!$E$972-500))))=0,"","Additional insured: "&amp;IF(LEN(INDEX('Vendor COIs'!$G$4:$G$503,(_calc!$E$972-500)))=0,"",INDEX('Vendor COIs'!$G$4:$G$503,(_calc!$E$972-500)))&amp;". ")&amp;IF(LEN(IF(LEN(INDEX('Vendor COIs'!$M$4:$M$503,(_calc!$E$972-500)))=0,"",INDEX('Vendor COIs'!$M$4:$M$503,(_calc!$E$972-500))))=0,"","Vendor contact: "&amp;IF(LEN(INDEX('Vendor COIs'!$M$4:$M$503,(_calc!$E$972-500)))=0,"",INDEX('Vendor COIs'!$M$4:$M$503,(_calc!$E$972-500)))&amp;". ")&amp;IF(LEN(IF(LEN(INDEX('Vendor COIs'!$P$4:$P$503,(_calc!$E$972-500)))=0,"",INDEX('Vendor COIs'!$P$4:$P$503,(_calc!$E$972-500))))=0,"",IF(LEN(INDEX('Vendor COIs'!$P$4:$P$503,(_calc!$E$972-500)))=0,"",INDEX('Vendor COIs'!$P$4:$P$503,(_calc!$E$972-500)))))))</f>
        <v/>
      </c>
      <c r="G970" s="46">
        <f>IF(_calc!$E$972="","",IF(_calc!$E$972&lt;=500,IF(LEN(INDEX('Our policies'!$R$4:$R$503,_calc!$E$972))=0,"",INDEX('Our policies'!$R$4:$R$503,_calc!$E$972)),IF(LEN(INDEX('Vendor COIs'!$O$4:$O$503,(_calc!$E$972-500)))=0,"",INDEX('Vendor COIs'!$O$4:$O$503,(_calc!$E$972-500)))))</f>
        <v/>
      </c>
      <c r="H970" s="46">
        <f>IF(_calc!$E$972="","",IF(_calc!$E$972&lt;=500,IF(LEN(INDEX('Our policies'!$G$4:$G$503,_calc!$E$972))=0,"",INDEX('Our policies'!$G$4:$G$503,_calc!$E$972)),""))</f>
        <v/>
      </c>
      <c r="I970" s="46">
        <f>IF(_calc!$E$972="","",IF(_calc!$E$972&lt;=500,IF(LEN(INDEX('Our policies'!$H$4:$H$503,_calc!$E$972))=0,"",INDEX('Our policies'!$H$4:$H$503,_calc!$E$972)),""))</f>
        <v/>
      </c>
      <c r="K970" s="46">
        <f>IF(_calc!$E$972="","",IF(_calc!$E$972&lt;=500,IF(LEN(INDEX('Our policies'!$P$4:$P$503,_calc!$E$972))=0,"",INDEX('Our policies'!$P$4:$P$503,_calc!$E$972)),IF(LEN(INDEX('Vendor COIs'!$N$4:$N$503,(_calc!$E$972-500)))=0,"",INDEX('Vendor COIs'!$N$4:$N$503,(_calc!$E$972-500)))))</f>
        <v/>
      </c>
    </row>
    <row r="971">
      <c r="A971" s="46">
        <f>IF(_calc!$E$973="","",IF(_calc!$E$973&lt;=500,IF(LEN(INDEX('Our policies'!$A$4:$A$503,_calc!$E$973))=0,"",INDEX('Our policies'!$A$4:$A$503,_calc!$E$973)),"COI – "&amp;IF(LEN(INDEX('Vendor COIs'!$A$4:$A$503,(_calc!$E$973-500)))=0,"",INDEX('Vendor COIs'!$A$4:$A$503,(_calc!$E$973-500)))&amp;" – "&amp;IF(LEN(INDEX('Vendor COIs'!$B$4:$B$503,(_calc!$E$973-500)))=0,"",INDEX('Vendor COIs'!$B$4:$B$503,(_calc!$E$973-500)))))</f>
        <v/>
      </c>
      <c r="B971" s="46">
        <f>IF(_calc!$E$973="","",IF(_calc!$E$973&lt;=500,IF(ISNUMBER(INDEX('Our policies'!$J$4:$J$503,_calc!$E$973)),TEXT(INDEX('Our policies'!$J$4:$J$503,_calc!$E$973),"yyyy-mm-dd"),""),IF(ISNUMBER(INDEX('Vendor COIs'!$H$4:$H$503,(_calc!$E$973-500))),TEXT(INDEX('Vendor COIs'!$H$4:$H$503,(_calc!$E$973-500)),"yyyy-mm-dd"),"")))</f>
        <v/>
      </c>
      <c r="C971" s="46">
        <f>IF(_calc!$E$973="","",IF(_calc!$E$973&lt;=500,"Insurance","Certificate of insurance"))</f>
        <v/>
      </c>
      <c r="D971" s="46">
        <f>IF(_calc!$E$973="","",IF(_calc!$E$973&lt;=500,IF(ISNUMBER(INDEX('Our policies'!$I$4:$I$503,_calc!$E$973)),TEXT(INDEX('Our policies'!$I$4:$I$503,_calc!$E$973),"yyyy-mm-dd"),""),""))</f>
        <v/>
      </c>
      <c r="E971" s="46">
        <f>IF(_calc!$E$973="","",IF(_calc!$E$973&lt;=500,IF(LEN(INDEX('Our policies'!$Q$4:$Q$503,_calc!$E$973))=0,"",INDEX('Our policies'!$Q$4:$Q$503,_calc!$E$973)),"Medium"))</f>
        <v/>
      </c>
      <c r="F971" s="46">
        <f>IF(_calc!$E$973="","",IF(_calc!$E$973&lt;=500,TRIM(IF(LEN(IF(LEN(INDEX('Our policies'!$B$4:$B$503,_calc!$E$973))=0,"",INDEX('Our policies'!$B$4:$B$503,_calc!$E$973)))=0,"","Cover: "&amp;IF(LEN(INDEX('Our policies'!$B$4:$B$503,_calc!$E$973))=0,"",INDEX('Our policies'!$B$4:$B$503,_calc!$E$973))&amp;". ")&amp;IF(LEN(IF(LEN(INDEX('Our policies'!$C$4:$C$503,_calc!$E$973))=0,"",INDEX('Our policies'!$C$4:$C$503,_calc!$E$973)))=0,"","Insurer: "&amp;IF(LEN(INDEX('Our policies'!$C$4:$C$503,_calc!$E$973))=0,"",INDEX('Our policies'!$C$4:$C$503,_calc!$E$973))&amp;". ")&amp;IF(LEN(IF(LEN(INDEX('Our policies'!$D$4:$D$503,_calc!$E$973))=0,"",INDEX('Our policies'!$D$4:$D$503,_calc!$E$973)))=0,"","Broker: "&amp;IF(LEN(INDEX('Our policies'!$D$4:$D$503,_calc!$E$973))=0,"",INDEX('Our policies'!$D$4:$D$503,_calc!$E$973))&amp;". ")&amp;IF(LEN(IF(LEN(INDEX('Our policies'!$E$4:$E$503,_calc!$E$973))=0,"",INDEX('Our policies'!$E$4:$E$503,_calc!$E$973)))=0,"","Policy no.: "&amp;IF(LEN(INDEX('Our policies'!$E$4:$E$503,_calc!$E$973))=0,"",INDEX('Our policies'!$E$4:$E$503,_calc!$E$973))&amp;". ")&amp;IF(LEN(IF(LEN(INDEX('Our policies'!$S$4:$S$503,_calc!$E$973))=0,"",INDEX('Our policies'!$S$4:$S$503,_calc!$E$973)))=0,"",IF(LEN(INDEX('Our policies'!$S$4:$S$503,_calc!$E$973))=0,"",INDEX('Our policies'!$S$4:$S$503,_calc!$E$973)))),TRIM(IF(LEN(IF(LEN(INDEX('Vendor COIs'!$C$4:$C$503,(_calc!$E$973-500)))=0,"",INDEX('Vendor COIs'!$C$4:$C$503,(_calc!$E$973-500))))=0,"","Insurer: "&amp;IF(LEN(INDEX('Vendor COIs'!$C$4:$C$503,(_calc!$E$973-500)))=0,"",INDEX('Vendor COIs'!$C$4:$C$503,(_calc!$E$973-500)))&amp;". ")&amp;IF(LEN(IF(LEN(INDEX('Vendor COIs'!$D$4:$D$503,(_calc!$E$973-500)))=0,"",INDEX('Vendor COIs'!$D$4:$D$503,(_calc!$E$973-500))))=0,"","Policy no.: "&amp;IF(LEN(INDEX('Vendor COIs'!$D$4:$D$503,(_calc!$E$973-500)))=0,"",INDEX('Vendor COIs'!$D$4:$D$503,(_calc!$E$973-500)))&amp;". ")&amp;IF(LEN(IF(LEN(INDEX('Vendor COIs'!$F$4:$F$503,(_calc!$E$973-500)))=0,"",INDEX('Vendor COIs'!$F$4:$F$503,(_calc!$E$973-500))))=0,"","Meets minimum: "&amp;IF(LEN(INDEX('Vendor COIs'!$F$4:$F$503,(_calc!$E$973-500)))=0,"",INDEX('Vendor COIs'!$F$4:$F$503,(_calc!$E$973-500)))&amp;". ")&amp;IF(LEN(IF(LEN(INDEX('Vendor COIs'!$G$4:$G$503,(_calc!$E$973-500)))=0,"",INDEX('Vendor COIs'!$G$4:$G$503,(_calc!$E$973-500))))=0,"","Additional insured: "&amp;IF(LEN(INDEX('Vendor COIs'!$G$4:$G$503,(_calc!$E$973-500)))=0,"",INDEX('Vendor COIs'!$G$4:$G$503,(_calc!$E$973-500)))&amp;". ")&amp;IF(LEN(IF(LEN(INDEX('Vendor COIs'!$M$4:$M$503,(_calc!$E$973-500)))=0,"",INDEX('Vendor COIs'!$M$4:$M$503,(_calc!$E$973-500))))=0,"","Vendor contact: "&amp;IF(LEN(INDEX('Vendor COIs'!$M$4:$M$503,(_calc!$E$973-500)))=0,"",INDEX('Vendor COIs'!$M$4:$M$503,(_calc!$E$973-500)))&amp;". ")&amp;IF(LEN(IF(LEN(INDEX('Vendor COIs'!$P$4:$P$503,(_calc!$E$973-500)))=0,"",INDEX('Vendor COIs'!$P$4:$P$503,(_calc!$E$973-500))))=0,"",IF(LEN(INDEX('Vendor COIs'!$P$4:$P$503,(_calc!$E$973-500)))=0,"",INDEX('Vendor COIs'!$P$4:$P$503,(_calc!$E$973-500)))))))</f>
        <v/>
      </c>
      <c r="G971" s="46">
        <f>IF(_calc!$E$973="","",IF(_calc!$E$973&lt;=500,IF(LEN(INDEX('Our policies'!$R$4:$R$503,_calc!$E$973))=0,"",INDEX('Our policies'!$R$4:$R$503,_calc!$E$973)),IF(LEN(INDEX('Vendor COIs'!$O$4:$O$503,(_calc!$E$973-500)))=0,"",INDEX('Vendor COIs'!$O$4:$O$503,(_calc!$E$973-500)))))</f>
        <v/>
      </c>
      <c r="H971" s="46">
        <f>IF(_calc!$E$973="","",IF(_calc!$E$973&lt;=500,IF(LEN(INDEX('Our policies'!$G$4:$G$503,_calc!$E$973))=0,"",INDEX('Our policies'!$G$4:$G$503,_calc!$E$973)),""))</f>
        <v/>
      </c>
      <c r="I971" s="46">
        <f>IF(_calc!$E$973="","",IF(_calc!$E$973&lt;=500,IF(LEN(INDEX('Our policies'!$H$4:$H$503,_calc!$E$973))=0,"",INDEX('Our policies'!$H$4:$H$503,_calc!$E$973)),""))</f>
        <v/>
      </c>
      <c r="K971" s="46">
        <f>IF(_calc!$E$973="","",IF(_calc!$E$973&lt;=500,IF(LEN(INDEX('Our policies'!$P$4:$P$503,_calc!$E$973))=0,"",INDEX('Our policies'!$P$4:$P$503,_calc!$E$973)),IF(LEN(INDEX('Vendor COIs'!$N$4:$N$503,(_calc!$E$973-500)))=0,"",INDEX('Vendor COIs'!$N$4:$N$503,(_calc!$E$973-500)))))</f>
        <v/>
      </c>
    </row>
    <row r="972">
      <c r="A972" s="46">
        <f>IF(_calc!$E$974="","",IF(_calc!$E$974&lt;=500,IF(LEN(INDEX('Our policies'!$A$4:$A$503,_calc!$E$974))=0,"",INDEX('Our policies'!$A$4:$A$503,_calc!$E$974)),"COI – "&amp;IF(LEN(INDEX('Vendor COIs'!$A$4:$A$503,(_calc!$E$974-500)))=0,"",INDEX('Vendor COIs'!$A$4:$A$503,(_calc!$E$974-500)))&amp;" – "&amp;IF(LEN(INDEX('Vendor COIs'!$B$4:$B$503,(_calc!$E$974-500)))=0,"",INDEX('Vendor COIs'!$B$4:$B$503,(_calc!$E$974-500)))))</f>
        <v/>
      </c>
      <c r="B972" s="46">
        <f>IF(_calc!$E$974="","",IF(_calc!$E$974&lt;=500,IF(ISNUMBER(INDEX('Our policies'!$J$4:$J$503,_calc!$E$974)),TEXT(INDEX('Our policies'!$J$4:$J$503,_calc!$E$974),"yyyy-mm-dd"),""),IF(ISNUMBER(INDEX('Vendor COIs'!$H$4:$H$503,(_calc!$E$974-500))),TEXT(INDEX('Vendor COIs'!$H$4:$H$503,(_calc!$E$974-500)),"yyyy-mm-dd"),"")))</f>
        <v/>
      </c>
      <c r="C972" s="46">
        <f>IF(_calc!$E$974="","",IF(_calc!$E$974&lt;=500,"Insurance","Certificate of insurance"))</f>
        <v/>
      </c>
      <c r="D972" s="46">
        <f>IF(_calc!$E$974="","",IF(_calc!$E$974&lt;=500,IF(ISNUMBER(INDEX('Our policies'!$I$4:$I$503,_calc!$E$974)),TEXT(INDEX('Our policies'!$I$4:$I$503,_calc!$E$974),"yyyy-mm-dd"),""),""))</f>
        <v/>
      </c>
      <c r="E972" s="46">
        <f>IF(_calc!$E$974="","",IF(_calc!$E$974&lt;=500,IF(LEN(INDEX('Our policies'!$Q$4:$Q$503,_calc!$E$974))=0,"",INDEX('Our policies'!$Q$4:$Q$503,_calc!$E$974)),"Medium"))</f>
        <v/>
      </c>
      <c r="F972" s="46">
        <f>IF(_calc!$E$974="","",IF(_calc!$E$974&lt;=500,TRIM(IF(LEN(IF(LEN(INDEX('Our policies'!$B$4:$B$503,_calc!$E$974))=0,"",INDEX('Our policies'!$B$4:$B$503,_calc!$E$974)))=0,"","Cover: "&amp;IF(LEN(INDEX('Our policies'!$B$4:$B$503,_calc!$E$974))=0,"",INDEX('Our policies'!$B$4:$B$503,_calc!$E$974))&amp;". ")&amp;IF(LEN(IF(LEN(INDEX('Our policies'!$C$4:$C$503,_calc!$E$974))=0,"",INDEX('Our policies'!$C$4:$C$503,_calc!$E$974)))=0,"","Insurer: "&amp;IF(LEN(INDEX('Our policies'!$C$4:$C$503,_calc!$E$974))=0,"",INDEX('Our policies'!$C$4:$C$503,_calc!$E$974))&amp;". ")&amp;IF(LEN(IF(LEN(INDEX('Our policies'!$D$4:$D$503,_calc!$E$974))=0,"",INDEX('Our policies'!$D$4:$D$503,_calc!$E$974)))=0,"","Broker: "&amp;IF(LEN(INDEX('Our policies'!$D$4:$D$503,_calc!$E$974))=0,"",INDEX('Our policies'!$D$4:$D$503,_calc!$E$974))&amp;". ")&amp;IF(LEN(IF(LEN(INDEX('Our policies'!$E$4:$E$503,_calc!$E$974))=0,"",INDEX('Our policies'!$E$4:$E$503,_calc!$E$974)))=0,"","Policy no.: "&amp;IF(LEN(INDEX('Our policies'!$E$4:$E$503,_calc!$E$974))=0,"",INDEX('Our policies'!$E$4:$E$503,_calc!$E$974))&amp;". ")&amp;IF(LEN(IF(LEN(INDEX('Our policies'!$S$4:$S$503,_calc!$E$974))=0,"",INDEX('Our policies'!$S$4:$S$503,_calc!$E$974)))=0,"",IF(LEN(INDEX('Our policies'!$S$4:$S$503,_calc!$E$974))=0,"",INDEX('Our policies'!$S$4:$S$503,_calc!$E$974)))),TRIM(IF(LEN(IF(LEN(INDEX('Vendor COIs'!$C$4:$C$503,(_calc!$E$974-500)))=0,"",INDEX('Vendor COIs'!$C$4:$C$503,(_calc!$E$974-500))))=0,"","Insurer: "&amp;IF(LEN(INDEX('Vendor COIs'!$C$4:$C$503,(_calc!$E$974-500)))=0,"",INDEX('Vendor COIs'!$C$4:$C$503,(_calc!$E$974-500)))&amp;". ")&amp;IF(LEN(IF(LEN(INDEX('Vendor COIs'!$D$4:$D$503,(_calc!$E$974-500)))=0,"",INDEX('Vendor COIs'!$D$4:$D$503,(_calc!$E$974-500))))=0,"","Policy no.: "&amp;IF(LEN(INDEX('Vendor COIs'!$D$4:$D$503,(_calc!$E$974-500)))=0,"",INDEX('Vendor COIs'!$D$4:$D$503,(_calc!$E$974-500)))&amp;". ")&amp;IF(LEN(IF(LEN(INDEX('Vendor COIs'!$F$4:$F$503,(_calc!$E$974-500)))=0,"",INDEX('Vendor COIs'!$F$4:$F$503,(_calc!$E$974-500))))=0,"","Meets minimum: "&amp;IF(LEN(INDEX('Vendor COIs'!$F$4:$F$503,(_calc!$E$974-500)))=0,"",INDEX('Vendor COIs'!$F$4:$F$503,(_calc!$E$974-500)))&amp;". ")&amp;IF(LEN(IF(LEN(INDEX('Vendor COIs'!$G$4:$G$503,(_calc!$E$974-500)))=0,"",INDEX('Vendor COIs'!$G$4:$G$503,(_calc!$E$974-500))))=0,"","Additional insured: "&amp;IF(LEN(INDEX('Vendor COIs'!$G$4:$G$503,(_calc!$E$974-500)))=0,"",INDEX('Vendor COIs'!$G$4:$G$503,(_calc!$E$974-500)))&amp;". ")&amp;IF(LEN(IF(LEN(INDEX('Vendor COIs'!$M$4:$M$503,(_calc!$E$974-500)))=0,"",INDEX('Vendor COIs'!$M$4:$M$503,(_calc!$E$974-500))))=0,"","Vendor contact: "&amp;IF(LEN(INDEX('Vendor COIs'!$M$4:$M$503,(_calc!$E$974-500)))=0,"",INDEX('Vendor COIs'!$M$4:$M$503,(_calc!$E$974-500)))&amp;". ")&amp;IF(LEN(IF(LEN(INDEX('Vendor COIs'!$P$4:$P$503,(_calc!$E$974-500)))=0,"",INDEX('Vendor COIs'!$P$4:$P$503,(_calc!$E$974-500))))=0,"",IF(LEN(INDEX('Vendor COIs'!$P$4:$P$503,(_calc!$E$974-500)))=0,"",INDEX('Vendor COIs'!$P$4:$P$503,(_calc!$E$974-500)))))))</f>
        <v/>
      </c>
      <c r="G972" s="46">
        <f>IF(_calc!$E$974="","",IF(_calc!$E$974&lt;=500,IF(LEN(INDEX('Our policies'!$R$4:$R$503,_calc!$E$974))=0,"",INDEX('Our policies'!$R$4:$R$503,_calc!$E$974)),IF(LEN(INDEX('Vendor COIs'!$O$4:$O$503,(_calc!$E$974-500)))=0,"",INDEX('Vendor COIs'!$O$4:$O$503,(_calc!$E$974-500)))))</f>
        <v/>
      </c>
      <c r="H972" s="46">
        <f>IF(_calc!$E$974="","",IF(_calc!$E$974&lt;=500,IF(LEN(INDEX('Our policies'!$G$4:$G$503,_calc!$E$974))=0,"",INDEX('Our policies'!$G$4:$G$503,_calc!$E$974)),""))</f>
        <v/>
      </c>
      <c r="I972" s="46">
        <f>IF(_calc!$E$974="","",IF(_calc!$E$974&lt;=500,IF(LEN(INDEX('Our policies'!$H$4:$H$503,_calc!$E$974))=0,"",INDEX('Our policies'!$H$4:$H$503,_calc!$E$974)),""))</f>
        <v/>
      </c>
      <c r="K972" s="46">
        <f>IF(_calc!$E$974="","",IF(_calc!$E$974&lt;=500,IF(LEN(INDEX('Our policies'!$P$4:$P$503,_calc!$E$974))=0,"",INDEX('Our policies'!$P$4:$P$503,_calc!$E$974)),IF(LEN(INDEX('Vendor COIs'!$N$4:$N$503,(_calc!$E$974-500)))=0,"",INDEX('Vendor COIs'!$N$4:$N$503,(_calc!$E$974-500)))))</f>
        <v/>
      </c>
    </row>
    <row r="973">
      <c r="A973" s="46">
        <f>IF(_calc!$E$975="","",IF(_calc!$E$975&lt;=500,IF(LEN(INDEX('Our policies'!$A$4:$A$503,_calc!$E$975))=0,"",INDEX('Our policies'!$A$4:$A$503,_calc!$E$975)),"COI – "&amp;IF(LEN(INDEX('Vendor COIs'!$A$4:$A$503,(_calc!$E$975-500)))=0,"",INDEX('Vendor COIs'!$A$4:$A$503,(_calc!$E$975-500)))&amp;" – "&amp;IF(LEN(INDEX('Vendor COIs'!$B$4:$B$503,(_calc!$E$975-500)))=0,"",INDEX('Vendor COIs'!$B$4:$B$503,(_calc!$E$975-500)))))</f>
        <v/>
      </c>
      <c r="B973" s="46">
        <f>IF(_calc!$E$975="","",IF(_calc!$E$975&lt;=500,IF(ISNUMBER(INDEX('Our policies'!$J$4:$J$503,_calc!$E$975)),TEXT(INDEX('Our policies'!$J$4:$J$503,_calc!$E$975),"yyyy-mm-dd"),""),IF(ISNUMBER(INDEX('Vendor COIs'!$H$4:$H$503,(_calc!$E$975-500))),TEXT(INDEX('Vendor COIs'!$H$4:$H$503,(_calc!$E$975-500)),"yyyy-mm-dd"),"")))</f>
        <v/>
      </c>
      <c r="C973" s="46">
        <f>IF(_calc!$E$975="","",IF(_calc!$E$975&lt;=500,"Insurance","Certificate of insurance"))</f>
        <v/>
      </c>
      <c r="D973" s="46">
        <f>IF(_calc!$E$975="","",IF(_calc!$E$975&lt;=500,IF(ISNUMBER(INDEX('Our policies'!$I$4:$I$503,_calc!$E$975)),TEXT(INDEX('Our policies'!$I$4:$I$503,_calc!$E$975),"yyyy-mm-dd"),""),""))</f>
        <v/>
      </c>
      <c r="E973" s="46">
        <f>IF(_calc!$E$975="","",IF(_calc!$E$975&lt;=500,IF(LEN(INDEX('Our policies'!$Q$4:$Q$503,_calc!$E$975))=0,"",INDEX('Our policies'!$Q$4:$Q$503,_calc!$E$975)),"Medium"))</f>
        <v/>
      </c>
      <c r="F973" s="46">
        <f>IF(_calc!$E$975="","",IF(_calc!$E$975&lt;=500,TRIM(IF(LEN(IF(LEN(INDEX('Our policies'!$B$4:$B$503,_calc!$E$975))=0,"",INDEX('Our policies'!$B$4:$B$503,_calc!$E$975)))=0,"","Cover: "&amp;IF(LEN(INDEX('Our policies'!$B$4:$B$503,_calc!$E$975))=0,"",INDEX('Our policies'!$B$4:$B$503,_calc!$E$975))&amp;". ")&amp;IF(LEN(IF(LEN(INDEX('Our policies'!$C$4:$C$503,_calc!$E$975))=0,"",INDEX('Our policies'!$C$4:$C$503,_calc!$E$975)))=0,"","Insurer: "&amp;IF(LEN(INDEX('Our policies'!$C$4:$C$503,_calc!$E$975))=0,"",INDEX('Our policies'!$C$4:$C$503,_calc!$E$975))&amp;". ")&amp;IF(LEN(IF(LEN(INDEX('Our policies'!$D$4:$D$503,_calc!$E$975))=0,"",INDEX('Our policies'!$D$4:$D$503,_calc!$E$975)))=0,"","Broker: "&amp;IF(LEN(INDEX('Our policies'!$D$4:$D$503,_calc!$E$975))=0,"",INDEX('Our policies'!$D$4:$D$503,_calc!$E$975))&amp;". ")&amp;IF(LEN(IF(LEN(INDEX('Our policies'!$E$4:$E$503,_calc!$E$975))=0,"",INDEX('Our policies'!$E$4:$E$503,_calc!$E$975)))=0,"","Policy no.: "&amp;IF(LEN(INDEX('Our policies'!$E$4:$E$503,_calc!$E$975))=0,"",INDEX('Our policies'!$E$4:$E$503,_calc!$E$975))&amp;". ")&amp;IF(LEN(IF(LEN(INDEX('Our policies'!$S$4:$S$503,_calc!$E$975))=0,"",INDEX('Our policies'!$S$4:$S$503,_calc!$E$975)))=0,"",IF(LEN(INDEX('Our policies'!$S$4:$S$503,_calc!$E$975))=0,"",INDEX('Our policies'!$S$4:$S$503,_calc!$E$975)))),TRIM(IF(LEN(IF(LEN(INDEX('Vendor COIs'!$C$4:$C$503,(_calc!$E$975-500)))=0,"",INDEX('Vendor COIs'!$C$4:$C$503,(_calc!$E$975-500))))=0,"","Insurer: "&amp;IF(LEN(INDEX('Vendor COIs'!$C$4:$C$503,(_calc!$E$975-500)))=0,"",INDEX('Vendor COIs'!$C$4:$C$503,(_calc!$E$975-500)))&amp;". ")&amp;IF(LEN(IF(LEN(INDEX('Vendor COIs'!$D$4:$D$503,(_calc!$E$975-500)))=0,"",INDEX('Vendor COIs'!$D$4:$D$503,(_calc!$E$975-500))))=0,"","Policy no.: "&amp;IF(LEN(INDEX('Vendor COIs'!$D$4:$D$503,(_calc!$E$975-500)))=0,"",INDEX('Vendor COIs'!$D$4:$D$503,(_calc!$E$975-500)))&amp;". ")&amp;IF(LEN(IF(LEN(INDEX('Vendor COIs'!$F$4:$F$503,(_calc!$E$975-500)))=0,"",INDEX('Vendor COIs'!$F$4:$F$503,(_calc!$E$975-500))))=0,"","Meets minimum: "&amp;IF(LEN(INDEX('Vendor COIs'!$F$4:$F$503,(_calc!$E$975-500)))=0,"",INDEX('Vendor COIs'!$F$4:$F$503,(_calc!$E$975-500)))&amp;". ")&amp;IF(LEN(IF(LEN(INDEX('Vendor COIs'!$G$4:$G$503,(_calc!$E$975-500)))=0,"",INDEX('Vendor COIs'!$G$4:$G$503,(_calc!$E$975-500))))=0,"","Additional insured: "&amp;IF(LEN(INDEX('Vendor COIs'!$G$4:$G$503,(_calc!$E$975-500)))=0,"",INDEX('Vendor COIs'!$G$4:$G$503,(_calc!$E$975-500)))&amp;". ")&amp;IF(LEN(IF(LEN(INDEX('Vendor COIs'!$M$4:$M$503,(_calc!$E$975-500)))=0,"",INDEX('Vendor COIs'!$M$4:$M$503,(_calc!$E$975-500))))=0,"","Vendor contact: "&amp;IF(LEN(INDEX('Vendor COIs'!$M$4:$M$503,(_calc!$E$975-500)))=0,"",INDEX('Vendor COIs'!$M$4:$M$503,(_calc!$E$975-500)))&amp;". ")&amp;IF(LEN(IF(LEN(INDEX('Vendor COIs'!$P$4:$P$503,(_calc!$E$975-500)))=0,"",INDEX('Vendor COIs'!$P$4:$P$503,(_calc!$E$975-500))))=0,"",IF(LEN(INDEX('Vendor COIs'!$P$4:$P$503,(_calc!$E$975-500)))=0,"",INDEX('Vendor COIs'!$P$4:$P$503,(_calc!$E$975-500)))))))</f>
        <v/>
      </c>
      <c r="G973" s="46">
        <f>IF(_calc!$E$975="","",IF(_calc!$E$975&lt;=500,IF(LEN(INDEX('Our policies'!$R$4:$R$503,_calc!$E$975))=0,"",INDEX('Our policies'!$R$4:$R$503,_calc!$E$975)),IF(LEN(INDEX('Vendor COIs'!$O$4:$O$503,(_calc!$E$975-500)))=0,"",INDEX('Vendor COIs'!$O$4:$O$503,(_calc!$E$975-500)))))</f>
        <v/>
      </c>
      <c r="H973" s="46">
        <f>IF(_calc!$E$975="","",IF(_calc!$E$975&lt;=500,IF(LEN(INDEX('Our policies'!$G$4:$G$503,_calc!$E$975))=0,"",INDEX('Our policies'!$G$4:$G$503,_calc!$E$975)),""))</f>
        <v/>
      </c>
      <c r="I973" s="46">
        <f>IF(_calc!$E$975="","",IF(_calc!$E$975&lt;=500,IF(LEN(INDEX('Our policies'!$H$4:$H$503,_calc!$E$975))=0,"",INDEX('Our policies'!$H$4:$H$503,_calc!$E$975)),""))</f>
        <v/>
      </c>
      <c r="K973" s="46">
        <f>IF(_calc!$E$975="","",IF(_calc!$E$975&lt;=500,IF(LEN(INDEX('Our policies'!$P$4:$P$503,_calc!$E$975))=0,"",INDEX('Our policies'!$P$4:$P$503,_calc!$E$975)),IF(LEN(INDEX('Vendor COIs'!$N$4:$N$503,(_calc!$E$975-500)))=0,"",INDEX('Vendor COIs'!$N$4:$N$503,(_calc!$E$975-500)))))</f>
        <v/>
      </c>
    </row>
    <row r="974">
      <c r="A974" s="46">
        <f>IF(_calc!$E$976="","",IF(_calc!$E$976&lt;=500,IF(LEN(INDEX('Our policies'!$A$4:$A$503,_calc!$E$976))=0,"",INDEX('Our policies'!$A$4:$A$503,_calc!$E$976)),"COI – "&amp;IF(LEN(INDEX('Vendor COIs'!$A$4:$A$503,(_calc!$E$976-500)))=0,"",INDEX('Vendor COIs'!$A$4:$A$503,(_calc!$E$976-500)))&amp;" – "&amp;IF(LEN(INDEX('Vendor COIs'!$B$4:$B$503,(_calc!$E$976-500)))=0,"",INDEX('Vendor COIs'!$B$4:$B$503,(_calc!$E$976-500)))))</f>
        <v/>
      </c>
      <c r="B974" s="46">
        <f>IF(_calc!$E$976="","",IF(_calc!$E$976&lt;=500,IF(ISNUMBER(INDEX('Our policies'!$J$4:$J$503,_calc!$E$976)),TEXT(INDEX('Our policies'!$J$4:$J$503,_calc!$E$976),"yyyy-mm-dd"),""),IF(ISNUMBER(INDEX('Vendor COIs'!$H$4:$H$503,(_calc!$E$976-500))),TEXT(INDEX('Vendor COIs'!$H$4:$H$503,(_calc!$E$976-500)),"yyyy-mm-dd"),"")))</f>
        <v/>
      </c>
      <c r="C974" s="46">
        <f>IF(_calc!$E$976="","",IF(_calc!$E$976&lt;=500,"Insurance","Certificate of insurance"))</f>
        <v/>
      </c>
      <c r="D974" s="46">
        <f>IF(_calc!$E$976="","",IF(_calc!$E$976&lt;=500,IF(ISNUMBER(INDEX('Our policies'!$I$4:$I$503,_calc!$E$976)),TEXT(INDEX('Our policies'!$I$4:$I$503,_calc!$E$976),"yyyy-mm-dd"),""),""))</f>
        <v/>
      </c>
      <c r="E974" s="46">
        <f>IF(_calc!$E$976="","",IF(_calc!$E$976&lt;=500,IF(LEN(INDEX('Our policies'!$Q$4:$Q$503,_calc!$E$976))=0,"",INDEX('Our policies'!$Q$4:$Q$503,_calc!$E$976)),"Medium"))</f>
        <v/>
      </c>
      <c r="F974" s="46">
        <f>IF(_calc!$E$976="","",IF(_calc!$E$976&lt;=500,TRIM(IF(LEN(IF(LEN(INDEX('Our policies'!$B$4:$B$503,_calc!$E$976))=0,"",INDEX('Our policies'!$B$4:$B$503,_calc!$E$976)))=0,"","Cover: "&amp;IF(LEN(INDEX('Our policies'!$B$4:$B$503,_calc!$E$976))=0,"",INDEX('Our policies'!$B$4:$B$503,_calc!$E$976))&amp;". ")&amp;IF(LEN(IF(LEN(INDEX('Our policies'!$C$4:$C$503,_calc!$E$976))=0,"",INDEX('Our policies'!$C$4:$C$503,_calc!$E$976)))=0,"","Insurer: "&amp;IF(LEN(INDEX('Our policies'!$C$4:$C$503,_calc!$E$976))=0,"",INDEX('Our policies'!$C$4:$C$503,_calc!$E$976))&amp;". ")&amp;IF(LEN(IF(LEN(INDEX('Our policies'!$D$4:$D$503,_calc!$E$976))=0,"",INDEX('Our policies'!$D$4:$D$503,_calc!$E$976)))=0,"","Broker: "&amp;IF(LEN(INDEX('Our policies'!$D$4:$D$503,_calc!$E$976))=0,"",INDEX('Our policies'!$D$4:$D$503,_calc!$E$976))&amp;". ")&amp;IF(LEN(IF(LEN(INDEX('Our policies'!$E$4:$E$503,_calc!$E$976))=0,"",INDEX('Our policies'!$E$4:$E$503,_calc!$E$976)))=0,"","Policy no.: "&amp;IF(LEN(INDEX('Our policies'!$E$4:$E$503,_calc!$E$976))=0,"",INDEX('Our policies'!$E$4:$E$503,_calc!$E$976))&amp;". ")&amp;IF(LEN(IF(LEN(INDEX('Our policies'!$S$4:$S$503,_calc!$E$976))=0,"",INDEX('Our policies'!$S$4:$S$503,_calc!$E$976)))=0,"",IF(LEN(INDEX('Our policies'!$S$4:$S$503,_calc!$E$976))=0,"",INDEX('Our policies'!$S$4:$S$503,_calc!$E$976)))),TRIM(IF(LEN(IF(LEN(INDEX('Vendor COIs'!$C$4:$C$503,(_calc!$E$976-500)))=0,"",INDEX('Vendor COIs'!$C$4:$C$503,(_calc!$E$976-500))))=0,"","Insurer: "&amp;IF(LEN(INDEX('Vendor COIs'!$C$4:$C$503,(_calc!$E$976-500)))=0,"",INDEX('Vendor COIs'!$C$4:$C$503,(_calc!$E$976-500)))&amp;". ")&amp;IF(LEN(IF(LEN(INDEX('Vendor COIs'!$D$4:$D$503,(_calc!$E$976-500)))=0,"",INDEX('Vendor COIs'!$D$4:$D$503,(_calc!$E$976-500))))=0,"","Policy no.: "&amp;IF(LEN(INDEX('Vendor COIs'!$D$4:$D$503,(_calc!$E$976-500)))=0,"",INDEX('Vendor COIs'!$D$4:$D$503,(_calc!$E$976-500)))&amp;". ")&amp;IF(LEN(IF(LEN(INDEX('Vendor COIs'!$F$4:$F$503,(_calc!$E$976-500)))=0,"",INDEX('Vendor COIs'!$F$4:$F$503,(_calc!$E$976-500))))=0,"","Meets minimum: "&amp;IF(LEN(INDEX('Vendor COIs'!$F$4:$F$503,(_calc!$E$976-500)))=0,"",INDEX('Vendor COIs'!$F$4:$F$503,(_calc!$E$976-500)))&amp;". ")&amp;IF(LEN(IF(LEN(INDEX('Vendor COIs'!$G$4:$G$503,(_calc!$E$976-500)))=0,"",INDEX('Vendor COIs'!$G$4:$G$503,(_calc!$E$976-500))))=0,"","Additional insured: "&amp;IF(LEN(INDEX('Vendor COIs'!$G$4:$G$503,(_calc!$E$976-500)))=0,"",INDEX('Vendor COIs'!$G$4:$G$503,(_calc!$E$976-500)))&amp;". ")&amp;IF(LEN(IF(LEN(INDEX('Vendor COIs'!$M$4:$M$503,(_calc!$E$976-500)))=0,"",INDEX('Vendor COIs'!$M$4:$M$503,(_calc!$E$976-500))))=0,"","Vendor contact: "&amp;IF(LEN(INDEX('Vendor COIs'!$M$4:$M$503,(_calc!$E$976-500)))=0,"",INDEX('Vendor COIs'!$M$4:$M$503,(_calc!$E$976-500)))&amp;". ")&amp;IF(LEN(IF(LEN(INDEX('Vendor COIs'!$P$4:$P$503,(_calc!$E$976-500)))=0,"",INDEX('Vendor COIs'!$P$4:$P$503,(_calc!$E$976-500))))=0,"",IF(LEN(INDEX('Vendor COIs'!$P$4:$P$503,(_calc!$E$976-500)))=0,"",INDEX('Vendor COIs'!$P$4:$P$503,(_calc!$E$976-500)))))))</f>
        <v/>
      </c>
      <c r="G974" s="46">
        <f>IF(_calc!$E$976="","",IF(_calc!$E$976&lt;=500,IF(LEN(INDEX('Our policies'!$R$4:$R$503,_calc!$E$976))=0,"",INDEX('Our policies'!$R$4:$R$503,_calc!$E$976)),IF(LEN(INDEX('Vendor COIs'!$O$4:$O$503,(_calc!$E$976-500)))=0,"",INDEX('Vendor COIs'!$O$4:$O$503,(_calc!$E$976-500)))))</f>
        <v/>
      </c>
      <c r="H974" s="46">
        <f>IF(_calc!$E$976="","",IF(_calc!$E$976&lt;=500,IF(LEN(INDEX('Our policies'!$G$4:$G$503,_calc!$E$976))=0,"",INDEX('Our policies'!$G$4:$G$503,_calc!$E$976)),""))</f>
        <v/>
      </c>
      <c r="I974" s="46">
        <f>IF(_calc!$E$976="","",IF(_calc!$E$976&lt;=500,IF(LEN(INDEX('Our policies'!$H$4:$H$503,_calc!$E$976))=0,"",INDEX('Our policies'!$H$4:$H$503,_calc!$E$976)),""))</f>
        <v/>
      </c>
      <c r="K974" s="46">
        <f>IF(_calc!$E$976="","",IF(_calc!$E$976&lt;=500,IF(LEN(INDEX('Our policies'!$P$4:$P$503,_calc!$E$976))=0,"",INDEX('Our policies'!$P$4:$P$503,_calc!$E$976)),IF(LEN(INDEX('Vendor COIs'!$N$4:$N$503,(_calc!$E$976-500)))=0,"",INDEX('Vendor COIs'!$N$4:$N$503,(_calc!$E$976-500)))))</f>
        <v/>
      </c>
    </row>
    <row r="975">
      <c r="A975" s="46">
        <f>IF(_calc!$E$977="","",IF(_calc!$E$977&lt;=500,IF(LEN(INDEX('Our policies'!$A$4:$A$503,_calc!$E$977))=0,"",INDEX('Our policies'!$A$4:$A$503,_calc!$E$977)),"COI – "&amp;IF(LEN(INDEX('Vendor COIs'!$A$4:$A$503,(_calc!$E$977-500)))=0,"",INDEX('Vendor COIs'!$A$4:$A$503,(_calc!$E$977-500)))&amp;" – "&amp;IF(LEN(INDEX('Vendor COIs'!$B$4:$B$503,(_calc!$E$977-500)))=0,"",INDEX('Vendor COIs'!$B$4:$B$503,(_calc!$E$977-500)))))</f>
        <v/>
      </c>
      <c r="B975" s="46">
        <f>IF(_calc!$E$977="","",IF(_calc!$E$977&lt;=500,IF(ISNUMBER(INDEX('Our policies'!$J$4:$J$503,_calc!$E$977)),TEXT(INDEX('Our policies'!$J$4:$J$503,_calc!$E$977),"yyyy-mm-dd"),""),IF(ISNUMBER(INDEX('Vendor COIs'!$H$4:$H$503,(_calc!$E$977-500))),TEXT(INDEX('Vendor COIs'!$H$4:$H$503,(_calc!$E$977-500)),"yyyy-mm-dd"),"")))</f>
        <v/>
      </c>
      <c r="C975" s="46">
        <f>IF(_calc!$E$977="","",IF(_calc!$E$977&lt;=500,"Insurance","Certificate of insurance"))</f>
        <v/>
      </c>
      <c r="D975" s="46">
        <f>IF(_calc!$E$977="","",IF(_calc!$E$977&lt;=500,IF(ISNUMBER(INDEX('Our policies'!$I$4:$I$503,_calc!$E$977)),TEXT(INDEX('Our policies'!$I$4:$I$503,_calc!$E$977),"yyyy-mm-dd"),""),""))</f>
        <v/>
      </c>
      <c r="E975" s="46">
        <f>IF(_calc!$E$977="","",IF(_calc!$E$977&lt;=500,IF(LEN(INDEX('Our policies'!$Q$4:$Q$503,_calc!$E$977))=0,"",INDEX('Our policies'!$Q$4:$Q$503,_calc!$E$977)),"Medium"))</f>
        <v/>
      </c>
      <c r="F975" s="46">
        <f>IF(_calc!$E$977="","",IF(_calc!$E$977&lt;=500,TRIM(IF(LEN(IF(LEN(INDEX('Our policies'!$B$4:$B$503,_calc!$E$977))=0,"",INDEX('Our policies'!$B$4:$B$503,_calc!$E$977)))=0,"","Cover: "&amp;IF(LEN(INDEX('Our policies'!$B$4:$B$503,_calc!$E$977))=0,"",INDEX('Our policies'!$B$4:$B$503,_calc!$E$977))&amp;". ")&amp;IF(LEN(IF(LEN(INDEX('Our policies'!$C$4:$C$503,_calc!$E$977))=0,"",INDEX('Our policies'!$C$4:$C$503,_calc!$E$977)))=0,"","Insurer: "&amp;IF(LEN(INDEX('Our policies'!$C$4:$C$503,_calc!$E$977))=0,"",INDEX('Our policies'!$C$4:$C$503,_calc!$E$977))&amp;". ")&amp;IF(LEN(IF(LEN(INDEX('Our policies'!$D$4:$D$503,_calc!$E$977))=0,"",INDEX('Our policies'!$D$4:$D$503,_calc!$E$977)))=0,"","Broker: "&amp;IF(LEN(INDEX('Our policies'!$D$4:$D$503,_calc!$E$977))=0,"",INDEX('Our policies'!$D$4:$D$503,_calc!$E$977))&amp;". ")&amp;IF(LEN(IF(LEN(INDEX('Our policies'!$E$4:$E$503,_calc!$E$977))=0,"",INDEX('Our policies'!$E$4:$E$503,_calc!$E$977)))=0,"","Policy no.: "&amp;IF(LEN(INDEX('Our policies'!$E$4:$E$503,_calc!$E$977))=0,"",INDEX('Our policies'!$E$4:$E$503,_calc!$E$977))&amp;". ")&amp;IF(LEN(IF(LEN(INDEX('Our policies'!$S$4:$S$503,_calc!$E$977))=0,"",INDEX('Our policies'!$S$4:$S$503,_calc!$E$977)))=0,"",IF(LEN(INDEX('Our policies'!$S$4:$S$503,_calc!$E$977))=0,"",INDEX('Our policies'!$S$4:$S$503,_calc!$E$977)))),TRIM(IF(LEN(IF(LEN(INDEX('Vendor COIs'!$C$4:$C$503,(_calc!$E$977-500)))=0,"",INDEX('Vendor COIs'!$C$4:$C$503,(_calc!$E$977-500))))=0,"","Insurer: "&amp;IF(LEN(INDEX('Vendor COIs'!$C$4:$C$503,(_calc!$E$977-500)))=0,"",INDEX('Vendor COIs'!$C$4:$C$503,(_calc!$E$977-500)))&amp;". ")&amp;IF(LEN(IF(LEN(INDEX('Vendor COIs'!$D$4:$D$503,(_calc!$E$977-500)))=0,"",INDEX('Vendor COIs'!$D$4:$D$503,(_calc!$E$977-500))))=0,"","Policy no.: "&amp;IF(LEN(INDEX('Vendor COIs'!$D$4:$D$503,(_calc!$E$977-500)))=0,"",INDEX('Vendor COIs'!$D$4:$D$503,(_calc!$E$977-500)))&amp;". ")&amp;IF(LEN(IF(LEN(INDEX('Vendor COIs'!$F$4:$F$503,(_calc!$E$977-500)))=0,"",INDEX('Vendor COIs'!$F$4:$F$503,(_calc!$E$977-500))))=0,"","Meets minimum: "&amp;IF(LEN(INDEX('Vendor COIs'!$F$4:$F$503,(_calc!$E$977-500)))=0,"",INDEX('Vendor COIs'!$F$4:$F$503,(_calc!$E$977-500)))&amp;". ")&amp;IF(LEN(IF(LEN(INDEX('Vendor COIs'!$G$4:$G$503,(_calc!$E$977-500)))=0,"",INDEX('Vendor COIs'!$G$4:$G$503,(_calc!$E$977-500))))=0,"","Additional insured: "&amp;IF(LEN(INDEX('Vendor COIs'!$G$4:$G$503,(_calc!$E$977-500)))=0,"",INDEX('Vendor COIs'!$G$4:$G$503,(_calc!$E$977-500)))&amp;". ")&amp;IF(LEN(IF(LEN(INDEX('Vendor COIs'!$M$4:$M$503,(_calc!$E$977-500)))=0,"",INDEX('Vendor COIs'!$M$4:$M$503,(_calc!$E$977-500))))=0,"","Vendor contact: "&amp;IF(LEN(INDEX('Vendor COIs'!$M$4:$M$503,(_calc!$E$977-500)))=0,"",INDEX('Vendor COIs'!$M$4:$M$503,(_calc!$E$977-500)))&amp;". ")&amp;IF(LEN(IF(LEN(INDEX('Vendor COIs'!$P$4:$P$503,(_calc!$E$977-500)))=0,"",INDEX('Vendor COIs'!$P$4:$P$503,(_calc!$E$977-500))))=0,"",IF(LEN(INDEX('Vendor COIs'!$P$4:$P$503,(_calc!$E$977-500)))=0,"",INDEX('Vendor COIs'!$P$4:$P$503,(_calc!$E$977-500)))))))</f>
        <v/>
      </c>
      <c r="G975" s="46">
        <f>IF(_calc!$E$977="","",IF(_calc!$E$977&lt;=500,IF(LEN(INDEX('Our policies'!$R$4:$R$503,_calc!$E$977))=0,"",INDEX('Our policies'!$R$4:$R$503,_calc!$E$977)),IF(LEN(INDEX('Vendor COIs'!$O$4:$O$503,(_calc!$E$977-500)))=0,"",INDEX('Vendor COIs'!$O$4:$O$503,(_calc!$E$977-500)))))</f>
        <v/>
      </c>
      <c r="H975" s="46">
        <f>IF(_calc!$E$977="","",IF(_calc!$E$977&lt;=500,IF(LEN(INDEX('Our policies'!$G$4:$G$503,_calc!$E$977))=0,"",INDEX('Our policies'!$G$4:$G$503,_calc!$E$977)),""))</f>
        <v/>
      </c>
      <c r="I975" s="46">
        <f>IF(_calc!$E$977="","",IF(_calc!$E$977&lt;=500,IF(LEN(INDEX('Our policies'!$H$4:$H$503,_calc!$E$977))=0,"",INDEX('Our policies'!$H$4:$H$503,_calc!$E$977)),""))</f>
        <v/>
      </c>
      <c r="K975" s="46">
        <f>IF(_calc!$E$977="","",IF(_calc!$E$977&lt;=500,IF(LEN(INDEX('Our policies'!$P$4:$P$503,_calc!$E$977))=0,"",INDEX('Our policies'!$P$4:$P$503,_calc!$E$977)),IF(LEN(INDEX('Vendor COIs'!$N$4:$N$503,(_calc!$E$977-500)))=0,"",INDEX('Vendor COIs'!$N$4:$N$503,(_calc!$E$977-500)))))</f>
        <v/>
      </c>
    </row>
    <row r="976">
      <c r="A976" s="46">
        <f>IF(_calc!$E$978="","",IF(_calc!$E$978&lt;=500,IF(LEN(INDEX('Our policies'!$A$4:$A$503,_calc!$E$978))=0,"",INDEX('Our policies'!$A$4:$A$503,_calc!$E$978)),"COI – "&amp;IF(LEN(INDEX('Vendor COIs'!$A$4:$A$503,(_calc!$E$978-500)))=0,"",INDEX('Vendor COIs'!$A$4:$A$503,(_calc!$E$978-500)))&amp;" – "&amp;IF(LEN(INDEX('Vendor COIs'!$B$4:$B$503,(_calc!$E$978-500)))=0,"",INDEX('Vendor COIs'!$B$4:$B$503,(_calc!$E$978-500)))))</f>
        <v/>
      </c>
      <c r="B976" s="46">
        <f>IF(_calc!$E$978="","",IF(_calc!$E$978&lt;=500,IF(ISNUMBER(INDEX('Our policies'!$J$4:$J$503,_calc!$E$978)),TEXT(INDEX('Our policies'!$J$4:$J$503,_calc!$E$978),"yyyy-mm-dd"),""),IF(ISNUMBER(INDEX('Vendor COIs'!$H$4:$H$503,(_calc!$E$978-500))),TEXT(INDEX('Vendor COIs'!$H$4:$H$503,(_calc!$E$978-500)),"yyyy-mm-dd"),"")))</f>
        <v/>
      </c>
      <c r="C976" s="46">
        <f>IF(_calc!$E$978="","",IF(_calc!$E$978&lt;=500,"Insurance","Certificate of insurance"))</f>
        <v/>
      </c>
      <c r="D976" s="46">
        <f>IF(_calc!$E$978="","",IF(_calc!$E$978&lt;=500,IF(ISNUMBER(INDEX('Our policies'!$I$4:$I$503,_calc!$E$978)),TEXT(INDEX('Our policies'!$I$4:$I$503,_calc!$E$978),"yyyy-mm-dd"),""),""))</f>
        <v/>
      </c>
      <c r="E976" s="46">
        <f>IF(_calc!$E$978="","",IF(_calc!$E$978&lt;=500,IF(LEN(INDEX('Our policies'!$Q$4:$Q$503,_calc!$E$978))=0,"",INDEX('Our policies'!$Q$4:$Q$503,_calc!$E$978)),"Medium"))</f>
        <v/>
      </c>
      <c r="F976" s="46">
        <f>IF(_calc!$E$978="","",IF(_calc!$E$978&lt;=500,TRIM(IF(LEN(IF(LEN(INDEX('Our policies'!$B$4:$B$503,_calc!$E$978))=0,"",INDEX('Our policies'!$B$4:$B$503,_calc!$E$978)))=0,"","Cover: "&amp;IF(LEN(INDEX('Our policies'!$B$4:$B$503,_calc!$E$978))=0,"",INDEX('Our policies'!$B$4:$B$503,_calc!$E$978))&amp;". ")&amp;IF(LEN(IF(LEN(INDEX('Our policies'!$C$4:$C$503,_calc!$E$978))=0,"",INDEX('Our policies'!$C$4:$C$503,_calc!$E$978)))=0,"","Insurer: "&amp;IF(LEN(INDEX('Our policies'!$C$4:$C$503,_calc!$E$978))=0,"",INDEX('Our policies'!$C$4:$C$503,_calc!$E$978))&amp;". ")&amp;IF(LEN(IF(LEN(INDEX('Our policies'!$D$4:$D$503,_calc!$E$978))=0,"",INDEX('Our policies'!$D$4:$D$503,_calc!$E$978)))=0,"","Broker: "&amp;IF(LEN(INDEX('Our policies'!$D$4:$D$503,_calc!$E$978))=0,"",INDEX('Our policies'!$D$4:$D$503,_calc!$E$978))&amp;". ")&amp;IF(LEN(IF(LEN(INDEX('Our policies'!$E$4:$E$503,_calc!$E$978))=0,"",INDEX('Our policies'!$E$4:$E$503,_calc!$E$978)))=0,"","Policy no.: "&amp;IF(LEN(INDEX('Our policies'!$E$4:$E$503,_calc!$E$978))=0,"",INDEX('Our policies'!$E$4:$E$503,_calc!$E$978))&amp;". ")&amp;IF(LEN(IF(LEN(INDEX('Our policies'!$S$4:$S$503,_calc!$E$978))=0,"",INDEX('Our policies'!$S$4:$S$503,_calc!$E$978)))=0,"",IF(LEN(INDEX('Our policies'!$S$4:$S$503,_calc!$E$978))=0,"",INDEX('Our policies'!$S$4:$S$503,_calc!$E$978)))),TRIM(IF(LEN(IF(LEN(INDEX('Vendor COIs'!$C$4:$C$503,(_calc!$E$978-500)))=0,"",INDEX('Vendor COIs'!$C$4:$C$503,(_calc!$E$978-500))))=0,"","Insurer: "&amp;IF(LEN(INDEX('Vendor COIs'!$C$4:$C$503,(_calc!$E$978-500)))=0,"",INDEX('Vendor COIs'!$C$4:$C$503,(_calc!$E$978-500)))&amp;". ")&amp;IF(LEN(IF(LEN(INDEX('Vendor COIs'!$D$4:$D$503,(_calc!$E$978-500)))=0,"",INDEX('Vendor COIs'!$D$4:$D$503,(_calc!$E$978-500))))=0,"","Policy no.: "&amp;IF(LEN(INDEX('Vendor COIs'!$D$4:$D$503,(_calc!$E$978-500)))=0,"",INDEX('Vendor COIs'!$D$4:$D$503,(_calc!$E$978-500)))&amp;". ")&amp;IF(LEN(IF(LEN(INDEX('Vendor COIs'!$F$4:$F$503,(_calc!$E$978-500)))=0,"",INDEX('Vendor COIs'!$F$4:$F$503,(_calc!$E$978-500))))=0,"","Meets minimum: "&amp;IF(LEN(INDEX('Vendor COIs'!$F$4:$F$503,(_calc!$E$978-500)))=0,"",INDEX('Vendor COIs'!$F$4:$F$503,(_calc!$E$978-500)))&amp;". ")&amp;IF(LEN(IF(LEN(INDEX('Vendor COIs'!$G$4:$G$503,(_calc!$E$978-500)))=0,"",INDEX('Vendor COIs'!$G$4:$G$503,(_calc!$E$978-500))))=0,"","Additional insured: "&amp;IF(LEN(INDEX('Vendor COIs'!$G$4:$G$503,(_calc!$E$978-500)))=0,"",INDEX('Vendor COIs'!$G$4:$G$503,(_calc!$E$978-500)))&amp;". ")&amp;IF(LEN(IF(LEN(INDEX('Vendor COIs'!$M$4:$M$503,(_calc!$E$978-500)))=0,"",INDEX('Vendor COIs'!$M$4:$M$503,(_calc!$E$978-500))))=0,"","Vendor contact: "&amp;IF(LEN(INDEX('Vendor COIs'!$M$4:$M$503,(_calc!$E$978-500)))=0,"",INDEX('Vendor COIs'!$M$4:$M$503,(_calc!$E$978-500)))&amp;". ")&amp;IF(LEN(IF(LEN(INDEX('Vendor COIs'!$P$4:$P$503,(_calc!$E$978-500)))=0,"",INDEX('Vendor COIs'!$P$4:$P$503,(_calc!$E$978-500))))=0,"",IF(LEN(INDEX('Vendor COIs'!$P$4:$P$503,(_calc!$E$978-500)))=0,"",INDEX('Vendor COIs'!$P$4:$P$503,(_calc!$E$978-500)))))))</f>
        <v/>
      </c>
      <c r="G976" s="46">
        <f>IF(_calc!$E$978="","",IF(_calc!$E$978&lt;=500,IF(LEN(INDEX('Our policies'!$R$4:$R$503,_calc!$E$978))=0,"",INDEX('Our policies'!$R$4:$R$503,_calc!$E$978)),IF(LEN(INDEX('Vendor COIs'!$O$4:$O$503,(_calc!$E$978-500)))=0,"",INDEX('Vendor COIs'!$O$4:$O$503,(_calc!$E$978-500)))))</f>
        <v/>
      </c>
      <c r="H976" s="46">
        <f>IF(_calc!$E$978="","",IF(_calc!$E$978&lt;=500,IF(LEN(INDEX('Our policies'!$G$4:$G$503,_calc!$E$978))=0,"",INDEX('Our policies'!$G$4:$G$503,_calc!$E$978)),""))</f>
        <v/>
      </c>
      <c r="I976" s="46">
        <f>IF(_calc!$E$978="","",IF(_calc!$E$978&lt;=500,IF(LEN(INDEX('Our policies'!$H$4:$H$503,_calc!$E$978))=0,"",INDEX('Our policies'!$H$4:$H$503,_calc!$E$978)),""))</f>
        <v/>
      </c>
      <c r="K976" s="46">
        <f>IF(_calc!$E$978="","",IF(_calc!$E$978&lt;=500,IF(LEN(INDEX('Our policies'!$P$4:$P$503,_calc!$E$978))=0,"",INDEX('Our policies'!$P$4:$P$503,_calc!$E$978)),IF(LEN(INDEX('Vendor COIs'!$N$4:$N$503,(_calc!$E$978-500)))=0,"",INDEX('Vendor COIs'!$N$4:$N$503,(_calc!$E$978-500)))))</f>
        <v/>
      </c>
    </row>
    <row r="977">
      <c r="A977" s="46">
        <f>IF(_calc!$E$979="","",IF(_calc!$E$979&lt;=500,IF(LEN(INDEX('Our policies'!$A$4:$A$503,_calc!$E$979))=0,"",INDEX('Our policies'!$A$4:$A$503,_calc!$E$979)),"COI – "&amp;IF(LEN(INDEX('Vendor COIs'!$A$4:$A$503,(_calc!$E$979-500)))=0,"",INDEX('Vendor COIs'!$A$4:$A$503,(_calc!$E$979-500)))&amp;" – "&amp;IF(LEN(INDEX('Vendor COIs'!$B$4:$B$503,(_calc!$E$979-500)))=0,"",INDEX('Vendor COIs'!$B$4:$B$503,(_calc!$E$979-500)))))</f>
        <v/>
      </c>
      <c r="B977" s="46">
        <f>IF(_calc!$E$979="","",IF(_calc!$E$979&lt;=500,IF(ISNUMBER(INDEX('Our policies'!$J$4:$J$503,_calc!$E$979)),TEXT(INDEX('Our policies'!$J$4:$J$503,_calc!$E$979),"yyyy-mm-dd"),""),IF(ISNUMBER(INDEX('Vendor COIs'!$H$4:$H$503,(_calc!$E$979-500))),TEXT(INDEX('Vendor COIs'!$H$4:$H$503,(_calc!$E$979-500)),"yyyy-mm-dd"),"")))</f>
        <v/>
      </c>
      <c r="C977" s="46">
        <f>IF(_calc!$E$979="","",IF(_calc!$E$979&lt;=500,"Insurance","Certificate of insurance"))</f>
        <v/>
      </c>
      <c r="D977" s="46">
        <f>IF(_calc!$E$979="","",IF(_calc!$E$979&lt;=500,IF(ISNUMBER(INDEX('Our policies'!$I$4:$I$503,_calc!$E$979)),TEXT(INDEX('Our policies'!$I$4:$I$503,_calc!$E$979),"yyyy-mm-dd"),""),""))</f>
        <v/>
      </c>
      <c r="E977" s="46">
        <f>IF(_calc!$E$979="","",IF(_calc!$E$979&lt;=500,IF(LEN(INDEX('Our policies'!$Q$4:$Q$503,_calc!$E$979))=0,"",INDEX('Our policies'!$Q$4:$Q$503,_calc!$E$979)),"Medium"))</f>
        <v/>
      </c>
      <c r="F977" s="46">
        <f>IF(_calc!$E$979="","",IF(_calc!$E$979&lt;=500,TRIM(IF(LEN(IF(LEN(INDEX('Our policies'!$B$4:$B$503,_calc!$E$979))=0,"",INDEX('Our policies'!$B$4:$B$503,_calc!$E$979)))=0,"","Cover: "&amp;IF(LEN(INDEX('Our policies'!$B$4:$B$503,_calc!$E$979))=0,"",INDEX('Our policies'!$B$4:$B$503,_calc!$E$979))&amp;". ")&amp;IF(LEN(IF(LEN(INDEX('Our policies'!$C$4:$C$503,_calc!$E$979))=0,"",INDEX('Our policies'!$C$4:$C$503,_calc!$E$979)))=0,"","Insurer: "&amp;IF(LEN(INDEX('Our policies'!$C$4:$C$503,_calc!$E$979))=0,"",INDEX('Our policies'!$C$4:$C$503,_calc!$E$979))&amp;". ")&amp;IF(LEN(IF(LEN(INDEX('Our policies'!$D$4:$D$503,_calc!$E$979))=0,"",INDEX('Our policies'!$D$4:$D$503,_calc!$E$979)))=0,"","Broker: "&amp;IF(LEN(INDEX('Our policies'!$D$4:$D$503,_calc!$E$979))=0,"",INDEX('Our policies'!$D$4:$D$503,_calc!$E$979))&amp;". ")&amp;IF(LEN(IF(LEN(INDEX('Our policies'!$E$4:$E$503,_calc!$E$979))=0,"",INDEX('Our policies'!$E$4:$E$503,_calc!$E$979)))=0,"","Policy no.: "&amp;IF(LEN(INDEX('Our policies'!$E$4:$E$503,_calc!$E$979))=0,"",INDEX('Our policies'!$E$4:$E$503,_calc!$E$979))&amp;". ")&amp;IF(LEN(IF(LEN(INDEX('Our policies'!$S$4:$S$503,_calc!$E$979))=0,"",INDEX('Our policies'!$S$4:$S$503,_calc!$E$979)))=0,"",IF(LEN(INDEX('Our policies'!$S$4:$S$503,_calc!$E$979))=0,"",INDEX('Our policies'!$S$4:$S$503,_calc!$E$979)))),TRIM(IF(LEN(IF(LEN(INDEX('Vendor COIs'!$C$4:$C$503,(_calc!$E$979-500)))=0,"",INDEX('Vendor COIs'!$C$4:$C$503,(_calc!$E$979-500))))=0,"","Insurer: "&amp;IF(LEN(INDEX('Vendor COIs'!$C$4:$C$503,(_calc!$E$979-500)))=0,"",INDEX('Vendor COIs'!$C$4:$C$503,(_calc!$E$979-500)))&amp;". ")&amp;IF(LEN(IF(LEN(INDEX('Vendor COIs'!$D$4:$D$503,(_calc!$E$979-500)))=0,"",INDEX('Vendor COIs'!$D$4:$D$503,(_calc!$E$979-500))))=0,"","Policy no.: "&amp;IF(LEN(INDEX('Vendor COIs'!$D$4:$D$503,(_calc!$E$979-500)))=0,"",INDEX('Vendor COIs'!$D$4:$D$503,(_calc!$E$979-500)))&amp;". ")&amp;IF(LEN(IF(LEN(INDEX('Vendor COIs'!$F$4:$F$503,(_calc!$E$979-500)))=0,"",INDEX('Vendor COIs'!$F$4:$F$503,(_calc!$E$979-500))))=0,"","Meets minimum: "&amp;IF(LEN(INDEX('Vendor COIs'!$F$4:$F$503,(_calc!$E$979-500)))=0,"",INDEX('Vendor COIs'!$F$4:$F$503,(_calc!$E$979-500)))&amp;". ")&amp;IF(LEN(IF(LEN(INDEX('Vendor COIs'!$G$4:$G$503,(_calc!$E$979-500)))=0,"",INDEX('Vendor COIs'!$G$4:$G$503,(_calc!$E$979-500))))=0,"","Additional insured: "&amp;IF(LEN(INDEX('Vendor COIs'!$G$4:$G$503,(_calc!$E$979-500)))=0,"",INDEX('Vendor COIs'!$G$4:$G$503,(_calc!$E$979-500)))&amp;". ")&amp;IF(LEN(IF(LEN(INDEX('Vendor COIs'!$M$4:$M$503,(_calc!$E$979-500)))=0,"",INDEX('Vendor COIs'!$M$4:$M$503,(_calc!$E$979-500))))=0,"","Vendor contact: "&amp;IF(LEN(INDEX('Vendor COIs'!$M$4:$M$503,(_calc!$E$979-500)))=0,"",INDEX('Vendor COIs'!$M$4:$M$503,(_calc!$E$979-500)))&amp;". ")&amp;IF(LEN(IF(LEN(INDEX('Vendor COIs'!$P$4:$P$503,(_calc!$E$979-500)))=0,"",INDEX('Vendor COIs'!$P$4:$P$503,(_calc!$E$979-500))))=0,"",IF(LEN(INDEX('Vendor COIs'!$P$4:$P$503,(_calc!$E$979-500)))=0,"",INDEX('Vendor COIs'!$P$4:$P$503,(_calc!$E$979-500)))))))</f>
        <v/>
      </c>
      <c r="G977" s="46">
        <f>IF(_calc!$E$979="","",IF(_calc!$E$979&lt;=500,IF(LEN(INDEX('Our policies'!$R$4:$R$503,_calc!$E$979))=0,"",INDEX('Our policies'!$R$4:$R$503,_calc!$E$979)),IF(LEN(INDEX('Vendor COIs'!$O$4:$O$503,(_calc!$E$979-500)))=0,"",INDEX('Vendor COIs'!$O$4:$O$503,(_calc!$E$979-500)))))</f>
        <v/>
      </c>
      <c r="H977" s="46">
        <f>IF(_calc!$E$979="","",IF(_calc!$E$979&lt;=500,IF(LEN(INDEX('Our policies'!$G$4:$G$503,_calc!$E$979))=0,"",INDEX('Our policies'!$G$4:$G$503,_calc!$E$979)),""))</f>
        <v/>
      </c>
      <c r="I977" s="46">
        <f>IF(_calc!$E$979="","",IF(_calc!$E$979&lt;=500,IF(LEN(INDEX('Our policies'!$H$4:$H$503,_calc!$E$979))=0,"",INDEX('Our policies'!$H$4:$H$503,_calc!$E$979)),""))</f>
        <v/>
      </c>
      <c r="K977" s="46">
        <f>IF(_calc!$E$979="","",IF(_calc!$E$979&lt;=500,IF(LEN(INDEX('Our policies'!$P$4:$P$503,_calc!$E$979))=0,"",INDEX('Our policies'!$P$4:$P$503,_calc!$E$979)),IF(LEN(INDEX('Vendor COIs'!$N$4:$N$503,(_calc!$E$979-500)))=0,"",INDEX('Vendor COIs'!$N$4:$N$503,(_calc!$E$979-500)))))</f>
        <v/>
      </c>
    </row>
    <row r="978">
      <c r="A978" s="46">
        <f>IF(_calc!$E$980="","",IF(_calc!$E$980&lt;=500,IF(LEN(INDEX('Our policies'!$A$4:$A$503,_calc!$E$980))=0,"",INDEX('Our policies'!$A$4:$A$503,_calc!$E$980)),"COI – "&amp;IF(LEN(INDEX('Vendor COIs'!$A$4:$A$503,(_calc!$E$980-500)))=0,"",INDEX('Vendor COIs'!$A$4:$A$503,(_calc!$E$980-500)))&amp;" – "&amp;IF(LEN(INDEX('Vendor COIs'!$B$4:$B$503,(_calc!$E$980-500)))=0,"",INDEX('Vendor COIs'!$B$4:$B$503,(_calc!$E$980-500)))))</f>
        <v/>
      </c>
      <c r="B978" s="46">
        <f>IF(_calc!$E$980="","",IF(_calc!$E$980&lt;=500,IF(ISNUMBER(INDEX('Our policies'!$J$4:$J$503,_calc!$E$980)),TEXT(INDEX('Our policies'!$J$4:$J$503,_calc!$E$980),"yyyy-mm-dd"),""),IF(ISNUMBER(INDEX('Vendor COIs'!$H$4:$H$503,(_calc!$E$980-500))),TEXT(INDEX('Vendor COIs'!$H$4:$H$503,(_calc!$E$980-500)),"yyyy-mm-dd"),"")))</f>
        <v/>
      </c>
      <c r="C978" s="46">
        <f>IF(_calc!$E$980="","",IF(_calc!$E$980&lt;=500,"Insurance","Certificate of insurance"))</f>
        <v/>
      </c>
      <c r="D978" s="46">
        <f>IF(_calc!$E$980="","",IF(_calc!$E$980&lt;=500,IF(ISNUMBER(INDEX('Our policies'!$I$4:$I$503,_calc!$E$980)),TEXT(INDEX('Our policies'!$I$4:$I$503,_calc!$E$980),"yyyy-mm-dd"),""),""))</f>
        <v/>
      </c>
      <c r="E978" s="46">
        <f>IF(_calc!$E$980="","",IF(_calc!$E$980&lt;=500,IF(LEN(INDEX('Our policies'!$Q$4:$Q$503,_calc!$E$980))=0,"",INDEX('Our policies'!$Q$4:$Q$503,_calc!$E$980)),"Medium"))</f>
        <v/>
      </c>
      <c r="F978" s="46">
        <f>IF(_calc!$E$980="","",IF(_calc!$E$980&lt;=500,TRIM(IF(LEN(IF(LEN(INDEX('Our policies'!$B$4:$B$503,_calc!$E$980))=0,"",INDEX('Our policies'!$B$4:$B$503,_calc!$E$980)))=0,"","Cover: "&amp;IF(LEN(INDEX('Our policies'!$B$4:$B$503,_calc!$E$980))=0,"",INDEX('Our policies'!$B$4:$B$503,_calc!$E$980))&amp;". ")&amp;IF(LEN(IF(LEN(INDEX('Our policies'!$C$4:$C$503,_calc!$E$980))=0,"",INDEX('Our policies'!$C$4:$C$503,_calc!$E$980)))=0,"","Insurer: "&amp;IF(LEN(INDEX('Our policies'!$C$4:$C$503,_calc!$E$980))=0,"",INDEX('Our policies'!$C$4:$C$503,_calc!$E$980))&amp;". ")&amp;IF(LEN(IF(LEN(INDEX('Our policies'!$D$4:$D$503,_calc!$E$980))=0,"",INDEX('Our policies'!$D$4:$D$503,_calc!$E$980)))=0,"","Broker: "&amp;IF(LEN(INDEX('Our policies'!$D$4:$D$503,_calc!$E$980))=0,"",INDEX('Our policies'!$D$4:$D$503,_calc!$E$980))&amp;". ")&amp;IF(LEN(IF(LEN(INDEX('Our policies'!$E$4:$E$503,_calc!$E$980))=0,"",INDEX('Our policies'!$E$4:$E$503,_calc!$E$980)))=0,"","Policy no.: "&amp;IF(LEN(INDEX('Our policies'!$E$4:$E$503,_calc!$E$980))=0,"",INDEX('Our policies'!$E$4:$E$503,_calc!$E$980))&amp;". ")&amp;IF(LEN(IF(LEN(INDEX('Our policies'!$S$4:$S$503,_calc!$E$980))=0,"",INDEX('Our policies'!$S$4:$S$503,_calc!$E$980)))=0,"",IF(LEN(INDEX('Our policies'!$S$4:$S$503,_calc!$E$980))=0,"",INDEX('Our policies'!$S$4:$S$503,_calc!$E$980)))),TRIM(IF(LEN(IF(LEN(INDEX('Vendor COIs'!$C$4:$C$503,(_calc!$E$980-500)))=0,"",INDEX('Vendor COIs'!$C$4:$C$503,(_calc!$E$980-500))))=0,"","Insurer: "&amp;IF(LEN(INDEX('Vendor COIs'!$C$4:$C$503,(_calc!$E$980-500)))=0,"",INDEX('Vendor COIs'!$C$4:$C$503,(_calc!$E$980-500)))&amp;". ")&amp;IF(LEN(IF(LEN(INDEX('Vendor COIs'!$D$4:$D$503,(_calc!$E$980-500)))=0,"",INDEX('Vendor COIs'!$D$4:$D$503,(_calc!$E$980-500))))=0,"","Policy no.: "&amp;IF(LEN(INDEX('Vendor COIs'!$D$4:$D$503,(_calc!$E$980-500)))=0,"",INDEX('Vendor COIs'!$D$4:$D$503,(_calc!$E$980-500)))&amp;". ")&amp;IF(LEN(IF(LEN(INDEX('Vendor COIs'!$F$4:$F$503,(_calc!$E$980-500)))=0,"",INDEX('Vendor COIs'!$F$4:$F$503,(_calc!$E$980-500))))=0,"","Meets minimum: "&amp;IF(LEN(INDEX('Vendor COIs'!$F$4:$F$503,(_calc!$E$980-500)))=0,"",INDEX('Vendor COIs'!$F$4:$F$503,(_calc!$E$980-500)))&amp;". ")&amp;IF(LEN(IF(LEN(INDEX('Vendor COIs'!$G$4:$G$503,(_calc!$E$980-500)))=0,"",INDEX('Vendor COIs'!$G$4:$G$503,(_calc!$E$980-500))))=0,"","Additional insured: "&amp;IF(LEN(INDEX('Vendor COIs'!$G$4:$G$503,(_calc!$E$980-500)))=0,"",INDEX('Vendor COIs'!$G$4:$G$503,(_calc!$E$980-500)))&amp;". ")&amp;IF(LEN(IF(LEN(INDEX('Vendor COIs'!$M$4:$M$503,(_calc!$E$980-500)))=0,"",INDEX('Vendor COIs'!$M$4:$M$503,(_calc!$E$980-500))))=0,"","Vendor contact: "&amp;IF(LEN(INDEX('Vendor COIs'!$M$4:$M$503,(_calc!$E$980-500)))=0,"",INDEX('Vendor COIs'!$M$4:$M$503,(_calc!$E$980-500)))&amp;". ")&amp;IF(LEN(IF(LEN(INDEX('Vendor COIs'!$P$4:$P$503,(_calc!$E$980-500)))=0,"",INDEX('Vendor COIs'!$P$4:$P$503,(_calc!$E$980-500))))=0,"",IF(LEN(INDEX('Vendor COIs'!$P$4:$P$503,(_calc!$E$980-500)))=0,"",INDEX('Vendor COIs'!$P$4:$P$503,(_calc!$E$980-500)))))))</f>
        <v/>
      </c>
      <c r="G978" s="46">
        <f>IF(_calc!$E$980="","",IF(_calc!$E$980&lt;=500,IF(LEN(INDEX('Our policies'!$R$4:$R$503,_calc!$E$980))=0,"",INDEX('Our policies'!$R$4:$R$503,_calc!$E$980)),IF(LEN(INDEX('Vendor COIs'!$O$4:$O$503,(_calc!$E$980-500)))=0,"",INDEX('Vendor COIs'!$O$4:$O$503,(_calc!$E$980-500)))))</f>
        <v/>
      </c>
      <c r="H978" s="46">
        <f>IF(_calc!$E$980="","",IF(_calc!$E$980&lt;=500,IF(LEN(INDEX('Our policies'!$G$4:$G$503,_calc!$E$980))=0,"",INDEX('Our policies'!$G$4:$G$503,_calc!$E$980)),""))</f>
        <v/>
      </c>
      <c r="I978" s="46">
        <f>IF(_calc!$E$980="","",IF(_calc!$E$980&lt;=500,IF(LEN(INDEX('Our policies'!$H$4:$H$503,_calc!$E$980))=0,"",INDEX('Our policies'!$H$4:$H$503,_calc!$E$980)),""))</f>
        <v/>
      </c>
      <c r="K978" s="46">
        <f>IF(_calc!$E$980="","",IF(_calc!$E$980&lt;=500,IF(LEN(INDEX('Our policies'!$P$4:$P$503,_calc!$E$980))=0,"",INDEX('Our policies'!$P$4:$P$503,_calc!$E$980)),IF(LEN(INDEX('Vendor COIs'!$N$4:$N$503,(_calc!$E$980-500)))=0,"",INDEX('Vendor COIs'!$N$4:$N$503,(_calc!$E$980-500)))))</f>
        <v/>
      </c>
    </row>
    <row r="979">
      <c r="A979" s="46">
        <f>IF(_calc!$E$981="","",IF(_calc!$E$981&lt;=500,IF(LEN(INDEX('Our policies'!$A$4:$A$503,_calc!$E$981))=0,"",INDEX('Our policies'!$A$4:$A$503,_calc!$E$981)),"COI – "&amp;IF(LEN(INDEX('Vendor COIs'!$A$4:$A$503,(_calc!$E$981-500)))=0,"",INDEX('Vendor COIs'!$A$4:$A$503,(_calc!$E$981-500)))&amp;" – "&amp;IF(LEN(INDEX('Vendor COIs'!$B$4:$B$503,(_calc!$E$981-500)))=0,"",INDEX('Vendor COIs'!$B$4:$B$503,(_calc!$E$981-500)))))</f>
        <v/>
      </c>
      <c r="B979" s="46">
        <f>IF(_calc!$E$981="","",IF(_calc!$E$981&lt;=500,IF(ISNUMBER(INDEX('Our policies'!$J$4:$J$503,_calc!$E$981)),TEXT(INDEX('Our policies'!$J$4:$J$503,_calc!$E$981),"yyyy-mm-dd"),""),IF(ISNUMBER(INDEX('Vendor COIs'!$H$4:$H$503,(_calc!$E$981-500))),TEXT(INDEX('Vendor COIs'!$H$4:$H$503,(_calc!$E$981-500)),"yyyy-mm-dd"),"")))</f>
        <v/>
      </c>
      <c r="C979" s="46">
        <f>IF(_calc!$E$981="","",IF(_calc!$E$981&lt;=500,"Insurance","Certificate of insurance"))</f>
        <v/>
      </c>
      <c r="D979" s="46">
        <f>IF(_calc!$E$981="","",IF(_calc!$E$981&lt;=500,IF(ISNUMBER(INDEX('Our policies'!$I$4:$I$503,_calc!$E$981)),TEXT(INDEX('Our policies'!$I$4:$I$503,_calc!$E$981),"yyyy-mm-dd"),""),""))</f>
        <v/>
      </c>
      <c r="E979" s="46">
        <f>IF(_calc!$E$981="","",IF(_calc!$E$981&lt;=500,IF(LEN(INDEX('Our policies'!$Q$4:$Q$503,_calc!$E$981))=0,"",INDEX('Our policies'!$Q$4:$Q$503,_calc!$E$981)),"Medium"))</f>
        <v/>
      </c>
      <c r="F979" s="46">
        <f>IF(_calc!$E$981="","",IF(_calc!$E$981&lt;=500,TRIM(IF(LEN(IF(LEN(INDEX('Our policies'!$B$4:$B$503,_calc!$E$981))=0,"",INDEX('Our policies'!$B$4:$B$503,_calc!$E$981)))=0,"","Cover: "&amp;IF(LEN(INDEX('Our policies'!$B$4:$B$503,_calc!$E$981))=0,"",INDEX('Our policies'!$B$4:$B$503,_calc!$E$981))&amp;". ")&amp;IF(LEN(IF(LEN(INDEX('Our policies'!$C$4:$C$503,_calc!$E$981))=0,"",INDEX('Our policies'!$C$4:$C$503,_calc!$E$981)))=0,"","Insurer: "&amp;IF(LEN(INDEX('Our policies'!$C$4:$C$503,_calc!$E$981))=0,"",INDEX('Our policies'!$C$4:$C$503,_calc!$E$981))&amp;". ")&amp;IF(LEN(IF(LEN(INDEX('Our policies'!$D$4:$D$503,_calc!$E$981))=0,"",INDEX('Our policies'!$D$4:$D$503,_calc!$E$981)))=0,"","Broker: "&amp;IF(LEN(INDEX('Our policies'!$D$4:$D$503,_calc!$E$981))=0,"",INDEX('Our policies'!$D$4:$D$503,_calc!$E$981))&amp;". ")&amp;IF(LEN(IF(LEN(INDEX('Our policies'!$E$4:$E$503,_calc!$E$981))=0,"",INDEX('Our policies'!$E$4:$E$503,_calc!$E$981)))=0,"","Policy no.: "&amp;IF(LEN(INDEX('Our policies'!$E$4:$E$503,_calc!$E$981))=0,"",INDEX('Our policies'!$E$4:$E$503,_calc!$E$981))&amp;". ")&amp;IF(LEN(IF(LEN(INDEX('Our policies'!$S$4:$S$503,_calc!$E$981))=0,"",INDEX('Our policies'!$S$4:$S$503,_calc!$E$981)))=0,"",IF(LEN(INDEX('Our policies'!$S$4:$S$503,_calc!$E$981))=0,"",INDEX('Our policies'!$S$4:$S$503,_calc!$E$981)))),TRIM(IF(LEN(IF(LEN(INDEX('Vendor COIs'!$C$4:$C$503,(_calc!$E$981-500)))=0,"",INDEX('Vendor COIs'!$C$4:$C$503,(_calc!$E$981-500))))=0,"","Insurer: "&amp;IF(LEN(INDEX('Vendor COIs'!$C$4:$C$503,(_calc!$E$981-500)))=0,"",INDEX('Vendor COIs'!$C$4:$C$503,(_calc!$E$981-500)))&amp;". ")&amp;IF(LEN(IF(LEN(INDEX('Vendor COIs'!$D$4:$D$503,(_calc!$E$981-500)))=0,"",INDEX('Vendor COIs'!$D$4:$D$503,(_calc!$E$981-500))))=0,"","Policy no.: "&amp;IF(LEN(INDEX('Vendor COIs'!$D$4:$D$503,(_calc!$E$981-500)))=0,"",INDEX('Vendor COIs'!$D$4:$D$503,(_calc!$E$981-500)))&amp;". ")&amp;IF(LEN(IF(LEN(INDEX('Vendor COIs'!$F$4:$F$503,(_calc!$E$981-500)))=0,"",INDEX('Vendor COIs'!$F$4:$F$503,(_calc!$E$981-500))))=0,"","Meets minimum: "&amp;IF(LEN(INDEX('Vendor COIs'!$F$4:$F$503,(_calc!$E$981-500)))=0,"",INDEX('Vendor COIs'!$F$4:$F$503,(_calc!$E$981-500)))&amp;". ")&amp;IF(LEN(IF(LEN(INDEX('Vendor COIs'!$G$4:$G$503,(_calc!$E$981-500)))=0,"",INDEX('Vendor COIs'!$G$4:$G$503,(_calc!$E$981-500))))=0,"","Additional insured: "&amp;IF(LEN(INDEX('Vendor COIs'!$G$4:$G$503,(_calc!$E$981-500)))=0,"",INDEX('Vendor COIs'!$G$4:$G$503,(_calc!$E$981-500)))&amp;". ")&amp;IF(LEN(IF(LEN(INDEX('Vendor COIs'!$M$4:$M$503,(_calc!$E$981-500)))=0,"",INDEX('Vendor COIs'!$M$4:$M$503,(_calc!$E$981-500))))=0,"","Vendor contact: "&amp;IF(LEN(INDEX('Vendor COIs'!$M$4:$M$503,(_calc!$E$981-500)))=0,"",INDEX('Vendor COIs'!$M$4:$M$503,(_calc!$E$981-500)))&amp;". ")&amp;IF(LEN(IF(LEN(INDEX('Vendor COIs'!$P$4:$P$503,(_calc!$E$981-500)))=0,"",INDEX('Vendor COIs'!$P$4:$P$503,(_calc!$E$981-500))))=0,"",IF(LEN(INDEX('Vendor COIs'!$P$4:$P$503,(_calc!$E$981-500)))=0,"",INDEX('Vendor COIs'!$P$4:$P$503,(_calc!$E$981-500)))))))</f>
        <v/>
      </c>
      <c r="G979" s="46">
        <f>IF(_calc!$E$981="","",IF(_calc!$E$981&lt;=500,IF(LEN(INDEX('Our policies'!$R$4:$R$503,_calc!$E$981))=0,"",INDEX('Our policies'!$R$4:$R$503,_calc!$E$981)),IF(LEN(INDEX('Vendor COIs'!$O$4:$O$503,(_calc!$E$981-500)))=0,"",INDEX('Vendor COIs'!$O$4:$O$503,(_calc!$E$981-500)))))</f>
        <v/>
      </c>
      <c r="H979" s="46">
        <f>IF(_calc!$E$981="","",IF(_calc!$E$981&lt;=500,IF(LEN(INDEX('Our policies'!$G$4:$G$503,_calc!$E$981))=0,"",INDEX('Our policies'!$G$4:$G$503,_calc!$E$981)),""))</f>
        <v/>
      </c>
      <c r="I979" s="46">
        <f>IF(_calc!$E$981="","",IF(_calc!$E$981&lt;=500,IF(LEN(INDEX('Our policies'!$H$4:$H$503,_calc!$E$981))=0,"",INDEX('Our policies'!$H$4:$H$503,_calc!$E$981)),""))</f>
        <v/>
      </c>
      <c r="K979" s="46">
        <f>IF(_calc!$E$981="","",IF(_calc!$E$981&lt;=500,IF(LEN(INDEX('Our policies'!$P$4:$P$503,_calc!$E$981))=0,"",INDEX('Our policies'!$P$4:$P$503,_calc!$E$981)),IF(LEN(INDEX('Vendor COIs'!$N$4:$N$503,(_calc!$E$981-500)))=0,"",INDEX('Vendor COIs'!$N$4:$N$503,(_calc!$E$981-500)))))</f>
        <v/>
      </c>
    </row>
    <row r="980">
      <c r="A980" s="46">
        <f>IF(_calc!$E$982="","",IF(_calc!$E$982&lt;=500,IF(LEN(INDEX('Our policies'!$A$4:$A$503,_calc!$E$982))=0,"",INDEX('Our policies'!$A$4:$A$503,_calc!$E$982)),"COI – "&amp;IF(LEN(INDEX('Vendor COIs'!$A$4:$A$503,(_calc!$E$982-500)))=0,"",INDEX('Vendor COIs'!$A$4:$A$503,(_calc!$E$982-500)))&amp;" – "&amp;IF(LEN(INDEX('Vendor COIs'!$B$4:$B$503,(_calc!$E$982-500)))=0,"",INDEX('Vendor COIs'!$B$4:$B$503,(_calc!$E$982-500)))))</f>
        <v/>
      </c>
      <c r="B980" s="46">
        <f>IF(_calc!$E$982="","",IF(_calc!$E$982&lt;=500,IF(ISNUMBER(INDEX('Our policies'!$J$4:$J$503,_calc!$E$982)),TEXT(INDEX('Our policies'!$J$4:$J$503,_calc!$E$982),"yyyy-mm-dd"),""),IF(ISNUMBER(INDEX('Vendor COIs'!$H$4:$H$503,(_calc!$E$982-500))),TEXT(INDEX('Vendor COIs'!$H$4:$H$503,(_calc!$E$982-500)),"yyyy-mm-dd"),"")))</f>
        <v/>
      </c>
      <c r="C980" s="46">
        <f>IF(_calc!$E$982="","",IF(_calc!$E$982&lt;=500,"Insurance","Certificate of insurance"))</f>
        <v/>
      </c>
      <c r="D980" s="46">
        <f>IF(_calc!$E$982="","",IF(_calc!$E$982&lt;=500,IF(ISNUMBER(INDEX('Our policies'!$I$4:$I$503,_calc!$E$982)),TEXT(INDEX('Our policies'!$I$4:$I$503,_calc!$E$982),"yyyy-mm-dd"),""),""))</f>
        <v/>
      </c>
      <c r="E980" s="46">
        <f>IF(_calc!$E$982="","",IF(_calc!$E$982&lt;=500,IF(LEN(INDEX('Our policies'!$Q$4:$Q$503,_calc!$E$982))=0,"",INDEX('Our policies'!$Q$4:$Q$503,_calc!$E$982)),"Medium"))</f>
        <v/>
      </c>
      <c r="F980" s="46">
        <f>IF(_calc!$E$982="","",IF(_calc!$E$982&lt;=500,TRIM(IF(LEN(IF(LEN(INDEX('Our policies'!$B$4:$B$503,_calc!$E$982))=0,"",INDEX('Our policies'!$B$4:$B$503,_calc!$E$982)))=0,"","Cover: "&amp;IF(LEN(INDEX('Our policies'!$B$4:$B$503,_calc!$E$982))=0,"",INDEX('Our policies'!$B$4:$B$503,_calc!$E$982))&amp;". ")&amp;IF(LEN(IF(LEN(INDEX('Our policies'!$C$4:$C$503,_calc!$E$982))=0,"",INDEX('Our policies'!$C$4:$C$503,_calc!$E$982)))=0,"","Insurer: "&amp;IF(LEN(INDEX('Our policies'!$C$4:$C$503,_calc!$E$982))=0,"",INDEX('Our policies'!$C$4:$C$503,_calc!$E$982))&amp;". ")&amp;IF(LEN(IF(LEN(INDEX('Our policies'!$D$4:$D$503,_calc!$E$982))=0,"",INDEX('Our policies'!$D$4:$D$503,_calc!$E$982)))=0,"","Broker: "&amp;IF(LEN(INDEX('Our policies'!$D$4:$D$503,_calc!$E$982))=0,"",INDEX('Our policies'!$D$4:$D$503,_calc!$E$982))&amp;". ")&amp;IF(LEN(IF(LEN(INDEX('Our policies'!$E$4:$E$503,_calc!$E$982))=0,"",INDEX('Our policies'!$E$4:$E$503,_calc!$E$982)))=0,"","Policy no.: "&amp;IF(LEN(INDEX('Our policies'!$E$4:$E$503,_calc!$E$982))=0,"",INDEX('Our policies'!$E$4:$E$503,_calc!$E$982))&amp;". ")&amp;IF(LEN(IF(LEN(INDEX('Our policies'!$S$4:$S$503,_calc!$E$982))=0,"",INDEX('Our policies'!$S$4:$S$503,_calc!$E$982)))=0,"",IF(LEN(INDEX('Our policies'!$S$4:$S$503,_calc!$E$982))=0,"",INDEX('Our policies'!$S$4:$S$503,_calc!$E$982)))),TRIM(IF(LEN(IF(LEN(INDEX('Vendor COIs'!$C$4:$C$503,(_calc!$E$982-500)))=0,"",INDEX('Vendor COIs'!$C$4:$C$503,(_calc!$E$982-500))))=0,"","Insurer: "&amp;IF(LEN(INDEX('Vendor COIs'!$C$4:$C$503,(_calc!$E$982-500)))=0,"",INDEX('Vendor COIs'!$C$4:$C$503,(_calc!$E$982-500)))&amp;". ")&amp;IF(LEN(IF(LEN(INDEX('Vendor COIs'!$D$4:$D$503,(_calc!$E$982-500)))=0,"",INDEX('Vendor COIs'!$D$4:$D$503,(_calc!$E$982-500))))=0,"","Policy no.: "&amp;IF(LEN(INDEX('Vendor COIs'!$D$4:$D$503,(_calc!$E$982-500)))=0,"",INDEX('Vendor COIs'!$D$4:$D$503,(_calc!$E$982-500)))&amp;". ")&amp;IF(LEN(IF(LEN(INDEX('Vendor COIs'!$F$4:$F$503,(_calc!$E$982-500)))=0,"",INDEX('Vendor COIs'!$F$4:$F$503,(_calc!$E$982-500))))=0,"","Meets minimum: "&amp;IF(LEN(INDEX('Vendor COIs'!$F$4:$F$503,(_calc!$E$982-500)))=0,"",INDEX('Vendor COIs'!$F$4:$F$503,(_calc!$E$982-500)))&amp;". ")&amp;IF(LEN(IF(LEN(INDEX('Vendor COIs'!$G$4:$G$503,(_calc!$E$982-500)))=0,"",INDEX('Vendor COIs'!$G$4:$G$503,(_calc!$E$982-500))))=0,"","Additional insured: "&amp;IF(LEN(INDEX('Vendor COIs'!$G$4:$G$503,(_calc!$E$982-500)))=0,"",INDEX('Vendor COIs'!$G$4:$G$503,(_calc!$E$982-500)))&amp;". ")&amp;IF(LEN(IF(LEN(INDEX('Vendor COIs'!$M$4:$M$503,(_calc!$E$982-500)))=0,"",INDEX('Vendor COIs'!$M$4:$M$503,(_calc!$E$982-500))))=0,"","Vendor contact: "&amp;IF(LEN(INDEX('Vendor COIs'!$M$4:$M$503,(_calc!$E$982-500)))=0,"",INDEX('Vendor COIs'!$M$4:$M$503,(_calc!$E$982-500)))&amp;". ")&amp;IF(LEN(IF(LEN(INDEX('Vendor COIs'!$P$4:$P$503,(_calc!$E$982-500)))=0,"",INDEX('Vendor COIs'!$P$4:$P$503,(_calc!$E$982-500))))=0,"",IF(LEN(INDEX('Vendor COIs'!$P$4:$P$503,(_calc!$E$982-500)))=0,"",INDEX('Vendor COIs'!$P$4:$P$503,(_calc!$E$982-500)))))))</f>
        <v/>
      </c>
      <c r="G980" s="46">
        <f>IF(_calc!$E$982="","",IF(_calc!$E$982&lt;=500,IF(LEN(INDEX('Our policies'!$R$4:$R$503,_calc!$E$982))=0,"",INDEX('Our policies'!$R$4:$R$503,_calc!$E$982)),IF(LEN(INDEX('Vendor COIs'!$O$4:$O$503,(_calc!$E$982-500)))=0,"",INDEX('Vendor COIs'!$O$4:$O$503,(_calc!$E$982-500)))))</f>
        <v/>
      </c>
      <c r="H980" s="46">
        <f>IF(_calc!$E$982="","",IF(_calc!$E$982&lt;=500,IF(LEN(INDEX('Our policies'!$G$4:$G$503,_calc!$E$982))=0,"",INDEX('Our policies'!$G$4:$G$503,_calc!$E$982)),""))</f>
        <v/>
      </c>
      <c r="I980" s="46">
        <f>IF(_calc!$E$982="","",IF(_calc!$E$982&lt;=500,IF(LEN(INDEX('Our policies'!$H$4:$H$503,_calc!$E$982))=0,"",INDEX('Our policies'!$H$4:$H$503,_calc!$E$982)),""))</f>
        <v/>
      </c>
      <c r="K980" s="46">
        <f>IF(_calc!$E$982="","",IF(_calc!$E$982&lt;=500,IF(LEN(INDEX('Our policies'!$P$4:$P$503,_calc!$E$982))=0,"",INDEX('Our policies'!$P$4:$P$503,_calc!$E$982)),IF(LEN(INDEX('Vendor COIs'!$N$4:$N$503,(_calc!$E$982-500)))=0,"",INDEX('Vendor COIs'!$N$4:$N$503,(_calc!$E$982-500)))))</f>
        <v/>
      </c>
    </row>
    <row r="981">
      <c r="A981" s="46">
        <f>IF(_calc!$E$983="","",IF(_calc!$E$983&lt;=500,IF(LEN(INDEX('Our policies'!$A$4:$A$503,_calc!$E$983))=0,"",INDEX('Our policies'!$A$4:$A$503,_calc!$E$983)),"COI – "&amp;IF(LEN(INDEX('Vendor COIs'!$A$4:$A$503,(_calc!$E$983-500)))=0,"",INDEX('Vendor COIs'!$A$4:$A$503,(_calc!$E$983-500)))&amp;" – "&amp;IF(LEN(INDEX('Vendor COIs'!$B$4:$B$503,(_calc!$E$983-500)))=0,"",INDEX('Vendor COIs'!$B$4:$B$503,(_calc!$E$983-500)))))</f>
        <v/>
      </c>
      <c r="B981" s="46">
        <f>IF(_calc!$E$983="","",IF(_calc!$E$983&lt;=500,IF(ISNUMBER(INDEX('Our policies'!$J$4:$J$503,_calc!$E$983)),TEXT(INDEX('Our policies'!$J$4:$J$503,_calc!$E$983),"yyyy-mm-dd"),""),IF(ISNUMBER(INDEX('Vendor COIs'!$H$4:$H$503,(_calc!$E$983-500))),TEXT(INDEX('Vendor COIs'!$H$4:$H$503,(_calc!$E$983-500)),"yyyy-mm-dd"),"")))</f>
        <v/>
      </c>
      <c r="C981" s="46">
        <f>IF(_calc!$E$983="","",IF(_calc!$E$983&lt;=500,"Insurance","Certificate of insurance"))</f>
        <v/>
      </c>
      <c r="D981" s="46">
        <f>IF(_calc!$E$983="","",IF(_calc!$E$983&lt;=500,IF(ISNUMBER(INDEX('Our policies'!$I$4:$I$503,_calc!$E$983)),TEXT(INDEX('Our policies'!$I$4:$I$503,_calc!$E$983),"yyyy-mm-dd"),""),""))</f>
        <v/>
      </c>
      <c r="E981" s="46">
        <f>IF(_calc!$E$983="","",IF(_calc!$E$983&lt;=500,IF(LEN(INDEX('Our policies'!$Q$4:$Q$503,_calc!$E$983))=0,"",INDEX('Our policies'!$Q$4:$Q$503,_calc!$E$983)),"Medium"))</f>
        <v/>
      </c>
      <c r="F981" s="46">
        <f>IF(_calc!$E$983="","",IF(_calc!$E$983&lt;=500,TRIM(IF(LEN(IF(LEN(INDEX('Our policies'!$B$4:$B$503,_calc!$E$983))=0,"",INDEX('Our policies'!$B$4:$B$503,_calc!$E$983)))=0,"","Cover: "&amp;IF(LEN(INDEX('Our policies'!$B$4:$B$503,_calc!$E$983))=0,"",INDEX('Our policies'!$B$4:$B$503,_calc!$E$983))&amp;". ")&amp;IF(LEN(IF(LEN(INDEX('Our policies'!$C$4:$C$503,_calc!$E$983))=0,"",INDEX('Our policies'!$C$4:$C$503,_calc!$E$983)))=0,"","Insurer: "&amp;IF(LEN(INDEX('Our policies'!$C$4:$C$503,_calc!$E$983))=0,"",INDEX('Our policies'!$C$4:$C$503,_calc!$E$983))&amp;". ")&amp;IF(LEN(IF(LEN(INDEX('Our policies'!$D$4:$D$503,_calc!$E$983))=0,"",INDEX('Our policies'!$D$4:$D$503,_calc!$E$983)))=0,"","Broker: "&amp;IF(LEN(INDEX('Our policies'!$D$4:$D$503,_calc!$E$983))=0,"",INDEX('Our policies'!$D$4:$D$503,_calc!$E$983))&amp;". ")&amp;IF(LEN(IF(LEN(INDEX('Our policies'!$E$4:$E$503,_calc!$E$983))=0,"",INDEX('Our policies'!$E$4:$E$503,_calc!$E$983)))=0,"","Policy no.: "&amp;IF(LEN(INDEX('Our policies'!$E$4:$E$503,_calc!$E$983))=0,"",INDEX('Our policies'!$E$4:$E$503,_calc!$E$983))&amp;". ")&amp;IF(LEN(IF(LEN(INDEX('Our policies'!$S$4:$S$503,_calc!$E$983))=0,"",INDEX('Our policies'!$S$4:$S$503,_calc!$E$983)))=0,"",IF(LEN(INDEX('Our policies'!$S$4:$S$503,_calc!$E$983))=0,"",INDEX('Our policies'!$S$4:$S$503,_calc!$E$983)))),TRIM(IF(LEN(IF(LEN(INDEX('Vendor COIs'!$C$4:$C$503,(_calc!$E$983-500)))=0,"",INDEX('Vendor COIs'!$C$4:$C$503,(_calc!$E$983-500))))=0,"","Insurer: "&amp;IF(LEN(INDEX('Vendor COIs'!$C$4:$C$503,(_calc!$E$983-500)))=0,"",INDEX('Vendor COIs'!$C$4:$C$503,(_calc!$E$983-500)))&amp;". ")&amp;IF(LEN(IF(LEN(INDEX('Vendor COIs'!$D$4:$D$503,(_calc!$E$983-500)))=0,"",INDEX('Vendor COIs'!$D$4:$D$503,(_calc!$E$983-500))))=0,"","Policy no.: "&amp;IF(LEN(INDEX('Vendor COIs'!$D$4:$D$503,(_calc!$E$983-500)))=0,"",INDEX('Vendor COIs'!$D$4:$D$503,(_calc!$E$983-500)))&amp;". ")&amp;IF(LEN(IF(LEN(INDEX('Vendor COIs'!$F$4:$F$503,(_calc!$E$983-500)))=0,"",INDEX('Vendor COIs'!$F$4:$F$503,(_calc!$E$983-500))))=0,"","Meets minimum: "&amp;IF(LEN(INDEX('Vendor COIs'!$F$4:$F$503,(_calc!$E$983-500)))=0,"",INDEX('Vendor COIs'!$F$4:$F$503,(_calc!$E$983-500)))&amp;". ")&amp;IF(LEN(IF(LEN(INDEX('Vendor COIs'!$G$4:$G$503,(_calc!$E$983-500)))=0,"",INDEX('Vendor COIs'!$G$4:$G$503,(_calc!$E$983-500))))=0,"","Additional insured: "&amp;IF(LEN(INDEX('Vendor COIs'!$G$4:$G$503,(_calc!$E$983-500)))=0,"",INDEX('Vendor COIs'!$G$4:$G$503,(_calc!$E$983-500)))&amp;". ")&amp;IF(LEN(IF(LEN(INDEX('Vendor COIs'!$M$4:$M$503,(_calc!$E$983-500)))=0,"",INDEX('Vendor COIs'!$M$4:$M$503,(_calc!$E$983-500))))=0,"","Vendor contact: "&amp;IF(LEN(INDEX('Vendor COIs'!$M$4:$M$503,(_calc!$E$983-500)))=0,"",INDEX('Vendor COIs'!$M$4:$M$503,(_calc!$E$983-500)))&amp;". ")&amp;IF(LEN(IF(LEN(INDEX('Vendor COIs'!$P$4:$P$503,(_calc!$E$983-500)))=0,"",INDEX('Vendor COIs'!$P$4:$P$503,(_calc!$E$983-500))))=0,"",IF(LEN(INDEX('Vendor COIs'!$P$4:$P$503,(_calc!$E$983-500)))=0,"",INDEX('Vendor COIs'!$P$4:$P$503,(_calc!$E$983-500)))))))</f>
        <v/>
      </c>
      <c r="G981" s="46">
        <f>IF(_calc!$E$983="","",IF(_calc!$E$983&lt;=500,IF(LEN(INDEX('Our policies'!$R$4:$R$503,_calc!$E$983))=0,"",INDEX('Our policies'!$R$4:$R$503,_calc!$E$983)),IF(LEN(INDEX('Vendor COIs'!$O$4:$O$503,(_calc!$E$983-500)))=0,"",INDEX('Vendor COIs'!$O$4:$O$503,(_calc!$E$983-500)))))</f>
        <v/>
      </c>
      <c r="H981" s="46">
        <f>IF(_calc!$E$983="","",IF(_calc!$E$983&lt;=500,IF(LEN(INDEX('Our policies'!$G$4:$G$503,_calc!$E$983))=0,"",INDEX('Our policies'!$G$4:$G$503,_calc!$E$983)),""))</f>
        <v/>
      </c>
      <c r="I981" s="46">
        <f>IF(_calc!$E$983="","",IF(_calc!$E$983&lt;=500,IF(LEN(INDEX('Our policies'!$H$4:$H$503,_calc!$E$983))=0,"",INDEX('Our policies'!$H$4:$H$503,_calc!$E$983)),""))</f>
        <v/>
      </c>
      <c r="K981" s="46">
        <f>IF(_calc!$E$983="","",IF(_calc!$E$983&lt;=500,IF(LEN(INDEX('Our policies'!$P$4:$P$503,_calc!$E$983))=0,"",INDEX('Our policies'!$P$4:$P$503,_calc!$E$983)),IF(LEN(INDEX('Vendor COIs'!$N$4:$N$503,(_calc!$E$983-500)))=0,"",INDEX('Vendor COIs'!$N$4:$N$503,(_calc!$E$983-500)))))</f>
        <v/>
      </c>
    </row>
    <row r="982">
      <c r="A982" s="46">
        <f>IF(_calc!$E$984="","",IF(_calc!$E$984&lt;=500,IF(LEN(INDEX('Our policies'!$A$4:$A$503,_calc!$E$984))=0,"",INDEX('Our policies'!$A$4:$A$503,_calc!$E$984)),"COI – "&amp;IF(LEN(INDEX('Vendor COIs'!$A$4:$A$503,(_calc!$E$984-500)))=0,"",INDEX('Vendor COIs'!$A$4:$A$503,(_calc!$E$984-500)))&amp;" – "&amp;IF(LEN(INDEX('Vendor COIs'!$B$4:$B$503,(_calc!$E$984-500)))=0,"",INDEX('Vendor COIs'!$B$4:$B$503,(_calc!$E$984-500)))))</f>
        <v/>
      </c>
      <c r="B982" s="46">
        <f>IF(_calc!$E$984="","",IF(_calc!$E$984&lt;=500,IF(ISNUMBER(INDEX('Our policies'!$J$4:$J$503,_calc!$E$984)),TEXT(INDEX('Our policies'!$J$4:$J$503,_calc!$E$984),"yyyy-mm-dd"),""),IF(ISNUMBER(INDEX('Vendor COIs'!$H$4:$H$503,(_calc!$E$984-500))),TEXT(INDEX('Vendor COIs'!$H$4:$H$503,(_calc!$E$984-500)),"yyyy-mm-dd"),"")))</f>
        <v/>
      </c>
      <c r="C982" s="46">
        <f>IF(_calc!$E$984="","",IF(_calc!$E$984&lt;=500,"Insurance","Certificate of insurance"))</f>
        <v/>
      </c>
      <c r="D982" s="46">
        <f>IF(_calc!$E$984="","",IF(_calc!$E$984&lt;=500,IF(ISNUMBER(INDEX('Our policies'!$I$4:$I$503,_calc!$E$984)),TEXT(INDEX('Our policies'!$I$4:$I$503,_calc!$E$984),"yyyy-mm-dd"),""),""))</f>
        <v/>
      </c>
      <c r="E982" s="46">
        <f>IF(_calc!$E$984="","",IF(_calc!$E$984&lt;=500,IF(LEN(INDEX('Our policies'!$Q$4:$Q$503,_calc!$E$984))=0,"",INDEX('Our policies'!$Q$4:$Q$503,_calc!$E$984)),"Medium"))</f>
        <v/>
      </c>
      <c r="F982" s="46">
        <f>IF(_calc!$E$984="","",IF(_calc!$E$984&lt;=500,TRIM(IF(LEN(IF(LEN(INDEX('Our policies'!$B$4:$B$503,_calc!$E$984))=0,"",INDEX('Our policies'!$B$4:$B$503,_calc!$E$984)))=0,"","Cover: "&amp;IF(LEN(INDEX('Our policies'!$B$4:$B$503,_calc!$E$984))=0,"",INDEX('Our policies'!$B$4:$B$503,_calc!$E$984))&amp;". ")&amp;IF(LEN(IF(LEN(INDEX('Our policies'!$C$4:$C$503,_calc!$E$984))=0,"",INDEX('Our policies'!$C$4:$C$503,_calc!$E$984)))=0,"","Insurer: "&amp;IF(LEN(INDEX('Our policies'!$C$4:$C$503,_calc!$E$984))=0,"",INDEX('Our policies'!$C$4:$C$503,_calc!$E$984))&amp;". ")&amp;IF(LEN(IF(LEN(INDEX('Our policies'!$D$4:$D$503,_calc!$E$984))=0,"",INDEX('Our policies'!$D$4:$D$503,_calc!$E$984)))=0,"","Broker: "&amp;IF(LEN(INDEX('Our policies'!$D$4:$D$503,_calc!$E$984))=0,"",INDEX('Our policies'!$D$4:$D$503,_calc!$E$984))&amp;". ")&amp;IF(LEN(IF(LEN(INDEX('Our policies'!$E$4:$E$503,_calc!$E$984))=0,"",INDEX('Our policies'!$E$4:$E$503,_calc!$E$984)))=0,"","Policy no.: "&amp;IF(LEN(INDEX('Our policies'!$E$4:$E$503,_calc!$E$984))=0,"",INDEX('Our policies'!$E$4:$E$503,_calc!$E$984))&amp;". ")&amp;IF(LEN(IF(LEN(INDEX('Our policies'!$S$4:$S$503,_calc!$E$984))=0,"",INDEX('Our policies'!$S$4:$S$503,_calc!$E$984)))=0,"",IF(LEN(INDEX('Our policies'!$S$4:$S$503,_calc!$E$984))=0,"",INDEX('Our policies'!$S$4:$S$503,_calc!$E$984)))),TRIM(IF(LEN(IF(LEN(INDEX('Vendor COIs'!$C$4:$C$503,(_calc!$E$984-500)))=0,"",INDEX('Vendor COIs'!$C$4:$C$503,(_calc!$E$984-500))))=0,"","Insurer: "&amp;IF(LEN(INDEX('Vendor COIs'!$C$4:$C$503,(_calc!$E$984-500)))=0,"",INDEX('Vendor COIs'!$C$4:$C$503,(_calc!$E$984-500)))&amp;". ")&amp;IF(LEN(IF(LEN(INDEX('Vendor COIs'!$D$4:$D$503,(_calc!$E$984-500)))=0,"",INDEX('Vendor COIs'!$D$4:$D$503,(_calc!$E$984-500))))=0,"","Policy no.: "&amp;IF(LEN(INDEX('Vendor COIs'!$D$4:$D$503,(_calc!$E$984-500)))=0,"",INDEX('Vendor COIs'!$D$4:$D$503,(_calc!$E$984-500)))&amp;". ")&amp;IF(LEN(IF(LEN(INDEX('Vendor COIs'!$F$4:$F$503,(_calc!$E$984-500)))=0,"",INDEX('Vendor COIs'!$F$4:$F$503,(_calc!$E$984-500))))=0,"","Meets minimum: "&amp;IF(LEN(INDEX('Vendor COIs'!$F$4:$F$503,(_calc!$E$984-500)))=0,"",INDEX('Vendor COIs'!$F$4:$F$503,(_calc!$E$984-500)))&amp;". ")&amp;IF(LEN(IF(LEN(INDEX('Vendor COIs'!$G$4:$G$503,(_calc!$E$984-500)))=0,"",INDEX('Vendor COIs'!$G$4:$G$503,(_calc!$E$984-500))))=0,"","Additional insured: "&amp;IF(LEN(INDEX('Vendor COIs'!$G$4:$G$503,(_calc!$E$984-500)))=0,"",INDEX('Vendor COIs'!$G$4:$G$503,(_calc!$E$984-500)))&amp;". ")&amp;IF(LEN(IF(LEN(INDEX('Vendor COIs'!$M$4:$M$503,(_calc!$E$984-500)))=0,"",INDEX('Vendor COIs'!$M$4:$M$503,(_calc!$E$984-500))))=0,"","Vendor contact: "&amp;IF(LEN(INDEX('Vendor COIs'!$M$4:$M$503,(_calc!$E$984-500)))=0,"",INDEX('Vendor COIs'!$M$4:$M$503,(_calc!$E$984-500)))&amp;". ")&amp;IF(LEN(IF(LEN(INDEX('Vendor COIs'!$P$4:$P$503,(_calc!$E$984-500)))=0,"",INDEX('Vendor COIs'!$P$4:$P$503,(_calc!$E$984-500))))=0,"",IF(LEN(INDEX('Vendor COIs'!$P$4:$P$503,(_calc!$E$984-500)))=0,"",INDEX('Vendor COIs'!$P$4:$P$503,(_calc!$E$984-500)))))))</f>
        <v/>
      </c>
      <c r="G982" s="46">
        <f>IF(_calc!$E$984="","",IF(_calc!$E$984&lt;=500,IF(LEN(INDEX('Our policies'!$R$4:$R$503,_calc!$E$984))=0,"",INDEX('Our policies'!$R$4:$R$503,_calc!$E$984)),IF(LEN(INDEX('Vendor COIs'!$O$4:$O$503,(_calc!$E$984-500)))=0,"",INDEX('Vendor COIs'!$O$4:$O$503,(_calc!$E$984-500)))))</f>
        <v/>
      </c>
      <c r="H982" s="46">
        <f>IF(_calc!$E$984="","",IF(_calc!$E$984&lt;=500,IF(LEN(INDEX('Our policies'!$G$4:$G$503,_calc!$E$984))=0,"",INDEX('Our policies'!$G$4:$G$503,_calc!$E$984)),""))</f>
        <v/>
      </c>
      <c r="I982" s="46">
        <f>IF(_calc!$E$984="","",IF(_calc!$E$984&lt;=500,IF(LEN(INDEX('Our policies'!$H$4:$H$503,_calc!$E$984))=0,"",INDEX('Our policies'!$H$4:$H$503,_calc!$E$984)),""))</f>
        <v/>
      </c>
      <c r="K982" s="46">
        <f>IF(_calc!$E$984="","",IF(_calc!$E$984&lt;=500,IF(LEN(INDEX('Our policies'!$P$4:$P$503,_calc!$E$984))=0,"",INDEX('Our policies'!$P$4:$P$503,_calc!$E$984)),IF(LEN(INDEX('Vendor COIs'!$N$4:$N$503,(_calc!$E$984-500)))=0,"",INDEX('Vendor COIs'!$N$4:$N$503,(_calc!$E$984-500)))))</f>
        <v/>
      </c>
    </row>
    <row r="983">
      <c r="A983" s="46">
        <f>IF(_calc!$E$985="","",IF(_calc!$E$985&lt;=500,IF(LEN(INDEX('Our policies'!$A$4:$A$503,_calc!$E$985))=0,"",INDEX('Our policies'!$A$4:$A$503,_calc!$E$985)),"COI – "&amp;IF(LEN(INDEX('Vendor COIs'!$A$4:$A$503,(_calc!$E$985-500)))=0,"",INDEX('Vendor COIs'!$A$4:$A$503,(_calc!$E$985-500)))&amp;" – "&amp;IF(LEN(INDEX('Vendor COIs'!$B$4:$B$503,(_calc!$E$985-500)))=0,"",INDEX('Vendor COIs'!$B$4:$B$503,(_calc!$E$985-500)))))</f>
        <v/>
      </c>
      <c r="B983" s="46">
        <f>IF(_calc!$E$985="","",IF(_calc!$E$985&lt;=500,IF(ISNUMBER(INDEX('Our policies'!$J$4:$J$503,_calc!$E$985)),TEXT(INDEX('Our policies'!$J$4:$J$503,_calc!$E$985),"yyyy-mm-dd"),""),IF(ISNUMBER(INDEX('Vendor COIs'!$H$4:$H$503,(_calc!$E$985-500))),TEXT(INDEX('Vendor COIs'!$H$4:$H$503,(_calc!$E$985-500)),"yyyy-mm-dd"),"")))</f>
        <v/>
      </c>
      <c r="C983" s="46">
        <f>IF(_calc!$E$985="","",IF(_calc!$E$985&lt;=500,"Insurance","Certificate of insurance"))</f>
        <v/>
      </c>
      <c r="D983" s="46">
        <f>IF(_calc!$E$985="","",IF(_calc!$E$985&lt;=500,IF(ISNUMBER(INDEX('Our policies'!$I$4:$I$503,_calc!$E$985)),TEXT(INDEX('Our policies'!$I$4:$I$503,_calc!$E$985),"yyyy-mm-dd"),""),""))</f>
        <v/>
      </c>
      <c r="E983" s="46">
        <f>IF(_calc!$E$985="","",IF(_calc!$E$985&lt;=500,IF(LEN(INDEX('Our policies'!$Q$4:$Q$503,_calc!$E$985))=0,"",INDEX('Our policies'!$Q$4:$Q$503,_calc!$E$985)),"Medium"))</f>
        <v/>
      </c>
      <c r="F983" s="46">
        <f>IF(_calc!$E$985="","",IF(_calc!$E$985&lt;=500,TRIM(IF(LEN(IF(LEN(INDEX('Our policies'!$B$4:$B$503,_calc!$E$985))=0,"",INDEX('Our policies'!$B$4:$B$503,_calc!$E$985)))=0,"","Cover: "&amp;IF(LEN(INDEX('Our policies'!$B$4:$B$503,_calc!$E$985))=0,"",INDEX('Our policies'!$B$4:$B$503,_calc!$E$985))&amp;". ")&amp;IF(LEN(IF(LEN(INDEX('Our policies'!$C$4:$C$503,_calc!$E$985))=0,"",INDEX('Our policies'!$C$4:$C$503,_calc!$E$985)))=0,"","Insurer: "&amp;IF(LEN(INDEX('Our policies'!$C$4:$C$503,_calc!$E$985))=0,"",INDEX('Our policies'!$C$4:$C$503,_calc!$E$985))&amp;". ")&amp;IF(LEN(IF(LEN(INDEX('Our policies'!$D$4:$D$503,_calc!$E$985))=0,"",INDEX('Our policies'!$D$4:$D$503,_calc!$E$985)))=0,"","Broker: "&amp;IF(LEN(INDEX('Our policies'!$D$4:$D$503,_calc!$E$985))=0,"",INDEX('Our policies'!$D$4:$D$503,_calc!$E$985))&amp;". ")&amp;IF(LEN(IF(LEN(INDEX('Our policies'!$E$4:$E$503,_calc!$E$985))=0,"",INDEX('Our policies'!$E$4:$E$503,_calc!$E$985)))=0,"","Policy no.: "&amp;IF(LEN(INDEX('Our policies'!$E$4:$E$503,_calc!$E$985))=0,"",INDEX('Our policies'!$E$4:$E$503,_calc!$E$985))&amp;". ")&amp;IF(LEN(IF(LEN(INDEX('Our policies'!$S$4:$S$503,_calc!$E$985))=0,"",INDEX('Our policies'!$S$4:$S$503,_calc!$E$985)))=0,"",IF(LEN(INDEX('Our policies'!$S$4:$S$503,_calc!$E$985))=0,"",INDEX('Our policies'!$S$4:$S$503,_calc!$E$985)))),TRIM(IF(LEN(IF(LEN(INDEX('Vendor COIs'!$C$4:$C$503,(_calc!$E$985-500)))=0,"",INDEX('Vendor COIs'!$C$4:$C$503,(_calc!$E$985-500))))=0,"","Insurer: "&amp;IF(LEN(INDEX('Vendor COIs'!$C$4:$C$503,(_calc!$E$985-500)))=0,"",INDEX('Vendor COIs'!$C$4:$C$503,(_calc!$E$985-500)))&amp;". ")&amp;IF(LEN(IF(LEN(INDEX('Vendor COIs'!$D$4:$D$503,(_calc!$E$985-500)))=0,"",INDEX('Vendor COIs'!$D$4:$D$503,(_calc!$E$985-500))))=0,"","Policy no.: "&amp;IF(LEN(INDEX('Vendor COIs'!$D$4:$D$503,(_calc!$E$985-500)))=0,"",INDEX('Vendor COIs'!$D$4:$D$503,(_calc!$E$985-500)))&amp;". ")&amp;IF(LEN(IF(LEN(INDEX('Vendor COIs'!$F$4:$F$503,(_calc!$E$985-500)))=0,"",INDEX('Vendor COIs'!$F$4:$F$503,(_calc!$E$985-500))))=0,"","Meets minimum: "&amp;IF(LEN(INDEX('Vendor COIs'!$F$4:$F$503,(_calc!$E$985-500)))=0,"",INDEX('Vendor COIs'!$F$4:$F$503,(_calc!$E$985-500)))&amp;". ")&amp;IF(LEN(IF(LEN(INDEX('Vendor COIs'!$G$4:$G$503,(_calc!$E$985-500)))=0,"",INDEX('Vendor COIs'!$G$4:$G$503,(_calc!$E$985-500))))=0,"","Additional insured: "&amp;IF(LEN(INDEX('Vendor COIs'!$G$4:$G$503,(_calc!$E$985-500)))=0,"",INDEX('Vendor COIs'!$G$4:$G$503,(_calc!$E$985-500)))&amp;". ")&amp;IF(LEN(IF(LEN(INDEX('Vendor COIs'!$M$4:$M$503,(_calc!$E$985-500)))=0,"",INDEX('Vendor COIs'!$M$4:$M$503,(_calc!$E$985-500))))=0,"","Vendor contact: "&amp;IF(LEN(INDEX('Vendor COIs'!$M$4:$M$503,(_calc!$E$985-500)))=0,"",INDEX('Vendor COIs'!$M$4:$M$503,(_calc!$E$985-500)))&amp;". ")&amp;IF(LEN(IF(LEN(INDEX('Vendor COIs'!$P$4:$P$503,(_calc!$E$985-500)))=0,"",INDEX('Vendor COIs'!$P$4:$P$503,(_calc!$E$985-500))))=0,"",IF(LEN(INDEX('Vendor COIs'!$P$4:$P$503,(_calc!$E$985-500)))=0,"",INDEX('Vendor COIs'!$P$4:$P$503,(_calc!$E$985-500)))))))</f>
        <v/>
      </c>
      <c r="G983" s="46">
        <f>IF(_calc!$E$985="","",IF(_calc!$E$985&lt;=500,IF(LEN(INDEX('Our policies'!$R$4:$R$503,_calc!$E$985))=0,"",INDEX('Our policies'!$R$4:$R$503,_calc!$E$985)),IF(LEN(INDEX('Vendor COIs'!$O$4:$O$503,(_calc!$E$985-500)))=0,"",INDEX('Vendor COIs'!$O$4:$O$503,(_calc!$E$985-500)))))</f>
        <v/>
      </c>
      <c r="H983" s="46">
        <f>IF(_calc!$E$985="","",IF(_calc!$E$985&lt;=500,IF(LEN(INDEX('Our policies'!$G$4:$G$503,_calc!$E$985))=0,"",INDEX('Our policies'!$G$4:$G$503,_calc!$E$985)),""))</f>
        <v/>
      </c>
      <c r="I983" s="46">
        <f>IF(_calc!$E$985="","",IF(_calc!$E$985&lt;=500,IF(LEN(INDEX('Our policies'!$H$4:$H$503,_calc!$E$985))=0,"",INDEX('Our policies'!$H$4:$H$503,_calc!$E$985)),""))</f>
        <v/>
      </c>
      <c r="K983" s="46">
        <f>IF(_calc!$E$985="","",IF(_calc!$E$985&lt;=500,IF(LEN(INDEX('Our policies'!$P$4:$P$503,_calc!$E$985))=0,"",INDEX('Our policies'!$P$4:$P$503,_calc!$E$985)),IF(LEN(INDEX('Vendor COIs'!$N$4:$N$503,(_calc!$E$985-500)))=0,"",INDEX('Vendor COIs'!$N$4:$N$503,(_calc!$E$985-500)))))</f>
        <v/>
      </c>
    </row>
    <row r="984">
      <c r="A984" s="46">
        <f>IF(_calc!$E$986="","",IF(_calc!$E$986&lt;=500,IF(LEN(INDEX('Our policies'!$A$4:$A$503,_calc!$E$986))=0,"",INDEX('Our policies'!$A$4:$A$503,_calc!$E$986)),"COI – "&amp;IF(LEN(INDEX('Vendor COIs'!$A$4:$A$503,(_calc!$E$986-500)))=0,"",INDEX('Vendor COIs'!$A$4:$A$503,(_calc!$E$986-500)))&amp;" – "&amp;IF(LEN(INDEX('Vendor COIs'!$B$4:$B$503,(_calc!$E$986-500)))=0,"",INDEX('Vendor COIs'!$B$4:$B$503,(_calc!$E$986-500)))))</f>
        <v/>
      </c>
      <c r="B984" s="46">
        <f>IF(_calc!$E$986="","",IF(_calc!$E$986&lt;=500,IF(ISNUMBER(INDEX('Our policies'!$J$4:$J$503,_calc!$E$986)),TEXT(INDEX('Our policies'!$J$4:$J$503,_calc!$E$986),"yyyy-mm-dd"),""),IF(ISNUMBER(INDEX('Vendor COIs'!$H$4:$H$503,(_calc!$E$986-500))),TEXT(INDEX('Vendor COIs'!$H$4:$H$503,(_calc!$E$986-500)),"yyyy-mm-dd"),"")))</f>
        <v/>
      </c>
      <c r="C984" s="46">
        <f>IF(_calc!$E$986="","",IF(_calc!$E$986&lt;=500,"Insurance","Certificate of insurance"))</f>
        <v/>
      </c>
      <c r="D984" s="46">
        <f>IF(_calc!$E$986="","",IF(_calc!$E$986&lt;=500,IF(ISNUMBER(INDEX('Our policies'!$I$4:$I$503,_calc!$E$986)),TEXT(INDEX('Our policies'!$I$4:$I$503,_calc!$E$986),"yyyy-mm-dd"),""),""))</f>
        <v/>
      </c>
      <c r="E984" s="46">
        <f>IF(_calc!$E$986="","",IF(_calc!$E$986&lt;=500,IF(LEN(INDEX('Our policies'!$Q$4:$Q$503,_calc!$E$986))=0,"",INDEX('Our policies'!$Q$4:$Q$503,_calc!$E$986)),"Medium"))</f>
        <v/>
      </c>
      <c r="F984" s="46">
        <f>IF(_calc!$E$986="","",IF(_calc!$E$986&lt;=500,TRIM(IF(LEN(IF(LEN(INDEX('Our policies'!$B$4:$B$503,_calc!$E$986))=0,"",INDEX('Our policies'!$B$4:$B$503,_calc!$E$986)))=0,"","Cover: "&amp;IF(LEN(INDEX('Our policies'!$B$4:$B$503,_calc!$E$986))=0,"",INDEX('Our policies'!$B$4:$B$503,_calc!$E$986))&amp;". ")&amp;IF(LEN(IF(LEN(INDEX('Our policies'!$C$4:$C$503,_calc!$E$986))=0,"",INDEX('Our policies'!$C$4:$C$503,_calc!$E$986)))=0,"","Insurer: "&amp;IF(LEN(INDEX('Our policies'!$C$4:$C$503,_calc!$E$986))=0,"",INDEX('Our policies'!$C$4:$C$503,_calc!$E$986))&amp;". ")&amp;IF(LEN(IF(LEN(INDEX('Our policies'!$D$4:$D$503,_calc!$E$986))=0,"",INDEX('Our policies'!$D$4:$D$503,_calc!$E$986)))=0,"","Broker: "&amp;IF(LEN(INDEX('Our policies'!$D$4:$D$503,_calc!$E$986))=0,"",INDEX('Our policies'!$D$4:$D$503,_calc!$E$986))&amp;". ")&amp;IF(LEN(IF(LEN(INDEX('Our policies'!$E$4:$E$503,_calc!$E$986))=0,"",INDEX('Our policies'!$E$4:$E$503,_calc!$E$986)))=0,"","Policy no.: "&amp;IF(LEN(INDEX('Our policies'!$E$4:$E$503,_calc!$E$986))=0,"",INDEX('Our policies'!$E$4:$E$503,_calc!$E$986))&amp;". ")&amp;IF(LEN(IF(LEN(INDEX('Our policies'!$S$4:$S$503,_calc!$E$986))=0,"",INDEX('Our policies'!$S$4:$S$503,_calc!$E$986)))=0,"",IF(LEN(INDEX('Our policies'!$S$4:$S$503,_calc!$E$986))=0,"",INDEX('Our policies'!$S$4:$S$503,_calc!$E$986)))),TRIM(IF(LEN(IF(LEN(INDEX('Vendor COIs'!$C$4:$C$503,(_calc!$E$986-500)))=0,"",INDEX('Vendor COIs'!$C$4:$C$503,(_calc!$E$986-500))))=0,"","Insurer: "&amp;IF(LEN(INDEX('Vendor COIs'!$C$4:$C$503,(_calc!$E$986-500)))=0,"",INDEX('Vendor COIs'!$C$4:$C$503,(_calc!$E$986-500)))&amp;". ")&amp;IF(LEN(IF(LEN(INDEX('Vendor COIs'!$D$4:$D$503,(_calc!$E$986-500)))=0,"",INDEX('Vendor COIs'!$D$4:$D$503,(_calc!$E$986-500))))=0,"","Policy no.: "&amp;IF(LEN(INDEX('Vendor COIs'!$D$4:$D$503,(_calc!$E$986-500)))=0,"",INDEX('Vendor COIs'!$D$4:$D$503,(_calc!$E$986-500)))&amp;". ")&amp;IF(LEN(IF(LEN(INDEX('Vendor COIs'!$F$4:$F$503,(_calc!$E$986-500)))=0,"",INDEX('Vendor COIs'!$F$4:$F$503,(_calc!$E$986-500))))=0,"","Meets minimum: "&amp;IF(LEN(INDEX('Vendor COIs'!$F$4:$F$503,(_calc!$E$986-500)))=0,"",INDEX('Vendor COIs'!$F$4:$F$503,(_calc!$E$986-500)))&amp;". ")&amp;IF(LEN(IF(LEN(INDEX('Vendor COIs'!$G$4:$G$503,(_calc!$E$986-500)))=0,"",INDEX('Vendor COIs'!$G$4:$G$503,(_calc!$E$986-500))))=0,"","Additional insured: "&amp;IF(LEN(INDEX('Vendor COIs'!$G$4:$G$503,(_calc!$E$986-500)))=0,"",INDEX('Vendor COIs'!$G$4:$G$503,(_calc!$E$986-500)))&amp;". ")&amp;IF(LEN(IF(LEN(INDEX('Vendor COIs'!$M$4:$M$503,(_calc!$E$986-500)))=0,"",INDEX('Vendor COIs'!$M$4:$M$503,(_calc!$E$986-500))))=0,"","Vendor contact: "&amp;IF(LEN(INDEX('Vendor COIs'!$M$4:$M$503,(_calc!$E$986-500)))=0,"",INDEX('Vendor COIs'!$M$4:$M$503,(_calc!$E$986-500)))&amp;". ")&amp;IF(LEN(IF(LEN(INDEX('Vendor COIs'!$P$4:$P$503,(_calc!$E$986-500)))=0,"",INDEX('Vendor COIs'!$P$4:$P$503,(_calc!$E$986-500))))=0,"",IF(LEN(INDEX('Vendor COIs'!$P$4:$P$503,(_calc!$E$986-500)))=0,"",INDEX('Vendor COIs'!$P$4:$P$503,(_calc!$E$986-500)))))))</f>
        <v/>
      </c>
      <c r="G984" s="46">
        <f>IF(_calc!$E$986="","",IF(_calc!$E$986&lt;=500,IF(LEN(INDEX('Our policies'!$R$4:$R$503,_calc!$E$986))=0,"",INDEX('Our policies'!$R$4:$R$503,_calc!$E$986)),IF(LEN(INDEX('Vendor COIs'!$O$4:$O$503,(_calc!$E$986-500)))=0,"",INDEX('Vendor COIs'!$O$4:$O$503,(_calc!$E$986-500)))))</f>
        <v/>
      </c>
      <c r="H984" s="46">
        <f>IF(_calc!$E$986="","",IF(_calc!$E$986&lt;=500,IF(LEN(INDEX('Our policies'!$G$4:$G$503,_calc!$E$986))=0,"",INDEX('Our policies'!$G$4:$G$503,_calc!$E$986)),""))</f>
        <v/>
      </c>
      <c r="I984" s="46">
        <f>IF(_calc!$E$986="","",IF(_calc!$E$986&lt;=500,IF(LEN(INDEX('Our policies'!$H$4:$H$503,_calc!$E$986))=0,"",INDEX('Our policies'!$H$4:$H$503,_calc!$E$986)),""))</f>
        <v/>
      </c>
      <c r="K984" s="46">
        <f>IF(_calc!$E$986="","",IF(_calc!$E$986&lt;=500,IF(LEN(INDEX('Our policies'!$P$4:$P$503,_calc!$E$986))=0,"",INDEX('Our policies'!$P$4:$P$503,_calc!$E$986)),IF(LEN(INDEX('Vendor COIs'!$N$4:$N$503,(_calc!$E$986-500)))=0,"",INDEX('Vendor COIs'!$N$4:$N$503,(_calc!$E$986-500)))))</f>
        <v/>
      </c>
    </row>
    <row r="985">
      <c r="A985" s="46">
        <f>IF(_calc!$E$987="","",IF(_calc!$E$987&lt;=500,IF(LEN(INDEX('Our policies'!$A$4:$A$503,_calc!$E$987))=0,"",INDEX('Our policies'!$A$4:$A$503,_calc!$E$987)),"COI – "&amp;IF(LEN(INDEX('Vendor COIs'!$A$4:$A$503,(_calc!$E$987-500)))=0,"",INDEX('Vendor COIs'!$A$4:$A$503,(_calc!$E$987-500)))&amp;" – "&amp;IF(LEN(INDEX('Vendor COIs'!$B$4:$B$503,(_calc!$E$987-500)))=0,"",INDEX('Vendor COIs'!$B$4:$B$503,(_calc!$E$987-500)))))</f>
        <v/>
      </c>
      <c r="B985" s="46">
        <f>IF(_calc!$E$987="","",IF(_calc!$E$987&lt;=500,IF(ISNUMBER(INDEX('Our policies'!$J$4:$J$503,_calc!$E$987)),TEXT(INDEX('Our policies'!$J$4:$J$503,_calc!$E$987),"yyyy-mm-dd"),""),IF(ISNUMBER(INDEX('Vendor COIs'!$H$4:$H$503,(_calc!$E$987-500))),TEXT(INDEX('Vendor COIs'!$H$4:$H$503,(_calc!$E$987-500)),"yyyy-mm-dd"),"")))</f>
        <v/>
      </c>
      <c r="C985" s="46">
        <f>IF(_calc!$E$987="","",IF(_calc!$E$987&lt;=500,"Insurance","Certificate of insurance"))</f>
        <v/>
      </c>
      <c r="D985" s="46">
        <f>IF(_calc!$E$987="","",IF(_calc!$E$987&lt;=500,IF(ISNUMBER(INDEX('Our policies'!$I$4:$I$503,_calc!$E$987)),TEXT(INDEX('Our policies'!$I$4:$I$503,_calc!$E$987),"yyyy-mm-dd"),""),""))</f>
        <v/>
      </c>
      <c r="E985" s="46">
        <f>IF(_calc!$E$987="","",IF(_calc!$E$987&lt;=500,IF(LEN(INDEX('Our policies'!$Q$4:$Q$503,_calc!$E$987))=0,"",INDEX('Our policies'!$Q$4:$Q$503,_calc!$E$987)),"Medium"))</f>
        <v/>
      </c>
      <c r="F985" s="46">
        <f>IF(_calc!$E$987="","",IF(_calc!$E$987&lt;=500,TRIM(IF(LEN(IF(LEN(INDEX('Our policies'!$B$4:$B$503,_calc!$E$987))=0,"",INDEX('Our policies'!$B$4:$B$503,_calc!$E$987)))=0,"","Cover: "&amp;IF(LEN(INDEX('Our policies'!$B$4:$B$503,_calc!$E$987))=0,"",INDEX('Our policies'!$B$4:$B$503,_calc!$E$987))&amp;". ")&amp;IF(LEN(IF(LEN(INDEX('Our policies'!$C$4:$C$503,_calc!$E$987))=0,"",INDEX('Our policies'!$C$4:$C$503,_calc!$E$987)))=0,"","Insurer: "&amp;IF(LEN(INDEX('Our policies'!$C$4:$C$503,_calc!$E$987))=0,"",INDEX('Our policies'!$C$4:$C$503,_calc!$E$987))&amp;". ")&amp;IF(LEN(IF(LEN(INDEX('Our policies'!$D$4:$D$503,_calc!$E$987))=0,"",INDEX('Our policies'!$D$4:$D$503,_calc!$E$987)))=0,"","Broker: "&amp;IF(LEN(INDEX('Our policies'!$D$4:$D$503,_calc!$E$987))=0,"",INDEX('Our policies'!$D$4:$D$503,_calc!$E$987))&amp;". ")&amp;IF(LEN(IF(LEN(INDEX('Our policies'!$E$4:$E$503,_calc!$E$987))=0,"",INDEX('Our policies'!$E$4:$E$503,_calc!$E$987)))=0,"","Policy no.: "&amp;IF(LEN(INDEX('Our policies'!$E$4:$E$503,_calc!$E$987))=0,"",INDEX('Our policies'!$E$4:$E$503,_calc!$E$987))&amp;". ")&amp;IF(LEN(IF(LEN(INDEX('Our policies'!$S$4:$S$503,_calc!$E$987))=0,"",INDEX('Our policies'!$S$4:$S$503,_calc!$E$987)))=0,"",IF(LEN(INDEX('Our policies'!$S$4:$S$503,_calc!$E$987))=0,"",INDEX('Our policies'!$S$4:$S$503,_calc!$E$987)))),TRIM(IF(LEN(IF(LEN(INDEX('Vendor COIs'!$C$4:$C$503,(_calc!$E$987-500)))=0,"",INDEX('Vendor COIs'!$C$4:$C$503,(_calc!$E$987-500))))=0,"","Insurer: "&amp;IF(LEN(INDEX('Vendor COIs'!$C$4:$C$503,(_calc!$E$987-500)))=0,"",INDEX('Vendor COIs'!$C$4:$C$503,(_calc!$E$987-500)))&amp;". ")&amp;IF(LEN(IF(LEN(INDEX('Vendor COIs'!$D$4:$D$503,(_calc!$E$987-500)))=0,"",INDEX('Vendor COIs'!$D$4:$D$503,(_calc!$E$987-500))))=0,"","Policy no.: "&amp;IF(LEN(INDEX('Vendor COIs'!$D$4:$D$503,(_calc!$E$987-500)))=0,"",INDEX('Vendor COIs'!$D$4:$D$503,(_calc!$E$987-500)))&amp;". ")&amp;IF(LEN(IF(LEN(INDEX('Vendor COIs'!$F$4:$F$503,(_calc!$E$987-500)))=0,"",INDEX('Vendor COIs'!$F$4:$F$503,(_calc!$E$987-500))))=0,"","Meets minimum: "&amp;IF(LEN(INDEX('Vendor COIs'!$F$4:$F$503,(_calc!$E$987-500)))=0,"",INDEX('Vendor COIs'!$F$4:$F$503,(_calc!$E$987-500)))&amp;". ")&amp;IF(LEN(IF(LEN(INDEX('Vendor COIs'!$G$4:$G$503,(_calc!$E$987-500)))=0,"",INDEX('Vendor COIs'!$G$4:$G$503,(_calc!$E$987-500))))=0,"","Additional insured: "&amp;IF(LEN(INDEX('Vendor COIs'!$G$4:$G$503,(_calc!$E$987-500)))=0,"",INDEX('Vendor COIs'!$G$4:$G$503,(_calc!$E$987-500)))&amp;". ")&amp;IF(LEN(IF(LEN(INDEX('Vendor COIs'!$M$4:$M$503,(_calc!$E$987-500)))=0,"",INDEX('Vendor COIs'!$M$4:$M$503,(_calc!$E$987-500))))=0,"","Vendor contact: "&amp;IF(LEN(INDEX('Vendor COIs'!$M$4:$M$503,(_calc!$E$987-500)))=0,"",INDEX('Vendor COIs'!$M$4:$M$503,(_calc!$E$987-500)))&amp;". ")&amp;IF(LEN(IF(LEN(INDEX('Vendor COIs'!$P$4:$P$503,(_calc!$E$987-500)))=0,"",INDEX('Vendor COIs'!$P$4:$P$503,(_calc!$E$987-500))))=0,"",IF(LEN(INDEX('Vendor COIs'!$P$4:$P$503,(_calc!$E$987-500)))=0,"",INDEX('Vendor COIs'!$P$4:$P$503,(_calc!$E$987-500)))))))</f>
        <v/>
      </c>
      <c r="G985" s="46">
        <f>IF(_calc!$E$987="","",IF(_calc!$E$987&lt;=500,IF(LEN(INDEX('Our policies'!$R$4:$R$503,_calc!$E$987))=0,"",INDEX('Our policies'!$R$4:$R$503,_calc!$E$987)),IF(LEN(INDEX('Vendor COIs'!$O$4:$O$503,(_calc!$E$987-500)))=0,"",INDEX('Vendor COIs'!$O$4:$O$503,(_calc!$E$987-500)))))</f>
        <v/>
      </c>
      <c r="H985" s="46">
        <f>IF(_calc!$E$987="","",IF(_calc!$E$987&lt;=500,IF(LEN(INDEX('Our policies'!$G$4:$G$503,_calc!$E$987))=0,"",INDEX('Our policies'!$G$4:$G$503,_calc!$E$987)),""))</f>
        <v/>
      </c>
      <c r="I985" s="46">
        <f>IF(_calc!$E$987="","",IF(_calc!$E$987&lt;=500,IF(LEN(INDEX('Our policies'!$H$4:$H$503,_calc!$E$987))=0,"",INDEX('Our policies'!$H$4:$H$503,_calc!$E$987)),""))</f>
        <v/>
      </c>
      <c r="K985" s="46">
        <f>IF(_calc!$E$987="","",IF(_calc!$E$987&lt;=500,IF(LEN(INDEX('Our policies'!$P$4:$P$503,_calc!$E$987))=0,"",INDEX('Our policies'!$P$4:$P$503,_calc!$E$987)),IF(LEN(INDEX('Vendor COIs'!$N$4:$N$503,(_calc!$E$987-500)))=0,"",INDEX('Vendor COIs'!$N$4:$N$503,(_calc!$E$987-500)))))</f>
        <v/>
      </c>
    </row>
    <row r="986">
      <c r="A986" s="46">
        <f>IF(_calc!$E$988="","",IF(_calc!$E$988&lt;=500,IF(LEN(INDEX('Our policies'!$A$4:$A$503,_calc!$E$988))=0,"",INDEX('Our policies'!$A$4:$A$503,_calc!$E$988)),"COI – "&amp;IF(LEN(INDEX('Vendor COIs'!$A$4:$A$503,(_calc!$E$988-500)))=0,"",INDEX('Vendor COIs'!$A$4:$A$503,(_calc!$E$988-500)))&amp;" – "&amp;IF(LEN(INDEX('Vendor COIs'!$B$4:$B$503,(_calc!$E$988-500)))=0,"",INDEX('Vendor COIs'!$B$4:$B$503,(_calc!$E$988-500)))))</f>
        <v/>
      </c>
      <c r="B986" s="46">
        <f>IF(_calc!$E$988="","",IF(_calc!$E$988&lt;=500,IF(ISNUMBER(INDEX('Our policies'!$J$4:$J$503,_calc!$E$988)),TEXT(INDEX('Our policies'!$J$4:$J$503,_calc!$E$988),"yyyy-mm-dd"),""),IF(ISNUMBER(INDEX('Vendor COIs'!$H$4:$H$503,(_calc!$E$988-500))),TEXT(INDEX('Vendor COIs'!$H$4:$H$503,(_calc!$E$988-500)),"yyyy-mm-dd"),"")))</f>
        <v/>
      </c>
      <c r="C986" s="46">
        <f>IF(_calc!$E$988="","",IF(_calc!$E$988&lt;=500,"Insurance","Certificate of insurance"))</f>
        <v/>
      </c>
      <c r="D986" s="46">
        <f>IF(_calc!$E$988="","",IF(_calc!$E$988&lt;=500,IF(ISNUMBER(INDEX('Our policies'!$I$4:$I$503,_calc!$E$988)),TEXT(INDEX('Our policies'!$I$4:$I$503,_calc!$E$988),"yyyy-mm-dd"),""),""))</f>
        <v/>
      </c>
      <c r="E986" s="46">
        <f>IF(_calc!$E$988="","",IF(_calc!$E$988&lt;=500,IF(LEN(INDEX('Our policies'!$Q$4:$Q$503,_calc!$E$988))=0,"",INDEX('Our policies'!$Q$4:$Q$503,_calc!$E$988)),"Medium"))</f>
        <v/>
      </c>
      <c r="F986" s="46">
        <f>IF(_calc!$E$988="","",IF(_calc!$E$988&lt;=500,TRIM(IF(LEN(IF(LEN(INDEX('Our policies'!$B$4:$B$503,_calc!$E$988))=0,"",INDEX('Our policies'!$B$4:$B$503,_calc!$E$988)))=0,"","Cover: "&amp;IF(LEN(INDEX('Our policies'!$B$4:$B$503,_calc!$E$988))=0,"",INDEX('Our policies'!$B$4:$B$503,_calc!$E$988))&amp;". ")&amp;IF(LEN(IF(LEN(INDEX('Our policies'!$C$4:$C$503,_calc!$E$988))=0,"",INDEX('Our policies'!$C$4:$C$503,_calc!$E$988)))=0,"","Insurer: "&amp;IF(LEN(INDEX('Our policies'!$C$4:$C$503,_calc!$E$988))=0,"",INDEX('Our policies'!$C$4:$C$503,_calc!$E$988))&amp;". ")&amp;IF(LEN(IF(LEN(INDEX('Our policies'!$D$4:$D$503,_calc!$E$988))=0,"",INDEX('Our policies'!$D$4:$D$503,_calc!$E$988)))=0,"","Broker: "&amp;IF(LEN(INDEX('Our policies'!$D$4:$D$503,_calc!$E$988))=0,"",INDEX('Our policies'!$D$4:$D$503,_calc!$E$988))&amp;". ")&amp;IF(LEN(IF(LEN(INDEX('Our policies'!$E$4:$E$503,_calc!$E$988))=0,"",INDEX('Our policies'!$E$4:$E$503,_calc!$E$988)))=0,"","Policy no.: "&amp;IF(LEN(INDEX('Our policies'!$E$4:$E$503,_calc!$E$988))=0,"",INDEX('Our policies'!$E$4:$E$503,_calc!$E$988))&amp;". ")&amp;IF(LEN(IF(LEN(INDEX('Our policies'!$S$4:$S$503,_calc!$E$988))=0,"",INDEX('Our policies'!$S$4:$S$503,_calc!$E$988)))=0,"",IF(LEN(INDEX('Our policies'!$S$4:$S$503,_calc!$E$988))=0,"",INDEX('Our policies'!$S$4:$S$503,_calc!$E$988)))),TRIM(IF(LEN(IF(LEN(INDEX('Vendor COIs'!$C$4:$C$503,(_calc!$E$988-500)))=0,"",INDEX('Vendor COIs'!$C$4:$C$503,(_calc!$E$988-500))))=0,"","Insurer: "&amp;IF(LEN(INDEX('Vendor COIs'!$C$4:$C$503,(_calc!$E$988-500)))=0,"",INDEX('Vendor COIs'!$C$4:$C$503,(_calc!$E$988-500)))&amp;". ")&amp;IF(LEN(IF(LEN(INDEX('Vendor COIs'!$D$4:$D$503,(_calc!$E$988-500)))=0,"",INDEX('Vendor COIs'!$D$4:$D$503,(_calc!$E$988-500))))=0,"","Policy no.: "&amp;IF(LEN(INDEX('Vendor COIs'!$D$4:$D$503,(_calc!$E$988-500)))=0,"",INDEX('Vendor COIs'!$D$4:$D$503,(_calc!$E$988-500)))&amp;". ")&amp;IF(LEN(IF(LEN(INDEX('Vendor COIs'!$F$4:$F$503,(_calc!$E$988-500)))=0,"",INDEX('Vendor COIs'!$F$4:$F$503,(_calc!$E$988-500))))=0,"","Meets minimum: "&amp;IF(LEN(INDEX('Vendor COIs'!$F$4:$F$503,(_calc!$E$988-500)))=0,"",INDEX('Vendor COIs'!$F$4:$F$503,(_calc!$E$988-500)))&amp;". ")&amp;IF(LEN(IF(LEN(INDEX('Vendor COIs'!$G$4:$G$503,(_calc!$E$988-500)))=0,"",INDEX('Vendor COIs'!$G$4:$G$503,(_calc!$E$988-500))))=0,"","Additional insured: "&amp;IF(LEN(INDEX('Vendor COIs'!$G$4:$G$503,(_calc!$E$988-500)))=0,"",INDEX('Vendor COIs'!$G$4:$G$503,(_calc!$E$988-500)))&amp;". ")&amp;IF(LEN(IF(LEN(INDEX('Vendor COIs'!$M$4:$M$503,(_calc!$E$988-500)))=0,"",INDEX('Vendor COIs'!$M$4:$M$503,(_calc!$E$988-500))))=0,"","Vendor contact: "&amp;IF(LEN(INDEX('Vendor COIs'!$M$4:$M$503,(_calc!$E$988-500)))=0,"",INDEX('Vendor COIs'!$M$4:$M$503,(_calc!$E$988-500)))&amp;". ")&amp;IF(LEN(IF(LEN(INDEX('Vendor COIs'!$P$4:$P$503,(_calc!$E$988-500)))=0,"",INDEX('Vendor COIs'!$P$4:$P$503,(_calc!$E$988-500))))=0,"",IF(LEN(INDEX('Vendor COIs'!$P$4:$P$503,(_calc!$E$988-500)))=0,"",INDEX('Vendor COIs'!$P$4:$P$503,(_calc!$E$988-500)))))))</f>
        <v/>
      </c>
      <c r="G986" s="46">
        <f>IF(_calc!$E$988="","",IF(_calc!$E$988&lt;=500,IF(LEN(INDEX('Our policies'!$R$4:$R$503,_calc!$E$988))=0,"",INDEX('Our policies'!$R$4:$R$503,_calc!$E$988)),IF(LEN(INDEX('Vendor COIs'!$O$4:$O$503,(_calc!$E$988-500)))=0,"",INDEX('Vendor COIs'!$O$4:$O$503,(_calc!$E$988-500)))))</f>
        <v/>
      </c>
      <c r="H986" s="46">
        <f>IF(_calc!$E$988="","",IF(_calc!$E$988&lt;=500,IF(LEN(INDEX('Our policies'!$G$4:$G$503,_calc!$E$988))=0,"",INDEX('Our policies'!$G$4:$G$503,_calc!$E$988)),""))</f>
        <v/>
      </c>
      <c r="I986" s="46">
        <f>IF(_calc!$E$988="","",IF(_calc!$E$988&lt;=500,IF(LEN(INDEX('Our policies'!$H$4:$H$503,_calc!$E$988))=0,"",INDEX('Our policies'!$H$4:$H$503,_calc!$E$988)),""))</f>
        <v/>
      </c>
      <c r="K986" s="46">
        <f>IF(_calc!$E$988="","",IF(_calc!$E$988&lt;=500,IF(LEN(INDEX('Our policies'!$P$4:$P$503,_calc!$E$988))=0,"",INDEX('Our policies'!$P$4:$P$503,_calc!$E$988)),IF(LEN(INDEX('Vendor COIs'!$N$4:$N$503,(_calc!$E$988-500)))=0,"",INDEX('Vendor COIs'!$N$4:$N$503,(_calc!$E$988-500)))))</f>
        <v/>
      </c>
    </row>
    <row r="987">
      <c r="A987" s="46">
        <f>IF(_calc!$E$989="","",IF(_calc!$E$989&lt;=500,IF(LEN(INDEX('Our policies'!$A$4:$A$503,_calc!$E$989))=0,"",INDEX('Our policies'!$A$4:$A$503,_calc!$E$989)),"COI – "&amp;IF(LEN(INDEX('Vendor COIs'!$A$4:$A$503,(_calc!$E$989-500)))=0,"",INDEX('Vendor COIs'!$A$4:$A$503,(_calc!$E$989-500)))&amp;" – "&amp;IF(LEN(INDEX('Vendor COIs'!$B$4:$B$503,(_calc!$E$989-500)))=0,"",INDEX('Vendor COIs'!$B$4:$B$503,(_calc!$E$989-500)))))</f>
        <v/>
      </c>
      <c r="B987" s="46">
        <f>IF(_calc!$E$989="","",IF(_calc!$E$989&lt;=500,IF(ISNUMBER(INDEX('Our policies'!$J$4:$J$503,_calc!$E$989)),TEXT(INDEX('Our policies'!$J$4:$J$503,_calc!$E$989),"yyyy-mm-dd"),""),IF(ISNUMBER(INDEX('Vendor COIs'!$H$4:$H$503,(_calc!$E$989-500))),TEXT(INDEX('Vendor COIs'!$H$4:$H$503,(_calc!$E$989-500)),"yyyy-mm-dd"),"")))</f>
        <v/>
      </c>
      <c r="C987" s="46">
        <f>IF(_calc!$E$989="","",IF(_calc!$E$989&lt;=500,"Insurance","Certificate of insurance"))</f>
        <v/>
      </c>
      <c r="D987" s="46">
        <f>IF(_calc!$E$989="","",IF(_calc!$E$989&lt;=500,IF(ISNUMBER(INDEX('Our policies'!$I$4:$I$503,_calc!$E$989)),TEXT(INDEX('Our policies'!$I$4:$I$503,_calc!$E$989),"yyyy-mm-dd"),""),""))</f>
        <v/>
      </c>
      <c r="E987" s="46">
        <f>IF(_calc!$E$989="","",IF(_calc!$E$989&lt;=500,IF(LEN(INDEX('Our policies'!$Q$4:$Q$503,_calc!$E$989))=0,"",INDEX('Our policies'!$Q$4:$Q$503,_calc!$E$989)),"Medium"))</f>
        <v/>
      </c>
      <c r="F987" s="46">
        <f>IF(_calc!$E$989="","",IF(_calc!$E$989&lt;=500,TRIM(IF(LEN(IF(LEN(INDEX('Our policies'!$B$4:$B$503,_calc!$E$989))=0,"",INDEX('Our policies'!$B$4:$B$503,_calc!$E$989)))=0,"","Cover: "&amp;IF(LEN(INDEX('Our policies'!$B$4:$B$503,_calc!$E$989))=0,"",INDEX('Our policies'!$B$4:$B$503,_calc!$E$989))&amp;". ")&amp;IF(LEN(IF(LEN(INDEX('Our policies'!$C$4:$C$503,_calc!$E$989))=0,"",INDEX('Our policies'!$C$4:$C$503,_calc!$E$989)))=0,"","Insurer: "&amp;IF(LEN(INDEX('Our policies'!$C$4:$C$503,_calc!$E$989))=0,"",INDEX('Our policies'!$C$4:$C$503,_calc!$E$989))&amp;". ")&amp;IF(LEN(IF(LEN(INDEX('Our policies'!$D$4:$D$503,_calc!$E$989))=0,"",INDEX('Our policies'!$D$4:$D$503,_calc!$E$989)))=0,"","Broker: "&amp;IF(LEN(INDEX('Our policies'!$D$4:$D$503,_calc!$E$989))=0,"",INDEX('Our policies'!$D$4:$D$503,_calc!$E$989))&amp;". ")&amp;IF(LEN(IF(LEN(INDEX('Our policies'!$E$4:$E$503,_calc!$E$989))=0,"",INDEX('Our policies'!$E$4:$E$503,_calc!$E$989)))=0,"","Policy no.: "&amp;IF(LEN(INDEX('Our policies'!$E$4:$E$503,_calc!$E$989))=0,"",INDEX('Our policies'!$E$4:$E$503,_calc!$E$989))&amp;". ")&amp;IF(LEN(IF(LEN(INDEX('Our policies'!$S$4:$S$503,_calc!$E$989))=0,"",INDEX('Our policies'!$S$4:$S$503,_calc!$E$989)))=0,"",IF(LEN(INDEX('Our policies'!$S$4:$S$503,_calc!$E$989))=0,"",INDEX('Our policies'!$S$4:$S$503,_calc!$E$989)))),TRIM(IF(LEN(IF(LEN(INDEX('Vendor COIs'!$C$4:$C$503,(_calc!$E$989-500)))=0,"",INDEX('Vendor COIs'!$C$4:$C$503,(_calc!$E$989-500))))=0,"","Insurer: "&amp;IF(LEN(INDEX('Vendor COIs'!$C$4:$C$503,(_calc!$E$989-500)))=0,"",INDEX('Vendor COIs'!$C$4:$C$503,(_calc!$E$989-500)))&amp;". ")&amp;IF(LEN(IF(LEN(INDEX('Vendor COIs'!$D$4:$D$503,(_calc!$E$989-500)))=0,"",INDEX('Vendor COIs'!$D$4:$D$503,(_calc!$E$989-500))))=0,"","Policy no.: "&amp;IF(LEN(INDEX('Vendor COIs'!$D$4:$D$503,(_calc!$E$989-500)))=0,"",INDEX('Vendor COIs'!$D$4:$D$503,(_calc!$E$989-500)))&amp;". ")&amp;IF(LEN(IF(LEN(INDEX('Vendor COIs'!$F$4:$F$503,(_calc!$E$989-500)))=0,"",INDEX('Vendor COIs'!$F$4:$F$503,(_calc!$E$989-500))))=0,"","Meets minimum: "&amp;IF(LEN(INDEX('Vendor COIs'!$F$4:$F$503,(_calc!$E$989-500)))=0,"",INDEX('Vendor COIs'!$F$4:$F$503,(_calc!$E$989-500)))&amp;". ")&amp;IF(LEN(IF(LEN(INDEX('Vendor COIs'!$G$4:$G$503,(_calc!$E$989-500)))=0,"",INDEX('Vendor COIs'!$G$4:$G$503,(_calc!$E$989-500))))=0,"","Additional insured: "&amp;IF(LEN(INDEX('Vendor COIs'!$G$4:$G$503,(_calc!$E$989-500)))=0,"",INDEX('Vendor COIs'!$G$4:$G$503,(_calc!$E$989-500)))&amp;". ")&amp;IF(LEN(IF(LEN(INDEX('Vendor COIs'!$M$4:$M$503,(_calc!$E$989-500)))=0,"",INDEX('Vendor COIs'!$M$4:$M$503,(_calc!$E$989-500))))=0,"","Vendor contact: "&amp;IF(LEN(INDEX('Vendor COIs'!$M$4:$M$503,(_calc!$E$989-500)))=0,"",INDEX('Vendor COIs'!$M$4:$M$503,(_calc!$E$989-500)))&amp;". ")&amp;IF(LEN(IF(LEN(INDEX('Vendor COIs'!$P$4:$P$503,(_calc!$E$989-500)))=0,"",INDEX('Vendor COIs'!$P$4:$P$503,(_calc!$E$989-500))))=0,"",IF(LEN(INDEX('Vendor COIs'!$P$4:$P$503,(_calc!$E$989-500)))=0,"",INDEX('Vendor COIs'!$P$4:$P$503,(_calc!$E$989-500)))))))</f>
        <v/>
      </c>
      <c r="G987" s="46">
        <f>IF(_calc!$E$989="","",IF(_calc!$E$989&lt;=500,IF(LEN(INDEX('Our policies'!$R$4:$R$503,_calc!$E$989))=0,"",INDEX('Our policies'!$R$4:$R$503,_calc!$E$989)),IF(LEN(INDEX('Vendor COIs'!$O$4:$O$503,(_calc!$E$989-500)))=0,"",INDEX('Vendor COIs'!$O$4:$O$503,(_calc!$E$989-500)))))</f>
        <v/>
      </c>
      <c r="H987" s="46">
        <f>IF(_calc!$E$989="","",IF(_calc!$E$989&lt;=500,IF(LEN(INDEX('Our policies'!$G$4:$G$503,_calc!$E$989))=0,"",INDEX('Our policies'!$G$4:$G$503,_calc!$E$989)),""))</f>
        <v/>
      </c>
      <c r="I987" s="46">
        <f>IF(_calc!$E$989="","",IF(_calc!$E$989&lt;=500,IF(LEN(INDEX('Our policies'!$H$4:$H$503,_calc!$E$989))=0,"",INDEX('Our policies'!$H$4:$H$503,_calc!$E$989)),""))</f>
        <v/>
      </c>
      <c r="K987" s="46">
        <f>IF(_calc!$E$989="","",IF(_calc!$E$989&lt;=500,IF(LEN(INDEX('Our policies'!$P$4:$P$503,_calc!$E$989))=0,"",INDEX('Our policies'!$P$4:$P$503,_calc!$E$989)),IF(LEN(INDEX('Vendor COIs'!$N$4:$N$503,(_calc!$E$989-500)))=0,"",INDEX('Vendor COIs'!$N$4:$N$503,(_calc!$E$989-500)))))</f>
        <v/>
      </c>
    </row>
    <row r="988">
      <c r="A988" s="46">
        <f>IF(_calc!$E$990="","",IF(_calc!$E$990&lt;=500,IF(LEN(INDEX('Our policies'!$A$4:$A$503,_calc!$E$990))=0,"",INDEX('Our policies'!$A$4:$A$503,_calc!$E$990)),"COI – "&amp;IF(LEN(INDEX('Vendor COIs'!$A$4:$A$503,(_calc!$E$990-500)))=0,"",INDEX('Vendor COIs'!$A$4:$A$503,(_calc!$E$990-500)))&amp;" – "&amp;IF(LEN(INDEX('Vendor COIs'!$B$4:$B$503,(_calc!$E$990-500)))=0,"",INDEX('Vendor COIs'!$B$4:$B$503,(_calc!$E$990-500)))))</f>
        <v/>
      </c>
      <c r="B988" s="46">
        <f>IF(_calc!$E$990="","",IF(_calc!$E$990&lt;=500,IF(ISNUMBER(INDEX('Our policies'!$J$4:$J$503,_calc!$E$990)),TEXT(INDEX('Our policies'!$J$4:$J$503,_calc!$E$990),"yyyy-mm-dd"),""),IF(ISNUMBER(INDEX('Vendor COIs'!$H$4:$H$503,(_calc!$E$990-500))),TEXT(INDEX('Vendor COIs'!$H$4:$H$503,(_calc!$E$990-500)),"yyyy-mm-dd"),"")))</f>
        <v/>
      </c>
      <c r="C988" s="46">
        <f>IF(_calc!$E$990="","",IF(_calc!$E$990&lt;=500,"Insurance","Certificate of insurance"))</f>
        <v/>
      </c>
      <c r="D988" s="46">
        <f>IF(_calc!$E$990="","",IF(_calc!$E$990&lt;=500,IF(ISNUMBER(INDEX('Our policies'!$I$4:$I$503,_calc!$E$990)),TEXT(INDEX('Our policies'!$I$4:$I$503,_calc!$E$990),"yyyy-mm-dd"),""),""))</f>
        <v/>
      </c>
      <c r="E988" s="46">
        <f>IF(_calc!$E$990="","",IF(_calc!$E$990&lt;=500,IF(LEN(INDEX('Our policies'!$Q$4:$Q$503,_calc!$E$990))=0,"",INDEX('Our policies'!$Q$4:$Q$503,_calc!$E$990)),"Medium"))</f>
        <v/>
      </c>
      <c r="F988" s="46">
        <f>IF(_calc!$E$990="","",IF(_calc!$E$990&lt;=500,TRIM(IF(LEN(IF(LEN(INDEX('Our policies'!$B$4:$B$503,_calc!$E$990))=0,"",INDEX('Our policies'!$B$4:$B$503,_calc!$E$990)))=0,"","Cover: "&amp;IF(LEN(INDEX('Our policies'!$B$4:$B$503,_calc!$E$990))=0,"",INDEX('Our policies'!$B$4:$B$503,_calc!$E$990))&amp;". ")&amp;IF(LEN(IF(LEN(INDEX('Our policies'!$C$4:$C$503,_calc!$E$990))=0,"",INDEX('Our policies'!$C$4:$C$503,_calc!$E$990)))=0,"","Insurer: "&amp;IF(LEN(INDEX('Our policies'!$C$4:$C$503,_calc!$E$990))=0,"",INDEX('Our policies'!$C$4:$C$503,_calc!$E$990))&amp;". ")&amp;IF(LEN(IF(LEN(INDEX('Our policies'!$D$4:$D$503,_calc!$E$990))=0,"",INDEX('Our policies'!$D$4:$D$503,_calc!$E$990)))=0,"","Broker: "&amp;IF(LEN(INDEX('Our policies'!$D$4:$D$503,_calc!$E$990))=0,"",INDEX('Our policies'!$D$4:$D$503,_calc!$E$990))&amp;". ")&amp;IF(LEN(IF(LEN(INDEX('Our policies'!$E$4:$E$503,_calc!$E$990))=0,"",INDEX('Our policies'!$E$4:$E$503,_calc!$E$990)))=0,"","Policy no.: "&amp;IF(LEN(INDEX('Our policies'!$E$4:$E$503,_calc!$E$990))=0,"",INDEX('Our policies'!$E$4:$E$503,_calc!$E$990))&amp;". ")&amp;IF(LEN(IF(LEN(INDEX('Our policies'!$S$4:$S$503,_calc!$E$990))=0,"",INDEX('Our policies'!$S$4:$S$503,_calc!$E$990)))=0,"",IF(LEN(INDEX('Our policies'!$S$4:$S$503,_calc!$E$990))=0,"",INDEX('Our policies'!$S$4:$S$503,_calc!$E$990)))),TRIM(IF(LEN(IF(LEN(INDEX('Vendor COIs'!$C$4:$C$503,(_calc!$E$990-500)))=0,"",INDEX('Vendor COIs'!$C$4:$C$503,(_calc!$E$990-500))))=0,"","Insurer: "&amp;IF(LEN(INDEX('Vendor COIs'!$C$4:$C$503,(_calc!$E$990-500)))=0,"",INDEX('Vendor COIs'!$C$4:$C$503,(_calc!$E$990-500)))&amp;". ")&amp;IF(LEN(IF(LEN(INDEX('Vendor COIs'!$D$4:$D$503,(_calc!$E$990-500)))=0,"",INDEX('Vendor COIs'!$D$4:$D$503,(_calc!$E$990-500))))=0,"","Policy no.: "&amp;IF(LEN(INDEX('Vendor COIs'!$D$4:$D$503,(_calc!$E$990-500)))=0,"",INDEX('Vendor COIs'!$D$4:$D$503,(_calc!$E$990-500)))&amp;". ")&amp;IF(LEN(IF(LEN(INDEX('Vendor COIs'!$F$4:$F$503,(_calc!$E$990-500)))=0,"",INDEX('Vendor COIs'!$F$4:$F$503,(_calc!$E$990-500))))=0,"","Meets minimum: "&amp;IF(LEN(INDEX('Vendor COIs'!$F$4:$F$503,(_calc!$E$990-500)))=0,"",INDEX('Vendor COIs'!$F$4:$F$503,(_calc!$E$990-500)))&amp;". ")&amp;IF(LEN(IF(LEN(INDEX('Vendor COIs'!$G$4:$G$503,(_calc!$E$990-500)))=0,"",INDEX('Vendor COIs'!$G$4:$G$503,(_calc!$E$990-500))))=0,"","Additional insured: "&amp;IF(LEN(INDEX('Vendor COIs'!$G$4:$G$503,(_calc!$E$990-500)))=0,"",INDEX('Vendor COIs'!$G$4:$G$503,(_calc!$E$990-500)))&amp;". ")&amp;IF(LEN(IF(LEN(INDEX('Vendor COIs'!$M$4:$M$503,(_calc!$E$990-500)))=0,"",INDEX('Vendor COIs'!$M$4:$M$503,(_calc!$E$990-500))))=0,"","Vendor contact: "&amp;IF(LEN(INDEX('Vendor COIs'!$M$4:$M$503,(_calc!$E$990-500)))=0,"",INDEX('Vendor COIs'!$M$4:$M$503,(_calc!$E$990-500)))&amp;". ")&amp;IF(LEN(IF(LEN(INDEX('Vendor COIs'!$P$4:$P$503,(_calc!$E$990-500)))=0,"",INDEX('Vendor COIs'!$P$4:$P$503,(_calc!$E$990-500))))=0,"",IF(LEN(INDEX('Vendor COIs'!$P$4:$P$503,(_calc!$E$990-500)))=0,"",INDEX('Vendor COIs'!$P$4:$P$503,(_calc!$E$990-500)))))))</f>
        <v/>
      </c>
      <c r="G988" s="46">
        <f>IF(_calc!$E$990="","",IF(_calc!$E$990&lt;=500,IF(LEN(INDEX('Our policies'!$R$4:$R$503,_calc!$E$990))=0,"",INDEX('Our policies'!$R$4:$R$503,_calc!$E$990)),IF(LEN(INDEX('Vendor COIs'!$O$4:$O$503,(_calc!$E$990-500)))=0,"",INDEX('Vendor COIs'!$O$4:$O$503,(_calc!$E$990-500)))))</f>
        <v/>
      </c>
      <c r="H988" s="46">
        <f>IF(_calc!$E$990="","",IF(_calc!$E$990&lt;=500,IF(LEN(INDEX('Our policies'!$G$4:$G$503,_calc!$E$990))=0,"",INDEX('Our policies'!$G$4:$G$503,_calc!$E$990)),""))</f>
        <v/>
      </c>
      <c r="I988" s="46">
        <f>IF(_calc!$E$990="","",IF(_calc!$E$990&lt;=500,IF(LEN(INDEX('Our policies'!$H$4:$H$503,_calc!$E$990))=0,"",INDEX('Our policies'!$H$4:$H$503,_calc!$E$990)),""))</f>
        <v/>
      </c>
      <c r="K988" s="46">
        <f>IF(_calc!$E$990="","",IF(_calc!$E$990&lt;=500,IF(LEN(INDEX('Our policies'!$P$4:$P$503,_calc!$E$990))=0,"",INDEX('Our policies'!$P$4:$P$503,_calc!$E$990)),IF(LEN(INDEX('Vendor COIs'!$N$4:$N$503,(_calc!$E$990-500)))=0,"",INDEX('Vendor COIs'!$N$4:$N$503,(_calc!$E$990-500)))))</f>
        <v/>
      </c>
    </row>
    <row r="989">
      <c r="A989" s="46">
        <f>IF(_calc!$E$991="","",IF(_calc!$E$991&lt;=500,IF(LEN(INDEX('Our policies'!$A$4:$A$503,_calc!$E$991))=0,"",INDEX('Our policies'!$A$4:$A$503,_calc!$E$991)),"COI – "&amp;IF(LEN(INDEX('Vendor COIs'!$A$4:$A$503,(_calc!$E$991-500)))=0,"",INDEX('Vendor COIs'!$A$4:$A$503,(_calc!$E$991-500)))&amp;" – "&amp;IF(LEN(INDEX('Vendor COIs'!$B$4:$B$503,(_calc!$E$991-500)))=0,"",INDEX('Vendor COIs'!$B$4:$B$503,(_calc!$E$991-500)))))</f>
        <v/>
      </c>
      <c r="B989" s="46">
        <f>IF(_calc!$E$991="","",IF(_calc!$E$991&lt;=500,IF(ISNUMBER(INDEX('Our policies'!$J$4:$J$503,_calc!$E$991)),TEXT(INDEX('Our policies'!$J$4:$J$503,_calc!$E$991),"yyyy-mm-dd"),""),IF(ISNUMBER(INDEX('Vendor COIs'!$H$4:$H$503,(_calc!$E$991-500))),TEXT(INDEX('Vendor COIs'!$H$4:$H$503,(_calc!$E$991-500)),"yyyy-mm-dd"),"")))</f>
        <v/>
      </c>
      <c r="C989" s="46">
        <f>IF(_calc!$E$991="","",IF(_calc!$E$991&lt;=500,"Insurance","Certificate of insurance"))</f>
        <v/>
      </c>
      <c r="D989" s="46">
        <f>IF(_calc!$E$991="","",IF(_calc!$E$991&lt;=500,IF(ISNUMBER(INDEX('Our policies'!$I$4:$I$503,_calc!$E$991)),TEXT(INDEX('Our policies'!$I$4:$I$503,_calc!$E$991),"yyyy-mm-dd"),""),""))</f>
        <v/>
      </c>
      <c r="E989" s="46">
        <f>IF(_calc!$E$991="","",IF(_calc!$E$991&lt;=500,IF(LEN(INDEX('Our policies'!$Q$4:$Q$503,_calc!$E$991))=0,"",INDEX('Our policies'!$Q$4:$Q$503,_calc!$E$991)),"Medium"))</f>
        <v/>
      </c>
      <c r="F989" s="46">
        <f>IF(_calc!$E$991="","",IF(_calc!$E$991&lt;=500,TRIM(IF(LEN(IF(LEN(INDEX('Our policies'!$B$4:$B$503,_calc!$E$991))=0,"",INDEX('Our policies'!$B$4:$B$503,_calc!$E$991)))=0,"","Cover: "&amp;IF(LEN(INDEX('Our policies'!$B$4:$B$503,_calc!$E$991))=0,"",INDEX('Our policies'!$B$4:$B$503,_calc!$E$991))&amp;". ")&amp;IF(LEN(IF(LEN(INDEX('Our policies'!$C$4:$C$503,_calc!$E$991))=0,"",INDEX('Our policies'!$C$4:$C$503,_calc!$E$991)))=0,"","Insurer: "&amp;IF(LEN(INDEX('Our policies'!$C$4:$C$503,_calc!$E$991))=0,"",INDEX('Our policies'!$C$4:$C$503,_calc!$E$991))&amp;". ")&amp;IF(LEN(IF(LEN(INDEX('Our policies'!$D$4:$D$503,_calc!$E$991))=0,"",INDEX('Our policies'!$D$4:$D$503,_calc!$E$991)))=0,"","Broker: "&amp;IF(LEN(INDEX('Our policies'!$D$4:$D$503,_calc!$E$991))=0,"",INDEX('Our policies'!$D$4:$D$503,_calc!$E$991))&amp;". ")&amp;IF(LEN(IF(LEN(INDEX('Our policies'!$E$4:$E$503,_calc!$E$991))=0,"",INDEX('Our policies'!$E$4:$E$503,_calc!$E$991)))=0,"","Policy no.: "&amp;IF(LEN(INDEX('Our policies'!$E$4:$E$503,_calc!$E$991))=0,"",INDEX('Our policies'!$E$4:$E$503,_calc!$E$991))&amp;". ")&amp;IF(LEN(IF(LEN(INDEX('Our policies'!$S$4:$S$503,_calc!$E$991))=0,"",INDEX('Our policies'!$S$4:$S$503,_calc!$E$991)))=0,"",IF(LEN(INDEX('Our policies'!$S$4:$S$503,_calc!$E$991))=0,"",INDEX('Our policies'!$S$4:$S$503,_calc!$E$991)))),TRIM(IF(LEN(IF(LEN(INDEX('Vendor COIs'!$C$4:$C$503,(_calc!$E$991-500)))=0,"",INDEX('Vendor COIs'!$C$4:$C$503,(_calc!$E$991-500))))=0,"","Insurer: "&amp;IF(LEN(INDEX('Vendor COIs'!$C$4:$C$503,(_calc!$E$991-500)))=0,"",INDEX('Vendor COIs'!$C$4:$C$503,(_calc!$E$991-500)))&amp;". ")&amp;IF(LEN(IF(LEN(INDEX('Vendor COIs'!$D$4:$D$503,(_calc!$E$991-500)))=0,"",INDEX('Vendor COIs'!$D$4:$D$503,(_calc!$E$991-500))))=0,"","Policy no.: "&amp;IF(LEN(INDEX('Vendor COIs'!$D$4:$D$503,(_calc!$E$991-500)))=0,"",INDEX('Vendor COIs'!$D$4:$D$503,(_calc!$E$991-500)))&amp;". ")&amp;IF(LEN(IF(LEN(INDEX('Vendor COIs'!$F$4:$F$503,(_calc!$E$991-500)))=0,"",INDEX('Vendor COIs'!$F$4:$F$503,(_calc!$E$991-500))))=0,"","Meets minimum: "&amp;IF(LEN(INDEX('Vendor COIs'!$F$4:$F$503,(_calc!$E$991-500)))=0,"",INDEX('Vendor COIs'!$F$4:$F$503,(_calc!$E$991-500)))&amp;". ")&amp;IF(LEN(IF(LEN(INDEX('Vendor COIs'!$G$4:$G$503,(_calc!$E$991-500)))=0,"",INDEX('Vendor COIs'!$G$4:$G$503,(_calc!$E$991-500))))=0,"","Additional insured: "&amp;IF(LEN(INDEX('Vendor COIs'!$G$4:$G$503,(_calc!$E$991-500)))=0,"",INDEX('Vendor COIs'!$G$4:$G$503,(_calc!$E$991-500)))&amp;". ")&amp;IF(LEN(IF(LEN(INDEX('Vendor COIs'!$M$4:$M$503,(_calc!$E$991-500)))=0,"",INDEX('Vendor COIs'!$M$4:$M$503,(_calc!$E$991-500))))=0,"","Vendor contact: "&amp;IF(LEN(INDEX('Vendor COIs'!$M$4:$M$503,(_calc!$E$991-500)))=0,"",INDEX('Vendor COIs'!$M$4:$M$503,(_calc!$E$991-500)))&amp;". ")&amp;IF(LEN(IF(LEN(INDEX('Vendor COIs'!$P$4:$P$503,(_calc!$E$991-500)))=0,"",INDEX('Vendor COIs'!$P$4:$P$503,(_calc!$E$991-500))))=0,"",IF(LEN(INDEX('Vendor COIs'!$P$4:$P$503,(_calc!$E$991-500)))=0,"",INDEX('Vendor COIs'!$P$4:$P$503,(_calc!$E$991-500)))))))</f>
        <v/>
      </c>
      <c r="G989" s="46">
        <f>IF(_calc!$E$991="","",IF(_calc!$E$991&lt;=500,IF(LEN(INDEX('Our policies'!$R$4:$R$503,_calc!$E$991))=0,"",INDEX('Our policies'!$R$4:$R$503,_calc!$E$991)),IF(LEN(INDEX('Vendor COIs'!$O$4:$O$503,(_calc!$E$991-500)))=0,"",INDEX('Vendor COIs'!$O$4:$O$503,(_calc!$E$991-500)))))</f>
        <v/>
      </c>
      <c r="H989" s="46">
        <f>IF(_calc!$E$991="","",IF(_calc!$E$991&lt;=500,IF(LEN(INDEX('Our policies'!$G$4:$G$503,_calc!$E$991))=0,"",INDEX('Our policies'!$G$4:$G$503,_calc!$E$991)),""))</f>
        <v/>
      </c>
      <c r="I989" s="46">
        <f>IF(_calc!$E$991="","",IF(_calc!$E$991&lt;=500,IF(LEN(INDEX('Our policies'!$H$4:$H$503,_calc!$E$991))=0,"",INDEX('Our policies'!$H$4:$H$503,_calc!$E$991)),""))</f>
        <v/>
      </c>
      <c r="K989" s="46">
        <f>IF(_calc!$E$991="","",IF(_calc!$E$991&lt;=500,IF(LEN(INDEX('Our policies'!$P$4:$P$503,_calc!$E$991))=0,"",INDEX('Our policies'!$P$4:$P$503,_calc!$E$991)),IF(LEN(INDEX('Vendor COIs'!$N$4:$N$503,(_calc!$E$991-500)))=0,"",INDEX('Vendor COIs'!$N$4:$N$503,(_calc!$E$991-500)))))</f>
        <v/>
      </c>
    </row>
    <row r="990">
      <c r="A990" s="46">
        <f>IF(_calc!$E$992="","",IF(_calc!$E$992&lt;=500,IF(LEN(INDEX('Our policies'!$A$4:$A$503,_calc!$E$992))=0,"",INDEX('Our policies'!$A$4:$A$503,_calc!$E$992)),"COI – "&amp;IF(LEN(INDEX('Vendor COIs'!$A$4:$A$503,(_calc!$E$992-500)))=0,"",INDEX('Vendor COIs'!$A$4:$A$503,(_calc!$E$992-500)))&amp;" – "&amp;IF(LEN(INDEX('Vendor COIs'!$B$4:$B$503,(_calc!$E$992-500)))=0,"",INDEX('Vendor COIs'!$B$4:$B$503,(_calc!$E$992-500)))))</f>
        <v/>
      </c>
      <c r="B990" s="46">
        <f>IF(_calc!$E$992="","",IF(_calc!$E$992&lt;=500,IF(ISNUMBER(INDEX('Our policies'!$J$4:$J$503,_calc!$E$992)),TEXT(INDEX('Our policies'!$J$4:$J$503,_calc!$E$992),"yyyy-mm-dd"),""),IF(ISNUMBER(INDEX('Vendor COIs'!$H$4:$H$503,(_calc!$E$992-500))),TEXT(INDEX('Vendor COIs'!$H$4:$H$503,(_calc!$E$992-500)),"yyyy-mm-dd"),"")))</f>
        <v/>
      </c>
      <c r="C990" s="46">
        <f>IF(_calc!$E$992="","",IF(_calc!$E$992&lt;=500,"Insurance","Certificate of insurance"))</f>
        <v/>
      </c>
      <c r="D990" s="46">
        <f>IF(_calc!$E$992="","",IF(_calc!$E$992&lt;=500,IF(ISNUMBER(INDEX('Our policies'!$I$4:$I$503,_calc!$E$992)),TEXT(INDEX('Our policies'!$I$4:$I$503,_calc!$E$992),"yyyy-mm-dd"),""),""))</f>
        <v/>
      </c>
      <c r="E990" s="46">
        <f>IF(_calc!$E$992="","",IF(_calc!$E$992&lt;=500,IF(LEN(INDEX('Our policies'!$Q$4:$Q$503,_calc!$E$992))=0,"",INDEX('Our policies'!$Q$4:$Q$503,_calc!$E$992)),"Medium"))</f>
        <v/>
      </c>
      <c r="F990" s="46">
        <f>IF(_calc!$E$992="","",IF(_calc!$E$992&lt;=500,TRIM(IF(LEN(IF(LEN(INDEX('Our policies'!$B$4:$B$503,_calc!$E$992))=0,"",INDEX('Our policies'!$B$4:$B$503,_calc!$E$992)))=0,"","Cover: "&amp;IF(LEN(INDEX('Our policies'!$B$4:$B$503,_calc!$E$992))=0,"",INDEX('Our policies'!$B$4:$B$503,_calc!$E$992))&amp;". ")&amp;IF(LEN(IF(LEN(INDEX('Our policies'!$C$4:$C$503,_calc!$E$992))=0,"",INDEX('Our policies'!$C$4:$C$503,_calc!$E$992)))=0,"","Insurer: "&amp;IF(LEN(INDEX('Our policies'!$C$4:$C$503,_calc!$E$992))=0,"",INDEX('Our policies'!$C$4:$C$503,_calc!$E$992))&amp;". ")&amp;IF(LEN(IF(LEN(INDEX('Our policies'!$D$4:$D$503,_calc!$E$992))=0,"",INDEX('Our policies'!$D$4:$D$503,_calc!$E$992)))=0,"","Broker: "&amp;IF(LEN(INDEX('Our policies'!$D$4:$D$503,_calc!$E$992))=0,"",INDEX('Our policies'!$D$4:$D$503,_calc!$E$992))&amp;". ")&amp;IF(LEN(IF(LEN(INDEX('Our policies'!$E$4:$E$503,_calc!$E$992))=0,"",INDEX('Our policies'!$E$4:$E$503,_calc!$E$992)))=0,"","Policy no.: "&amp;IF(LEN(INDEX('Our policies'!$E$4:$E$503,_calc!$E$992))=0,"",INDEX('Our policies'!$E$4:$E$503,_calc!$E$992))&amp;". ")&amp;IF(LEN(IF(LEN(INDEX('Our policies'!$S$4:$S$503,_calc!$E$992))=0,"",INDEX('Our policies'!$S$4:$S$503,_calc!$E$992)))=0,"",IF(LEN(INDEX('Our policies'!$S$4:$S$503,_calc!$E$992))=0,"",INDEX('Our policies'!$S$4:$S$503,_calc!$E$992)))),TRIM(IF(LEN(IF(LEN(INDEX('Vendor COIs'!$C$4:$C$503,(_calc!$E$992-500)))=0,"",INDEX('Vendor COIs'!$C$4:$C$503,(_calc!$E$992-500))))=0,"","Insurer: "&amp;IF(LEN(INDEX('Vendor COIs'!$C$4:$C$503,(_calc!$E$992-500)))=0,"",INDEX('Vendor COIs'!$C$4:$C$503,(_calc!$E$992-500)))&amp;". ")&amp;IF(LEN(IF(LEN(INDEX('Vendor COIs'!$D$4:$D$503,(_calc!$E$992-500)))=0,"",INDEX('Vendor COIs'!$D$4:$D$503,(_calc!$E$992-500))))=0,"","Policy no.: "&amp;IF(LEN(INDEX('Vendor COIs'!$D$4:$D$503,(_calc!$E$992-500)))=0,"",INDEX('Vendor COIs'!$D$4:$D$503,(_calc!$E$992-500)))&amp;". ")&amp;IF(LEN(IF(LEN(INDEX('Vendor COIs'!$F$4:$F$503,(_calc!$E$992-500)))=0,"",INDEX('Vendor COIs'!$F$4:$F$503,(_calc!$E$992-500))))=0,"","Meets minimum: "&amp;IF(LEN(INDEX('Vendor COIs'!$F$4:$F$503,(_calc!$E$992-500)))=0,"",INDEX('Vendor COIs'!$F$4:$F$503,(_calc!$E$992-500)))&amp;". ")&amp;IF(LEN(IF(LEN(INDEX('Vendor COIs'!$G$4:$G$503,(_calc!$E$992-500)))=0,"",INDEX('Vendor COIs'!$G$4:$G$503,(_calc!$E$992-500))))=0,"","Additional insured: "&amp;IF(LEN(INDEX('Vendor COIs'!$G$4:$G$503,(_calc!$E$992-500)))=0,"",INDEX('Vendor COIs'!$G$4:$G$503,(_calc!$E$992-500)))&amp;". ")&amp;IF(LEN(IF(LEN(INDEX('Vendor COIs'!$M$4:$M$503,(_calc!$E$992-500)))=0,"",INDEX('Vendor COIs'!$M$4:$M$503,(_calc!$E$992-500))))=0,"","Vendor contact: "&amp;IF(LEN(INDEX('Vendor COIs'!$M$4:$M$503,(_calc!$E$992-500)))=0,"",INDEX('Vendor COIs'!$M$4:$M$503,(_calc!$E$992-500)))&amp;". ")&amp;IF(LEN(IF(LEN(INDEX('Vendor COIs'!$P$4:$P$503,(_calc!$E$992-500)))=0,"",INDEX('Vendor COIs'!$P$4:$P$503,(_calc!$E$992-500))))=0,"",IF(LEN(INDEX('Vendor COIs'!$P$4:$P$503,(_calc!$E$992-500)))=0,"",INDEX('Vendor COIs'!$P$4:$P$503,(_calc!$E$992-500)))))))</f>
        <v/>
      </c>
      <c r="G990" s="46">
        <f>IF(_calc!$E$992="","",IF(_calc!$E$992&lt;=500,IF(LEN(INDEX('Our policies'!$R$4:$R$503,_calc!$E$992))=0,"",INDEX('Our policies'!$R$4:$R$503,_calc!$E$992)),IF(LEN(INDEX('Vendor COIs'!$O$4:$O$503,(_calc!$E$992-500)))=0,"",INDEX('Vendor COIs'!$O$4:$O$503,(_calc!$E$992-500)))))</f>
        <v/>
      </c>
      <c r="H990" s="46">
        <f>IF(_calc!$E$992="","",IF(_calc!$E$992&lt;=500,IF(LEN(INDEX('Our policies'!$G$4:$G$503,_calc!$E$992))=0,"",INDEX('Our policies'!$G$4:$G$503,_calc!$E$992)),""))</f>
        <v/>
      </c>
      <c r="I990" s="46">
        <f>IF(_calc!$E$992="","",IF(_calc!$E$992&lt;=500,IF(LEN(INDEX('Our policies'!$H$4:$H$503,_calc!$E$992))=0,"",INDEX('Our policies'!$H$4:$H$503,_calc!$E$992)),""))</f>
        <v/>
      </c>
      <c r="K990" s="46">
        <f>IF(_calc!$E$992="","",IF(_calc!$E$992&lt;=500,IF(LEN(INDEX('Our policies'!$P$4:$P$503,_calc!$E$992))=0,"",INDEX('Our policies'!$P$4:$P$503,_calc!$E$992)),IF(LEN(INDEX('Vendor COIs'!$N$4:$N$503,(_calc!$E$992-500)))=0,"",INDEX('Vendor COIs'!$N$4:$N$503,(_calc!$E$992-500)))))</f>
        <v/>
      </c>
    </row>
    <row r="991">
      <c r="A991" s="46">
        <f>IF(_calc!$E$993="","",IF(_calc!$E$993&lt;=500,IF(LEN(INDEX('Our policies'!$A$4:$A$503,_calc!$E$993))=0,"",INDEX('Our policies'!$A$4:$A$503,_calc!$E$993)),"COI – "&amp;IF(LEN(INDEX('Vendor COIs'!$A$4:$A$503,(_calc!$E$993-500)))=0,"",INDEX('Vendor COIs'!$A$4:$A$503,(_calc!$E$993-500)))&amp;" – "&amp;IF(LEN(INDEX('Vendor COIs'!$B$4:$B$503,(_calc!$E$993-500)))=0,"",INDEX('Vendor COIs'!$B$4:$B$503,(_calc!$E$993-500)))))</f>
        <v/>
      </c>
      <c r="B991" s="46">
        <f>IF(_calc!$E$993="","",IF(_calc!$E$993&lt;=500,IF(ISNUMBER(INDEX('Our policies'!$J$4:$J$503,_calc!$E$993)),TEXT(INDEX('Our policies'!$J$4:$J$503,_calc!$E$993),"yyyy-mm-dd"),""),IF(ISNUMBER(INDEX('Vendor COIs'!$H$4:$H$503,(_calc!$E$993-500))),TEXT(INDEX('Vendor COIs'!$H$4:$H$503,(_calc!$E$993-500)),"yyyy-mm-dd"),"")))</f>
        <v/>
      </c>
      <c r="C991" s="46">
        <f>IF(_calc!$E$993="","",IF(_calc!$E$993&lt;=500,"Insurance","Certificate of insurance"))</f>
        <v/>
      </c>
      <c r="D991" s="46">
        <f>IF(_calc!$E$993="","",IF(_calc!$E$993&lt;=500,IF(ISNUMBER(INDEX('Our policies'!$I$4:$I$503,_calc!$E$993)),TEXT(INDEX('Our policies'!$I$4:$I$503,_calc!$E$993),"yyyy-mm-dd"),""),""))</f>
        <v/>
      </c>
      <c r="E991" s="46">
        <f>IF(_calc!$E$993="","",IF(_calc!$E$993&lt;=500,IF(LEN(INDEX('Our policies'!$Q$4:$Q$503,_calc!$E$993))=0,"",INDEX('Our policies'!$Q$4:$Q$503,_calc!$E$993)),"Medium"))</f>
        <v/>
      </c>
      <c r="F991" s="46">
        <f>IF(_calc!$E$993="","",IF(_calc!$E$993&lt;=500,TRIM(IF(LEN(IF(LEN(INDEX('Our policies'!$B$4:$B$503,_calc!$E$993))=0,"",INDEX('Our policies'!$B$4:$B$503,_calc!$E$993)))=0,"","Cover: "&amp;IF(LEN(INDEX('Our policies'!$B$4:$B$503,_calc!$E$993))=0,"",INDEX('Our policies'!$B$4:$B$503,_calc!$E$993))&amp;". ")&amp;IF(LEN(IF(LEN(INDEX('Our policies'!$C$4:$C$503,_calc!$E$993))=0,"",INDEX('Our policies'!$C$4:$C$503,_calc!$E$993)))=0,"","Insurer: "&amp;IF(LEN(INDEX('Our policies'!$C$4:$C$503,_calc!$E$993))=0,"",INDEX('Our policies'!$C$4:$C$503,_calc!$E$993))&amp;". ")&amp;IF(LEN(IF(LEN(INDEX('Our policies'!$D$4:$D$503,_calc!$E$993))=0,"",INDEX('Our policies'!$D$4:$D$503,_calc!$E$993)))=0,"","Broker: "&amp;IF(LEN(INDEX('Our policies'!$D$4:$D$503,_calc!$E$993))=0,"",INDEX('Our policies'!$D$4:$D$503,_calc!$E$993))&amp;". ")&amp;IF(LEN(IF(LEN(INDEX('Our policies'!$E$4:$E$503,_calc!$E$993))=0,"",INDEX('Our policies'!$E$4:$E$503,_calc!$E$993)))=0,"","Policy no.: "&amp;IF(LEN(INDEX('Our policies'!$E$4:$E$503,_calc!$E$993))=0,"",INDEX('Our policies'!$E$4:$E$503,_calc!$E$993))&amp;". ")&amp;IF(LEN(IF(LEN(INDEX('Our policies'!$S$4:$S$503,_calc!$E$993))=0,"",INDEX('Our policies'!$S$4:$S$503,_calc!$E$993)))=0,"",IF(LEN(INDEX('Our policies'!$S$4:$S$503,_calc!$E$993))=0,"",INDEX('Our policies'!$S$4:$S$503,_calc!$E$993)))),TRIM(IF(LEN(IF(LEN(INDEX('Vendor COIs'!$C$4:$C$503,(_calc!$E$993-500)))=0,"",INDEX('Vendor COIs'!$C$4:$C$503,(_calc!$E$993-500))))=0,"","Insurer: "&amp;IF(LEN(INDEX('Vendor COIs'!$C$4:$C$503,(_calc!$E$993-500)))=0,"",INDEX('Vendor COIs'!$C$4:$C$503,(_calc!$E$993-500)))&amp;". ")&amp;IF(LEN(IF(LEN(INDEX('Vendor COIs'!$D$4:$D$503,(_calc!$E$993-500)))=0,"",INDEX('Vendor COIs'!$D$4:$D$503,(_calc!$E$993-500))))=0,"","Policy no.: "&amp;IF(LEN(INDEX('Vendor COIs'!$D$4:$D$503,(_calc!$E$993-500)))=0,"",INDEX('Vendor COIs'!$D$4:$D$503,(_calc!$E$993-500)))&amp;". ")&amp;IF(LEN(IF(LEN(INDEX('Vendor COIs'!$F$4:$F$503,(_calc!$E$993-500)))=0,"",INDEX('Vendor COIs'!$F$4:$F$503,(_calc!$E$993-500))))=0,"","Meets minimum: "&amp;IF(LEN(INDEX('Vendor COIs'!$F$4:$F$503,(_calc!$E$993-500)))=0,"",INDEX('Vendor COIs'!$F$4:$F$503,(_calc!$E$993-500)))&amp;". ")&amp;IF(LEN(IF(LEN(INDEX('Vendor COIs'!$G$4:$G$503,(_calc!$E$993-500)))=0,"",INDEX('Vendor COIs'!$G$4:$G$503,(_calc!$E$993-500))))=0,"","Additional insured: "&amp;IF(LEN(INDEX('Vendor COIs'!$G$4:$G$503,(_calc!$E$993-500)))=0,"",INDEX('Vendor COIs'!$G$4:$G$503,(_calc!$E$993-500)))&amp;". ")&amp;IF(LEN(IF(LEN(INDEX('Vendor COIs'!$M$4:$M$503,(_calc!$E$993-500)))=0,"",INDEX('Vendor COIs'!$M$4:$M$503,(_calc!$E$993-500))))=0,"","Vendor contact: "&amp;IF(LEN(INDEX('Vendor COIs'!$M$4:$M$503,(_calc!$E$993-500)))=0,"",INDEX('Vendor COIs'!$M$4:$M$503,(_calc!$E$993-500)))&amp;". ")&amp;IF(LEN(IF(LEN(INDEX('Vendor COIs'!$P$4:$P$503,(_calc!$E$993-500)))=0,"",INDEX('Vendor COIs'!$P$4:$P$503,(_calc!$E$993-500))))=0,"",IF(LEN(INDEX('Vendor COIs'!$P$4:$P$503,(_calc!$E$993-500)))=0,"",INDEX('Vendor COIs'!$P$4:$P$503,(_calc!$E$993-500)))))))</f>
        <v/>
      </c>
      <c r="G991" s="46">
        <f>IF(_calc!$E$993="","",IF(_calc!$E$993&lt;=500,IF(LEN(INDEX('Our policies'!$R$4:$R$503,_calc!$E$993))=0,"",INDEX('Our policies'!$R$4:$R$503,_calc!$E$993)),IF(LEN(INDEX('Vendor COIs'!$O$4:$O$503,(_calc!$E$993-500)))=0,"",INDEX('Vendor COIs'!$O$4:$O$503,(_calc!$E$993-500)))))</f>
        <v/>
      </c>
      <c r="H991" s="46">
        <f>IF(_calc!$E$993="","",IF(_calc!$E$993&lt;=500,IF(LEN(INDEX('Our policies'!$G$4:$G$503,_calc!$E$993))=0,"",INDEX('Our policies'!$G$4:$G$503,_calc!$E$993)),""))</f>
        <v/>
      </c>
      <c r="I991" s="46">
        <f>IF(_calc!$E$993="","",IF(_calc!$E$993&lt;=500,IF(LEN(INDEX('Our policies'!$H$4:$H$503,_calc!$E$993))=0,"",INDEX('Our policies'!$H$4:$H$503,_calc!$E$993)),""))</f>
        <v/>
      </c>
      <c r="K991" s="46">
        <f>IF(_calc!$E$993="","",IF(_calc!$E$993&lt;=500,IF(LEN(INDEX('Our policies'!$P$4:$P$503,_calc!$E$993))=0,"",INDEX('Our policies'!$P$4:$P$503,_calc!$E$993)),IF(LEN(INDEX('Vendor COIs'!$N$4:$N$503,(_calc!$E$993-500)))=0,"",INDEX('Vendor COIs'!$N$4:$N$503,(_calc!$E$993-500)))))</f>
        <v/>
      </c>
    </row>
    <row r="992">
      <c r="A992" s="46">
        <f>IF(_calc!$E$994="","",IF(_calc!$E$994&lt;=500,IF(LEN(INDEX('Our policies'!$A$4:$A$503,_calc!$E$994))=0,"",INDEX('Our policies'!$A$4:$A$503,_calc!$E$994)),"COI – "&amp;IF(LEN(INDEX('Vendor COIs'!$A$4:$A$503,(_calc!$E$994-500)))=0,"",INDEX('Vendor COIs'!$A$4:$A$503,(_calc!$E$994-500)))&amp;" – "&amp;IF(LEN(INDEX('Vendor COIs'!$B$4:$B$503,(_calc!$E$994-500)))=0,"",INDEX('Vendor COIs'!$B$4:$B$503,(_calc!$E$994-500)))))</f>
        <v/>
      </c>
      <c r="B992" s="46">
        <f>IF(_calc!$E$994="","",IF(_calc!$E$994&lt;=500,IF(ISNUMBER(INDEX('Our policies'!$J$4:$J$503,_calc!$E$994)),TEXT(INDEX('Our policies'!$J$4:$J$503,_calc!$E$994),"yyyy-mm-dd"),""),IF(ISNUMBER(INDEX('Vendor COIs'!$H$4:$H$503,(_calc!$E$994-500))),TEXT(INDEX('Vendor COIs'!$H$4:$H$503,(_calc!$E$994-500)),"yyyy-mm-dd"),"")))</f>
        <v/>
      </c>
      <c r="C992" s="46">
        <f>IF(_calc!$E$994="","",IF(_calc!$E$994&lt;=500,"Insurance","Certificate of insurance"))</f>
        <v/>
      </c>
      <c r="D992" s="46">
        <f>IF(_calc!$E$994="","",IF(_calc!$E$994&lt;=500,IF(ISNUMBER(INDEX('Our policies'!$I$4:$I$503,_calc!$E$994)),TEXT(INDEX('Our policies'!$I$4:$I$503,_calc!$E$994),"yyyy-mm-dd"),""),""))</f>
        <v/>
      </c>
      <c r="E992" s="46">
        <f>IF(_calc!$E$994="","",IF(_calc!$E$994&lt;=500,IF(LEN(INDEX('Our policies'!$Q$4:$Q$503,_calc!$E$994))=0,"",INDEX('Our policies'!$Q$4:$Q$503,_calc!$E$994)),"Medium"))</f>
        <v/>
      </c>
      <c r="F992" s="46">
        <f>IF(_calc!$E$994="","",IF(_calc!$E$994&lt;=500,TRIM(IF(LEN(IF(LEN(INDEX('Our policies'!$B$4:$B$503,_calc!$E$994))=0,"",INDEX('Our policies'!$B$4:$B$503,_calc!$E$994)))=0,"","Cover: "&amp;IF(LEN(INDEX('Our policies'!$B$4:$B$503,_calc!$E$994))=0,"",INDEX('Our policies'!$B$4:$B$503,_calc!$E$994))&amp;". ")&amp;IF(LEN(IF(LEN(INDEX('Our policies'!$C$4:$C$503,_calc!$E$994))=0,"",INDEX('Our policies'!$C$4:$C$503,_calc!$E$994)))=0,"","Insurer: "&amp;IF(LEN(INDEX('Our policies'!$C$4:$C$503,_calc!$E$994))=0,"",INDEX('Our policies'!$C$4:$C$503,_calc!$E$994))&amp;". ")&amp;IF(LEN(IF(LEN(INDEX('Our policies'!$D$4:$D$503,_calc!$E$994))=0,"",INDEX('Our policies'!$D$4:$D$503,_calc!$E$994)))=0,"","Broker: "&amp;IF(LEN(INDEX('Our policies'!$D$4:$D$503,_calc!$E$994))=0,"",INDEX('Our policies'!$D$4:$D$503,_calc!$E$994))&amp;". ")&amp;IF(LEN(IF(LEN(INDEX('Our policies'!$E$4:$E$503,_calc!$E$994))=0,"",INDEX('Our policies'!$E$4:$E$503,_calc!$E$994)))=0,"","Policy no.: "&amp;IF(LEN(INDEX('Our policies'!$E$4:$E$503,_calc!$E$994))=0,"",INDEX('Our policies'!$E$4:$E$503,_calc!$E$994))&amp;". ")&amp;IF(LEN(IF(LEN(INDEX('Our policies'!$S$4:$S$503,_calc!$E$994))=0,"",INDEX('Our policies'!$S$4:$S$503,_calc!$E$994)))=0,"",IF(LEN(INDEX('Our policies'!$S$4:$S$503,_calc!$E$994))=0,"",INDEX('Our policies'!$S$4:$S$503,_calc!$E$994)))),TRIM(IF(LEN(IF(LEN(INDEX('Vendor COIs'!$C$4:$C$503,(_calc!$E$994-500)))=0,"",INDEX('Vendor COIs'!$C$4:$C$503,(_calc!$E$994-500))))=0,"","Insurer: "&amp;IF(LEN(INDEX('Vendor COIs'!$C$4:$C$503,(_calc!$E$994-500)))=0,"",INDEX('Vendor COIs'!$C$4:$C$503,(_calc!$E$994-500)))&amp;". ")&amp;IF(LEN(IF(LEN(INDEX('Vendor COIs'!$D$4:$D$503,(_calc!$E$994-500)))=0,"",INDEX('Vendor COIs'!$D$4:$D$503,(_calc!$E$994-500))))=0,"","Policy no.: "&amp;IF(LEN(INDEX('Vendor COIs'!$D$4:$D$503,(_calc!$E$994-500)))=0,"",INDEX('Vendor COIs'!$D$4:$D$503,(_calc!$E$994-500)))&amp;". ")&amp;IF(LEN(IF(LEN(INDEX('Vendor COIs'!$F$4:$F$503,(_calc!$E$994-500)))=0,"",INDEX('Vendor COIs'!$F$4:$F$503,(_calc!$E$994-500))))=0,"","Meets minimum: "&amp;IF(LEN(INDEX('Vendor COIs'!$F$4:$F$503,(_calc!$E$994-500)))=0,"",INDEX('Vendor COIs'!$F$4:$F$503,(_calc!$E$994-500)))&amp;". ")&amp;IF(LEN(IF(LEN(INDEX('Vendor COIs'!$G$4:$G$503,(_calc!$E$994-500)))=0,"",INDEX('Vendor COIs'!$G$4:$G$503,(_calc!$E$994-500))))=0,"","Additional insured: "&amp;IF(LEN(INDEX('Vendor COIs'!$G$4:$G$503,(_calc!$E$994-500)))=0,"",INDEX('Vendor COIs'!$G$4:$G$503,(_calc!$E$994-500)))&amp;". ")&amp;IF(LEN(IF(LEN(INDEX('Vendor COIs'!$M$4:$M$503,(_calc!$E$994-500)))=0,"",INDEX('Vendor COIs'!$M$4:$M$503,(_calc!$E$994-500))))=0,"","Vendor contact: "&amp;IF(LEN(INDEX('Vendor COIs'!$M$4:$M$503,(_calc!$E$994-500)))=0,"",INDEX('Vendor COIs'!$M$4:$M$503,(_calc!$E$994-500)))&amp;". ")&amp;IF(LEN(IF(LEN(INDEX('Vendor COIs'!$P$4:$P$503,(_calc!$E$994-500)))=0,"",INDEX('Vendor COIs'!$P$4:$P$503,(_calc!$E$994-500))))=0,"",IF(LEN(INDEX('Vendor COIs'!$P$4:$P$503,(_calc!$E$994-500)))=0,"",INDEX('Vendor COIs'!$P$4:$P$503,(_calc!$E$994-500)))))))</f>
        <v/>
      </c>
      <c r="G992" s="46">
        <f>IF(_calc!$E$994="","",IF(_calc!$E$994&lt;=500,IF(LEN(INDEX('Our policies'!$R$4:$R$503,_calc!$E$994))=0,"",INDEX('Our policies'!$R$4:$R$503,_calc!$E$994)),IF(LEN(INDEX('Vendor COIs'!$O$4:$O$503,(_calc!$E$994-500)))=0,"",INDEX('Vendor COIs'!$O$4:$O$503,(_calc!$E$994-500)))))</f>
        <v/>
      </c>
      <c r="H992" s="46">
        <f>IF(_calc!$E$994="","",IF(_calc!$E$994&lt;=500,IF(LEN(INDEX('Our policies'!$G$4:$G$503,_calc!$E$994))=0,"",INDEX('Our policies'!$G$4:$G$503,_calc!$E$994)),""))</f>
        <v/>
      </c>
      <c r="I992" s="46">
        <f>IF(_calc!$E$994="","",IF(_calc!$E$994&lt;=500,IF(LEN(INDEX('Our policies'!$H$4:$H$503,_calc!$E$994))=0,"",INDEX('Our policies'!$H$4:$H$503,_calc!$E$994)),""))</f>
        <v/>
      </c>
      <c r="K992" s="46">
        <f>IF(_calc!$E$994="","",IF(_calc!$E$994&lt;=500,IF(LEN(INDEX('Our policies'!$P$4:$P$503,_calc!$E$994))=0,"",INDEX('Our policies'!$P$4:$P$503,_calc!$E$994)),IF(LEN(INDEX('Vendor COIs'!$N$4:$N$503,(_calc!$E$994-500)))=0,"",INDEX('Vendor COIs'!$N$4:$N$503,(_calc!$E$994-500)))))</f>
        <v/>
      </c>
    </row>
    <row r="993">
      <c r="A993" s="46">
        <f>IF(_calc!$E$995="","",IF(_calc!$E$995&lt;=500,IF(LEN(INDEX('Our policies'!$A$4:$A$503,_calc!$E$995))=0,"",INDEX('Our policies'!$A$4:$A$503,_calc!$E$995)),"COI – "&amp;IF(LEN(INDEX('Vendor COIs'!$A$4:$A$503,(_calc!$E$995-500)))=0,"",INDEX('Vendor COIs'!$A$4:$A$503,(_calc!$E$995-500)))&amp;" – "&amp;IF(LEN(INDEX('Vendor COIs'!$B$4:$B$503,(_calc!$E$995-500)))=0,"",INDEX('Vendor COIs'!$B$4:$B$503,(_calc!$E$995-500)))))</f>
        <v/>
      </c>
      <c r="B993" s="46">
        <f>IF(_calc!$E$995="","",IF(_calc!$E$995&lt;=500,IF(ISNUMBER(INDEX('Our policies'!$J$4:$J$503,_calc!$E$995)),TEXT(INDEX('Our policies'!$J$4:$J$503,_calc!$E$995),"yyyy-mm-dd"),""),IF(ISNUMBER(INDEX('Vendor COIs'!$H$4:$H$503,(_calc!$E$995-500))),TEXT(INDEX('Vendor COIs'!$H$4:$H$503,(_calc!$E$995-500)),"yyyy-mm-dd"),"")))</f>
        <v/>
      </c>
      <c r="C993" s="46">
        <f>IF(_calc!$E$995="","",IF(_calc!$E$995&lt;=500,"Insurance","Certificate of insurance"))</f>
        <v/>
      </c>
      <c r="D993" s="46">
        <f>IF(_calc!$E$995="","",IF(_calc!$E$995&lt;=500,IF(ISNUMBER(INDEX('Our policies'!$I$4:$I$503,_calc!$E$995)),TEXT(INDEX('Our policies'!$I$4:$I$503,_calc!$E$995),"yyyy-mm-dd"),""),""))</f>
        <v/>
      </c>
      <c r="E993" s="46">
        <f>IF(_calc!$E$995="","",IF(_calc!$E$995&lt;=500,IF(LEN(INDEX('Our policies'!$Q$4:$Q$503,_calc!$E$995))=0,"",INDEX('Our policies'!$Q$4:$Q$503,_calc!$E$995)),"Medium"))</f>
        <v/>
      </c>
      <c r="F993" s="46">
        <f>IF(_calc!$E$995="","",IF(_calc!$E$995&lt;=500,TRIM(IF(LEN(IF(LEN(INDEX('Our policies'!$B$4:$B$503,_calc!$E$995))=0,"",INDEX('Our policies'!$B$4:$B$503,_calc!$E$995)))=0,"","Cover: "&amp;IF(LEN(INDEX('Our policies'!$B$4:$B$503,_calc!$E$995))=0,"",INDEX('Our policies'!$B$4:$B$503,_calc!$E$995))&amp;". ")&amp;IF(LEN(IF(LEN(INDEX('Our policies'!$C$4:$C$503,_calc!$E$995))=0,"",INDEX('Our policies'!$C$4:$C$503,_calc!$E$995)))=0,"","Insurer: "&amp;IF(LEN(INDEX('Our policies'!$C$4:$C$503,_calc!$E$995))=0,"",INDEX('Our policies'!$C$4:$C$503,_calc!$E$995))&amp;". ")&amp;IF(LEN(IF(LEN(INDEX('Our policies'!$D$4:$D$503,_calc!$E$995))=0,"",INDEX('Our policies'!$D$4:$D$503,_calc!$E$995)))=0,"","Broker: "&amp;IF(LEN(INDEX('Our policies'!$D$4:$D$503,_calc!$E$995))=0,"",INDEX('Our policies'!$D$4:$D$503,_calc!$E$995))&amp;". ")&amp;IF(LEN(IF(LEN(INDEX('Our policies'!$E$4:$E$503,_calc!$E$995))=0,"",INDEX('Our policies'!$E$4:$E$503,_calc!$E$995)))=0,"","Policy no.: "&amp;IF(LEN(INDEX('Our policies'!$E$4:$E$503,_calc!$E$995))=0,"",INDEX('Our policies'!$E$4:$E$503,_calc!$E$995))&amp;". ")&amp;IF(LEN(IF(LEN(INDEX('Our policies'!$S$4:$S$503,_calc!$E$995))=0,"",INDEX('Our policies'!$S$4:$S$503,_calc!$E$995)))=0,"",IF(LEN(INDEX('Our policies'!$S$4:$S$503,_calc!$E$995))=0,"",INDEX('Our policies'!$S$4:$S$503,_calc!$E$995)))),TRIM(IF(LEN(IF(LEN(INDEX('Vendor COIs'!$C$4:$C$503,(_calc!$E$995-500)))=0,"",INDEX('Vendor COIs'!$C$4:$C$503,(_calc!$E$995-500))))=0,"","Insurer: "&amp;IF(LEN(INDEX('Vendor COIs'!$C$4:$C$503,(_calc!$E$995-500)))=0,"",INDEX('Vendor COIs'!$C$4:$C$503,(_calc!$E$995-500)))&amp;". ")&amp;IF(LEN(IF(LEN(INDEX('Vendor COIs'!$D$4:$D$503,(_calc!$E$995-500)))=0,"",INDEX('Vendor COIs'!$D$4:$D$503,(_calc!$E$995-500))))=0,"","Policy no.: "&amp;IF(LEN(INDEX('Vendor COIs'!$D$4:$D$503,(_calc!$E$995-500)))=0,"",INDEX('Vendor COIs'!$D$4:$D$503,(_calc!$E$995-500)))&amp;". ")&amp;IF(LEN(IF(LEN(INDEX('Vendor COIs'!$F$4:$F$503,(_calc!$E$995-500)))=0,"",INDEX('Vendor COIs'!$F$4:$F$503,(_calc!$E$995-500))))=0,"","Meets minimum: "&amp;IF(LEN(INDEX('Vendor COIs'!$F$4:$F$503,(_calc!$E$995-500)))=0,"",INDEX('Vendor COIs'!$F$4:$F$503,(_calc!$E$995-500)))&amp;". ")&amp;IF(LEN(IF(LEN(INDEX('Vendor COIs'!$G$4:$G$503,(_calc!$E$995-500)))=0,"",INDEX('Vendor COIs'!$G$4:$G$503,(_calc!$E$995-500))))=0,"","Additional insured: "&amp;IF(LEN(INDEX('Vendor COIs'!$G$4:$G$503,(_calc!$E$995-500)))=0,"",INDEX('Vendor COIs'!$G$4:$G$503,(_calc!$E$995-500)))&amp;". ")&amp;IF(LEN(IF(LEN(INDEX('Vendor COIs'!$M$4:$M$503,(_calc!$E$995-500)))=0,"",INDEX('Vendor COIs'!$M$4:$M$503,(_calc!$E$995-500))))=0,"","Vendor contact: "&amp;IF(LEN(INDEX('Vendor COIs'!$M$4:$M$503,(_calc!$E$995-500)))=0,"",INDEX('Vendor COIs'!$M$4:$M$503,(_calc!$E$995-500)))&amp;". ")&amp;IF(LEN(IF(LEN(INDEX('Vendor COIs'!$P$4:$P$503,(_calc!$E$995-500)))=0,"",INDEX('Vendor COIs'!$P$4:$P$503,(_calc!$E$995-500))))=0,"",IF(LEN(INDEX('Vendor COIs'!$P$4:$P$503,(_calc!$E$995-500)))=0,"",INDEX('Vendor COIs'!$P$4:$P$503,(_calc!$E$995-500)))))))</f>
        <v/>
      </c>
      <c r="G993" s="46">
        <f>IF(_calc!$E$995="","",IF(_calc!$E$995&lt;=500,IF(LEN(INDEX('Our policies'!$R$4:$R$503,_calc!$E$995))=0,"",INDEX('Our policies'!$R$4:$R$503,_calc!$E$995)),IF(LEN(INDEX('Vendor COIs'!$O$4:$O$503,(_calc!$E$995-500)))=0,"",INDEX('Vendor COIs'!$O$4:$O$503,(_calc!$E$995-500)))))</f>
        <v/>
      </c>
      <c r="H993" s="46">
        <f>IF(_calc!$E$995="","",IF(_calc!$E$995&lt;=500,IF(LEN(INDEX('Our policies'!$G$4:$G$503,_calc!$E$995))=0,"",INDEX('Our policies'!$G$4:$G$503,_calc!$E$995)),""))</f>
        <v/>
      </c>
      <c r="I993" s="46">
        <f>IF(_calc!$E$995="","",IF(_calc!$E$995&lt;=500,IF(LEN(INDEX('Our policies'!$H$4:$H$503,_calc!$E$995))=0,"",INDEX('Our policies'!$H$4:$H$503,_calc!$E$995)),""))</f>
        <v/>
      </c>
      <c r="K993" s="46">
        <f>IF(_calc!$E$995="","",IF(_calc!$E$995&lt;=500,IF(LEN(INDEX('Our policies'!$P$4:$P$503,_calc!$E$995))=0,"",INDEX('Our policies'!$P$4:$P$503,_calc!$E$995)),IF(LEN(INDEX('Vendor COIs'!$N$4:$N$503,(_calc!$E$995-500)))=0,"",INDEX('Vendor COIs'!$N$4:$N$503,(_calc!$E$995-500)))))</f>
        <v/>
      </c>
    </row>
    <row r="994">
      <c r="A994" s="46">
        <f>IF(_calc!$E$996="","",IF(_calc!$E$996&lt;=500,IF(LEN(INDEX('Our policies'!$A$4:$A$503,_calc!$E$996))=0,"",INDEX('Our policies'!$A$4:$A$503,_calc!$E$996)),"COI – "&amp;IF(LEN(INDEX('Vendor COIs'!$A$4:$A$503,(_calc!$E$996-500)))=0,"",INDEX('Vendor COIs'!$A$4:$A$503,(_calc!$E$996-500)))&amp;" – "&amp;IF(LEN(INDEX('Vendor COIs'!$B$4:$B$503,(_calc!$E$996-500)))=0,"",INDEX('Vendor COIs'!$B$4:$B$503,(_calc!$E$996-500)))))</f>
        <v/>
      </c>
      <c r="B994" s="46">
        <f>IF(_calc!$E$996="","",IF(_calc!$E$996&lt;=500,IF(ISNUMBER(INDEX('Our policies'!$J$4:$J$503,_calc!$E$996)),TEXT(INDEX('Our policies'!$J$4:$J$503,_calc!$E$996),"yyyy-mm-dd"),""),IF(ISNUMBER(INDEX('Vendor COIs'!$H$4:$H$503,(_calc!$E$996-500))),TEXT(INDEX('Vendor COIs'!$H$4:$H$503,(_calc!$E$996-500)),"yyyy-mm-dd"),"")))</f>
        <v/>
      </c>
      <c r="C994" s="46">
        <f>IF(_calc!$E$996="","",IF(_calc!$E$996&lt;=500,"Insurance","Certificate of insurance"))</f>
        <v/>
      </c>
      <c r="D994" s="46">
        <f>IF(_calc!$E$996="","",IF(_calc!$E$996&lt;=500,IF(ISNUMBER(INDEX('Our policies'!$I$4:$I$503,_calc!$E$996)),TEXT(INDEX('Our policies'!$I$4:$I$503,_calc!$E$996),"yyyy-mm-dd"),""),""))</f>
        <v/>
      </c>
      <c r="E994" s="46">
        <f>IF(_calc!$E$996="","",IF(_calc!$E$996&lt;=500,IF(LEN(INDEX('Our policies'!$Q$4:$Q$503,_calc!$E$996))=0,"",INDEX('Our policies'!$Q$4:$Q$503,_calc!$E$996)),"Medium"))</f>
        <v/>
      </c>
      <c r="F994" s="46">
        <f>IF(_calc!$E$996="","",IF(_calc!$E$996&lt;=500,TRIM(IF(LEN(IF(LEN(INDEX('Our policies'!$B$4:$B$503,_calc!$E$996))=0,"",INDEX('Our policies'!$B$4:$B$503,_calc!$E$996)))=0,"","Cover: "&amp;IF(LEN(INDEX('Our policies'!$B$4:$B$503,_calc!$E$996))=0,"",INDEX('Our policies'!$B$4:$B$503,_calc!$E$996))&amp;". ")&amp;IF(LEN(IF(LEN(INDEX('Our policies'!$C$4:$C$503,_calc!$E$996))=0,"",INDEX('Our policies'!$C$4:$C$503,_calc!$E$996)))=0,"","Insurer: "&amp;IF(LEN(INDEX('Our policies'!$C$4:$C$503,_calc!$E$996))=0,"",INDEX('Our policies'!$C$4:$C$503,_calc!$E$996))&amp;". ")&amp;IF(LEN(IF(LEN(INDEX('Our policies'!$D$4:$D$503,_calc!$E$996))=0,"",INDEX('Our policies'!$D$4:$D$503,_calc!$E$996)))=0,"","Broker: "&amp;IF(LEN(INDEX('Our policies'!$D$4:$D$503,_calc!$E$996))=0,"",INDEX('Our policies'!$D$4:$D$503,_calc!$E$996))&amp;". ")&amp;IF(LEN(IF(LEN(INDEX('Our policies'!$E$4:$E$503,_calc!$E$996))=0,"",INDEX('Our policies'!$E$4:$E$503,_calc!$E$996)))=0,"","Policy no.: "&amp;IF(LEN(INDEX('Our policies'!$E$4:$E$503,_calc!$E$996))=0,"",INDEX('Our policies'!$E$4:$E$503,_calc!$E$996))&amp;". ")&amp;IF(LEN(IF(LEN(INDEX('Our policies'!$S$4:$S$503,_calc!$E$996))=0,"",INDEX('Our policies'!$S$4:$S$503,_calc!$E$996)))=0,"",IF(LEN(INDEX('Our policies'!$S$4:$S$503,_calc!$E$996))=0,"",INDEX('Our policies'!$S$4:$S$503,_calc!$E$996)))),TRIM(IF(LEN(IF(LEN(INDEX('Vendor COIs'!$C$4:$C$503,(_calc!$E$996-500)))=0,"",INDEX('Vendor COIs'!$C$4:$C$503,(_calc!$E$996-500))))=0,"","Insurer: "&amp;IF(LEN(INDEX('Vendor COIs'!$C$4:$C$503,(_calc!$E$996-500)))=0,"",INDEX('Vendor COIs'!$C$4:$C$503,(_calc!$E$996-500)))&amp;". ")&amp;IF(LEN(IF(LEN(INDEX('Vendor COIs'!$D$4:$D$503,(_calc!$E$996-500)))=0,"",INDEX('Vendor COIs'!$D$4:$D$503,(_calc!$E$996-500))))=0,"","Policy no.: "&amp;IF(LEN(INDEX('Vendor COIs'!$D$4:$D$503,(_calc!$E$996-500)))=0,"",INDEX('Vendor COIs'!$D$4:$D$503,(_calc!$E$996-500)))&amp;". ")&amp;IF(LEN(IF(LEN(INDEX('Vendor COIs'!$F$4:$F$503,(_calc!$E$996-500)))=0,"",INDEX('Vendor COIs'!$F$4:$F$503,(_calc!$E$996-500))))=0,"","Meets minimum: "&amp;IF(LEN(INDEX('Vendor COIs'!$F$4:$F$503,(_calc!$E$996-500)))=0,"",INDEX('Vendor COIs'!$F$4:$F$503,(_calc!$E$996-500)))&amp;". ")&amp;IF(LEN(IF(LEN(INDEX('Vendor COIs'!$G$4:$G$503,(_calc!$E$996-500)))=0,"",INDEX('Vendor COIs'!$G$4:$G$503,(_calc!$E$996-500))))=0,"","Additional insured: "&amp;IF(LEN(INDEX('Vendor COIs'!$G$4:$G$503,(_calc!$E$996-500)))=0,"",INDEX('Vendor COIs'!$G$4:$G$503,(_calc!$E$996-500)))&amp;". ")&amp;IF(LEN(IF(LEN(INDEX('Vendor COIs'!$M$4:$M$503,(_calc!$E$996-500)))=0,"",INDEX('Vendor COIs'!$M$4:$M$503,(_calc!$E$996-500))))=0,"","Vendor contact: "&amp;IF(LEN(INDEX('Vendor COIs'!$M$4:$M$503,(_calc!$E$996-500)))=0,"",INDEX('Vendor COIs'!$M$4:$M$503,(_calc!$E$996-500)))&amp;". ")&amp;IF(LEN(IF(LEN(INDEX('Vendor COIs'!$P$4:$P$503,(_calc!$E$996-500)))=0,"",INDEX('Vendor COIs'!$P$4:$P$503,(_calc!$E$996-500))))=0,"",IF(LEN(INDEX('Vendor COIs'!$P$4:$P$503,(_calc!$E$996-500)))=0,"",INDEX('Vendor COIs'!$P$4:$P$503,(_calc!$E$996-500)))))))</f>
        <v/>
      </c>
      <c r="G994" s="46">
        <f>IF(_calc!$E$996="","",IF(_calc!$E$996&lt;=500,IF(LEN(INDEX('Our policies'!$R$4:$R$503,_calc!$E$996))=0,"",INDEX('Our policies'!$R$4:$R$503,_calc!$E$996)),IF(LEN(INDEX('Vendor COIs'!$O$4:$O$503,(_calc!$E$996-500)))=0,"",INDEX('Vendor COIs'!$O$4:$O$503,(_calc!$E$996-500)))))</f>
        <v/>
      </c>
      <c r="H994" s="46">
        <f>IF(_calc!$E$996="","",IF(_calc!$E$996&lt;=500,IF(LEN(INDEX('Our policies'!$G$4:$G$503,_calc!$E$996))=0,"",INDEX('Our policies'!$G$4:$G$503,_calc!$E$996)),""))</f>
        <v/>
      </c>
      <c r="I994" s="46">
        <f>IF(_calc!$E$996="","",IF(_calc!$E$996&lt;=500,IF(LEN(INDEX('Our policies'!$H$4:$H$503,_calc!$E$996))=0,"",INDEX('Our policies'!$H$4:$H$503,_calc!$E$996)),""))</f>
        <v/>
      </c>
      <c r="K994" s="46">
        <f>IF(_calc!$E$996="","",IF(_calc!$E$996&lt;=500,IF(LEN(INDEX('Our policies'!$P$4:$P$503,_calc!$E$996))=0,"",INDEX('Our policies'!$P$4:$P$503,_calc!$E$996)),IF(LEN(INDEX('Vendor COIs'!$N$4:$N$503,(_calc!$E$996-500)))=0,"",INDEX('Vendor COIs'!$N$4:$N$503,(_calc!$E$996-500)))))</f>
        <v/>
      </c>
    </row>
    <row r="995">
      <c r="A995" s="46">
        <f>IF(_calc!$E$997="","",IF(_calc!$E$997&lt;=500,IF(LEN(INDEX('Our policies'!$A$4:$A$503,_calc!$E$997))=0,"",INDEX('Our policies'!$A$4:$A$503,_calc!$E$997)),"COI – "&amp;IF(LEN(INDEX('Vendor COIs'!$A$4:$A$503,(_calc!$E$997-500)))=0,"",INDEX('Vendor COIs'!$A$4:$A$503,(_calc!$E$997-500)))&amp;" – "&amp;IF(LEN(INDEX('Vendor COIs'!$B$4:$B$503,(_calc!$E$997-500)))=0,"",INDEX('Vendor COIs'!$B$4:$B$503,(_calc!$E$997-500)))))</f>
        <v/>
      </c>
      <c r="B995" s="46">
        <f>IF(_calc!$E$997="","",IF(_calc!$E$997&lt;=500,IF(ISNUMBER(INDEX('Our policies'!$J$4:$J$503,_calc!$E$997)),TEXT(INDEX('Our policies'!$J$4:$J$503,_calc!$E$997),"yyyy-mm-dd"),""),IF(ISNUMBER(INDEX('Vendor COIs'!$H$4:$H$503,(_calc!$E$997-500))),TEXT(INDEX('Vendor COIs'!$H$4:$H$503,(_calc!$E$997-500)),"yyyy-mm-dd"),"")))</f>
        <v/>
      </c>
      <c r="C995" s="46">
        <f>IF(_calc!$E$997="","",IF(_calc!$E$997&lt;=500,"Insurance","Certificate of insurance"))</f>
        <v/>
      </c>
      <c r="D995" s="46">
        <f>IF(_calc!$E$997="","",IF(_calc!$E$997&lt;=500,IF(ISNUMBER(INDEX('Our policies'!$I$4:$I$503,_calc!$E$997)),TEXT(INDEX('Our policies'!$I$4:$I$503,_calc!$E$997),"yyyy-mm-dd"),""),""))</f>
        <v/>
      </c>
      <c r="E995" s="46">
        <f>IF(_calc!$E$997="","",IF(_calc!$E$997&lt;=500,IF(LEN(INDEX('Our policies'!$Q$4:$Q$503,_calc!$E$997))=0,"",INDEX('Our policies'!$Q$4:$Q$503,_calc!$E$997)),"Medium"))</f>
        <v/>
      </c>
      <c r="F995" s="46">
        <f>IF(_calc!$E$997="","",IF(_calc!$E$997&lt;=500,TRIM(IF(LEN(IF(LEN(INDEX('Our policies'!$B$4:$B$503,_calc!$E$997))=0,"",INDEX('Our policies'!$B$4:$B$503,_calc!$E$997)))=0,"","Cover: "&amp;IF(LEN(INDEX('Our policies'!$B$4:$B$503,_calc!$E$997))=0,"",INDEX('Our policies'!$B$4:$B$503,_calc!$E$997))&amp;". ")&amp;IF(LEN(IF(LEN(INDEX('Our policies'!$C$4:$C$503,_calc!$E$997))=0,"",INDEX('Our policies'!$C$4:$C$503,_calc!$E$997)))=0,"","Insurer: "&amp;IF(LEN(INDEX('Our policies'!$C$4:$C$503,_calc!$E$997))=0,"",INDEX('Our policies'!$C$4:$C$503,_calc!$E$997))&amp;". ")&amp;IF(LEN(IF(LEN(INDEX('Our policies'!$D$4:$D$503,_calc!$E$997))=0,"",INDEX('Our policies'!$D$4:$D$503,_calc!$E$997)))=0,"","Broker: "&amp;IF(LEN(INDEX('Our policies'!$D$4:$D$503,_calc!$E$997))=0,"",INDEX('Our policies'!$D$4:$D$503,_calc!$E$997))&amp;". ")&amp;IF(LEN(IF(LEN(INDEX('Our policies'!$E$4:$E$503,_calc!$E$997))=0,"",INDEX('Our policies'!$E$4:$E$503,_calc!$E$997)))=0,"","Policy no.: "&amp;IF(LEN(INDEX('Our policies'!$E$4:$E$503,_calc!$E$997))=0,"",INDEX('Our policies'!$E$4:$E$503,_calc!$E$997))&amp;". ")&amp;IF(LEN(IF(LEN(INDEX('Our policies'!$S$4:$S$503,_calc!$E$997))=0,"",INDEX('Our policies'!$S$4:$S$503,_calc!$E$997)))=0,"",IF(LEN(INDEX('Our policies'!$S$4:$S$503,_calc!$E$997))=0,"",INDEX('Our policies'!$S$4:$S$503,_calc!$E$997)))),TRIM(IF(LEN(IF(LEN(INDEX('Vendor COIs'!$C$4:$C$503,(_calc!$E$997-500)))=0,"",INDEX('Vendor COIs'!$C$4:$C$503,(_calc!$E$997-500))))=0,"","Insurer: "&amp;IF(LEN(INDEX('Vendor COIs'!$C$4:$C$503,(_calc!$E$997-500)))=0,"",INDEX('Vendor COIs'!$C$4:$C$503,(_calc!$E$997-500)))&amp;". ")&amp;IF(LEN(IF(LEN(INDEX('Vendor COIs'!$D$4:$D$503,(_calc!$E$997-500)))=0,"",INDEX('Vendor COIs'!$D$4:$D$503,(_calc!$E$997-500))))=0,"","Policy no.: "&amp;IF(LEN(INDEX('Vendor COIs'!$D$4:$D$503,(_calc!$E$997-500)))=0,"",INDEX('Vendor COIs'!$D$4:$D$503,(_calc!$E$997-500)))&amp;". ")&amp;IF(LEN(IF(LEN(INDEX('Vendor COIs'!$F$4:$F$503,(_calc!$E$997-500)))=0,"",INDEX('Vendor COIs'!$F$4:$F$503,(_calc!$E$997-500))))=0,"","Meets minimum: "&amp;IF(LEN(INDEX('Vendor COIs'!$F$4:$F$503,(_calc!$E$997-500)))=0,"",INDEX('Vendor COIs'!$F$4:$F$503,(_calc!$E$997-500)))&amp;". ")&amp;IF(LEN(IF(LEN(INDEX('Vendor COIs'!$G$4:$G$503,(_calc!$E$997-500)))=0,"",INDEX('Vendor COIs'!$G$4:$G$503,(_calc!$E$997-500))))=0,"","Additional insured: "&amp;IF(LEN(INDEX('Vendor COIs'!$G$4:$G$503,(_calc!$E$997-500)))=0,"",INDEX('Vendor COIs'!$G$4:$G$503,(_calc!$E$997-500)))&amp;". ")&amp;IF(LEN(IF(LEN(INDEX('Vendor COIs'!$M$4:$M$503,(_calc!$E$997-500)))=0,"",INDEX('Vendor COIs'!$M$4:$M$503,(_calc!$E$997-500))))=0,"","Vendor contact: "&amp;IF(LEN(INDEX('Vendor COIs'!$M$4:$M$503,(_calc!$E$997-500)))=0,"",INDEX('Vendor COIs'!$M$4:$M$503,(_calc!$E$997-500)))&amp;". ")&amp;IF(LEN(IF(LEN(INDEX('Vendor COIs'!$P$4:$P$503,(_calc!$E$997-500)))=0,"",INDEX('Vendor COIs'!$P$4:$P$503,(_calc!$E$997-500))))=0,"",IF(LEN(INDEX('Vendor COIs'!$P$4:$P$503,(_calc!$E$997-500)))=0,"",INDEX('Vendor COIs'!$P$4:$P$503,(_calc!$E$997-500)))))))</f>
        <v/>
      </c>
      <c r="G995" s="46">
        <f>IF(_calc!$E$997="","",IF(_calc!$E$997&lt;=500,IF(LEN(INDEX('Our policies'!$R$4:$R$503,_calc!$E$997))=0,"",INDEX('Our policies'!$R$4:$R$503,_calc!$E$997)),IF(LEN(INDEX('Vendor COIs'!$O$4:$O$503,(_calc!$E$997-500)))=0,"",INDEX('Vendor COIs'!$O$4:$O$503,(_calc!$E$997-500)))))</f>
        <v/>
      </c>
      <c r="H995" s="46">
        <f>IF(_calc!$E$997="","",IF(_calc!$E$997&lt;=500,IF(LEN(INDEX('Our policies'!$G$4:$G$503,_calc!$E$997))=0,"",INDEX('Our policies'!$G$4:$G$503,_calc!$E$997)),""))</f>
        <v/>
      </c>
      <c r="I995" s="46">
        <f>IF(_calc!$E$997="","",IF(_calc!$E$997&lt;=500,IF(LEN(INDEX('Our policies'!$H$4:$H$503,_calc!$E$997))=0,"",INDEX('Our policies'!$H$4:$H$503,_calc!$E$997)),""))</f>
        <v/>
      </c>
      <c r="K995" s="46">
        <f>IF(_calc!$E$997="","",IF(_calc!$E$997&lt;=500,IF(LEN(INDEX('Our policies'!$P$4:$P$503,_calc!$E$997))=0,"",INDEX('Our policies'!$P$4:$P$503,_calc!$E$997)),IF(LEN(INDEX('Vendor COIs'!$N$4:$N$503,(_calc!$E$997-500)))=0,"",INDEX('Vendor COIs'!$N$4:$N$503,(_calc!$E$997-500)))))</f>
        <v/>
      </c>
    </row>
    <row r="996">
      <c r="A996" s="46">
        <f>IF(_calc!$E$998="","",IF(_calc!$E$998&lt;=500,IF(LEN(INDEX('Our policies'!$A$4:$A$503,_calc!$E$998))=0,"",INDEX('Our policies'!$A$4:$A$503,_calc!$E$998)),"COI – "&amp;IF(LEN(INDEX('Vendor COIs'!$A$4:$A$503,(_calc!$E$998-500)))=0,"",INDEX('Vendor COIs'!$A$4:$A$503,(_calc!$E$998-500)))&amp;" – "&amp;IF(LEN(INDEX('Vendor COIs'!$B$4:$B$503,(_calc!$E$998-500)))=0,"",INDEX('Vendor COIs'!$B$4:$B$503,(_calc!$E$998-500)))))</f>
        <v/>
      </c>
      <c r="B996" s="46">
        <f>IF(_calc!$E$998="","",IF(_calc!$E$998&lt;=500,IF(ISNUMBER(INDEX('Our policies'!$J$4:$J$503,_calc!$E$998)),TEXT(INDEX('Our policies'!$J$4:$J$503,_calc!$E$998),"yyyy-mm-dd"),""),IF(ISNUMBER(INDEX('Vendor COIs'!$H$4:$H$503,(_calc!$E$998-500))),TEXT(INDEX('Vendor COIs'!$H$4:$H$503,(_calc!$E$998-500)),"yyyy-mm-dd"),"")))</f>
        <v/>
      </c>
      <c r="C996" s="46">
        <f>IF(_calc!$E$998="","",IF(_calc!$E$998&lt;=500,"Insurance","Certificate of insurance"))</f>
        <v/>
      </c>
      <c r="D996" s="46">
        <f>IF(_calc!$E$998="","",IF(_calc!$E$998&lt;=500,IF(ISNUMBER(INDEX('Our policies'!$I$4:$I$503,_calc!$E$998)),TEXT(INDEX('Our policies'!$I$4:$I$503,_calc!$E$998),"yyyy-mm-dd"),""),""))</f>
        <v/>
      </c>
      <c r="E996" s="46">
        <f>IF(_calc!$E$998="","",IF(_calc!$E$998&lt;=500,IF(LEN(INDEX('Our policies'!$Q$4:$Q$503,_calc!$E$998))=0,"",INDEX('Our policies'!$Q$4:$Q$503,_calc!$E$998)),"Medium"))</f>
        <v/>
      </c>
      <c r="F996" s="46">
        <f>IF(_calc!$E$998="","",IF(_calc!$E$998&lt;=500,TRIM(IF(LEN(IF(LEN(INDEX('Our policies'!$B$4:$B$503,_calc!$E$998))=0,"",INDEX('Our policies'!$B$4:$B$503,_calc!$E$998)))=0,"","Cover: "&amp;IF(LEN(INDEX('Our policies'!$B$4:$B$503,_calc!$E$998))=0,"",INDEX('Our policies'!$B$4:$B$503,_calc!$E$998))&amp;". ")&amp;IF(LEN(IF(LEN(INDEX('Our policies'!$C$4:$C$503,_calc!$E$998))=0,"",INDEX('Our policies'!$C$4:$C$503,_calc!$E$998)))=0,"","Insurer: "&amp;IF(LEN(INDEX('Our policies'!$C$4:$C$503,_calc!$E$998))=0,"",INDEX('Our policies'!$C$4:$C$503,_calc!$E$998))&amp;". ")&amp;IF(LEN(IF(LEN(INDEX('Our policies'!$D$4:$D$503,_calc!$E$998))=0,"",INDEX('Our policies'!$D$4:$D$503,_calc!$E$998)))=0,"","Broker: "&amp;IF(LEN(INDEX('Our policies'!$D$4:$D$503,_calc!$E$998))=0,"",INDEX('Our policies'!$D$4:$D$503,_calc!$E$998))&amp;". ")&amp;IF(LEN(IF(LEN(INDEX('Our policies'!$E$4:$E$503,_calc!$E$998))=0,"",INDEX('Our policies'!$E$4:$E$503,_calc!$E$998)))=0,"","Policy no.: "&amp;IF(LEN(INDEX('Our policies'!$E$4:$E$503,_calc!$E$998))=0,"",INDEX('Our policies'!$E$4:$E$503,_calc!$E$998))&amp;". ")&amp;IF(LEN(IF(LEN(INDEX('Our policies'!$S$4:$S$503,_calc!$E$998))=0,"",INDEX('Our policies'!$S$4:$S$503,_calc!$E$998)))=0,"",IF(LEN(INDEX('Our policies'!$S$4:$S$503,_calc!$E$998))=0,"",INDEX('Our policies'!$S$4:$S$503,_calc!$E$998)))),TRIM(IF(LEN(IF(LEN(INDEX('Vendor COIs'!$C$4:$C$503,(_calc!$E$998-500)))=0,"",INDEX('Vendor COIs'!$C$4:$C$503,(_calc!$E$998-500))))=0,"","Insurer: "&amp;IF(LEN(INDEX('Vendor COIs'!$C$4:$C$503,(_calc!$E$998-500)))=0,"",INDEX('Vendor COIs'!$C$4:$C$503,(_calc!$E$998-500)))&amp;". ")&amp;IF(LEN(IF(LEN(INDEX('Vendor COIs'!$D$4:$D$503,(_calc!$E$998-500)))=0,"",INDEX('Vendor COIs'!$D$4:$D$503,(_calc!$E$998-500))))=0,"","Policy no.: "&amp;IF(LEN(INDEX('Vendor COIs'!$D$4:$D$503,(_calc!$E$998-500)))=0,"",INDEX('Vendor COIs'!$D$4:$D$503,(_calc!$E$998-500)))&amp;". ")&amp;IF(LEN(IF(LEN(INDEX('Vendor COIs'!$F$4:$F$503,(_calc!$E$998-500)))=0,"",INDEX('Vendor COIs'!$F$4:$F$503,(_calc!$E$998-500))))=0,"","Meets minimum: "&amp;IF(LEN(INDEX('Vendor COIs'!$F$4:$F$503,(_calc!$E$998-500)))=0,"",INDEX('Vendor COIs'!$F$4:$F$503,(_calc!$E$998-500)))&amp;". ")&amp;IF(LEN(IF(LEN(INDEX('Vendor COIs'!$G$4:$G$503,(_calc!$E$998-500)))=0,"",INDEX('Vendor COIs'!$G$4:$G$503,(_calc!$E$998-500))))=0,"","Additional insured: "&amp;IF(LEN(INDEX('Vendor COIs'!$G$4:$G$503,(_calc!$E$998-500)))=0,"",INDEX('Vendor COIs'!$G$4:$G$503,(_calc!$E$998-500)))&amp;". ")&amp;IF(LEN(IF(LEN(INDEX('Vendor COIs'!$M$4:$M$503,(_calc!$E$998-500)))=0,"",INDEX('Vendor COIs'!$M$4:$M$503,(_calc!$E$998-500))))=0,"","Vendor contact: "&amp;IF(LEN(INDEX('Vendor COIs'!$M$4:$M$503,(_calc!$E$998-500)))=0,"",INDEX('Vendor COIs'!$M$4:$M$503,(_calc!$E$998-500)))&amp;". ")&amp;IF(LEN(IF(LEN(INDEX('Vendor COIs'!$P$4:$P$503,(_calc!$E$998-500)))=0,"",INDEX('Vendor COIs'!$P$4:$P$503,(_calc!$E$998-500))))=0,"",IF(LEN(INDEX('Vendor COIs'!$P$4:$P$503,(_calc!$E$998-500)))=0,"",INDEX('Vendor COIs'!$P$4:$P$503,(_calc!$E$998-500)))))))</f>
        <v/>
      </c>
      <c r="G996" s="46">
        <f>IF(_calc!$E$998="","",IF(_calc!$E$998&lt;=500,IF(LEN(INDEX('Our policies'!$R$4:$R$503,_calc!$E$998))=0,"",INDEX('Our policies'!$R$4:$R$503,_calc!$E$998)),IF(LEN(INDEX('Vendor COIs'!$O$4:$O$503,(_calc!$E$998-500)))=0,"",INDEX('Vendor COIs'!$O$4:$O$503,(_calc!$E$998-500)))))</f>
        <v/>
      </c>
      <c r="H996" s="46">
        <f>IF(_calc!$E$998="","",IF(_calc!$E$998&lt;=500,IF(LEN(INDEX('Our policies'!$G$4:$G$503,_calc!$E$998))=0,"",INDEX('Our policies'!$G$4:$G$503,_calc!$E$998)),""))</f>
        <v/>
      </c>
      <c r="I996" s="46">
        <f>IF(_calc!$E$998="","",IF(_calc!$E$998&lt;=500,IF(LEN(INDEX('Our policies'!$H$4:$H$503,_calc!$E$998))=0,"",INDEX('Our policies'!$H$4:$H$503,_calc!$E$998)),""))</f>
        <v/>
      </c>
      <c r="K996" s="46">
        <f>IF(_calc!$E$998="","",IF(_calc!$E$998&lt;=500,IF(LEN(INDEX('Our policies'!$P$4:$P$503,_calc!$E$998))=0,"",INDEX('Our policies'!$P$4:$P$503,_calc!$E$998)),IF(LEN(INDEX('Vendor COIs'!$N$4:$N$503,(_calc!$E$998-500)))=0,"",INDEX('Vendor COIs'!$N$4:$N$503,(_calc!$E$998-500)))))</f>
        <v/>
      </c>
    </row>
    <row r="997">
      <c r="A997" s="46">
        <f>IF(_calc!$E$999="","",IF(_calc!$E$999&lt;=500,IF(LEN(INDEX('Our policies'!$A$4:$A$503,_calc!$E$999))=0,"",INDEX('Our policies'!$A$4:$A$503,_calc!$E$999)),"COI – "&amp;IF(LEN(INDEX('Vendor COIs'!$A$4:$A$503,(_calc!$E$999-500)))=0,"",INDEX('Vendor COIs'!$A$4:$A$503,(_calc!$E$999-500)))&amp;" – "&amp;IF(LEN(INDEX('Vendor COIs'!$B$4:$B$503,(_calc!$E$999-500)))=0,"",INDEX('Vendor COIs'!$B$4:$B$503,(_calc!$E$999-500)))))</f>
        <v/>
      </c>
      <c r="B997" s="46">
        <f>IF(_calc!$E$999="","",IF(_calc!$E$999&lt;=500,IF(ISNUMBER(INDEX('Our policies'!$J$4:$J$503,_calc!$E$999)),TEXT(INDEX('Our policies'!$J$4:$J$503,_calc!$E$999),"yyyy-mm-dd"),""),IF(ISNUMBER(INDEX('Vendor COIs'!$H$4:$H$503,(_calc!$E$999-500))),TEXT(INDEX('Vendor COIs'!$H$4:$H$503,(_calc!$E$999-500)),"yyyy-mm-dd"),"")))</f>
        <v/>
      </c>
      <c r="C997" s="46">
        <f>IF(_calc!$E$999="","",IF(_calc!$E$999&lt;=500,"Insurance","Certificate of insurance"))</f>
        <v/>
      </c>
      <c r="D997" s="46">
        <f>IF(_calc!$E$999="","",IF(_calc!$E$999&lt;=500,IF(ISNUMBER(INDEX('Our policies'!$I$4:$I$503,_calc!$E$999)),TEXT(INDEX('Our policies'!$I$4:$I$503,_calc!$E$999),"yyyy-mm-dd"),""),""))</f>
        <v/>
      </c>
      <c r="E997" s="46">
        <f>IF(_calc!$E$999="","",IF(_calc!$E$999&lt;=500,IF(LEN(INDEX('Our policies'!$Q$4:$Q$503,_calc!$E$999))=0,"",INDEX('Our policies'!$Q$4:$Q$503,_calc!$E$999)),"Medium"))</f>
        <v/>
      </c>
      <c r="F997" s="46">
        <f>IF(_calc!$E$999="","",IF(_calc!$E$999&lt;=500,TRIM(IF(LEN(IF(LEN(INDEX('Our policies'!$B$4:$B$503,_calc!$E$999))=0,"",INDEX('Our policies'!$B$4:$B$503,_calc!$E$999)))=0,"","Cover: "&amp;IF(LEN(INDEX('Our policies'!$B$4:$B$503,_calc!$E$999))=0,"",INDEX('Our policies'!$B$4:$B$503,_calc!$E$999))&amp;". ")&amp;IF(LEN(IF(LEN(INDEX('Our policies'!$C$4:$C$503,_calc!$E$999))=0,"",INDEX('Our policies'!$C$4:$C$503,_calc!$E$999)))=0,"","Insurer: "&amp;IF(LEN(INDEX('Our policies'!$C$4:$C$503,_calc!$E$999))=0,"",INDEX('Our policies'!$C$4:$C$503,_calc!$E$999))&amp;". ")&amp;IF(LEN(IF(LEN(INDEX('Our policies'!$D$4:$D$503,_calc!$E$999))=0,"",INDEX('Our policies'!$D$4:$D$503,_calc!$E$999)))=0,"","Broker: "&amp;IF(LEN(INDEX('Our policies'!$D$4:$D$503,_calc!$E$999))=0,"",INDEX('Our policies'!$D$4:$D$503,_calc!$E$999))&amp;". ")&amp;IF(LEN(IF(LEN(INDEX('Our policies'!$E$4:$E$503,_calc!$E$999))=0,"",INDEX('Our policies'!$E$4:$E$503,_calc!$E$999)))=0,"","Policy no.: "&amp;IF(LEN(INDEX('Our policies'!$E$4:$E$503,_calc!$E$999))=0,"",INDEX('Our policies'!$E$4:$E$503,_calc!$E$999))&amp;". ")&amp;IF(LEN(IF(LEN(INDEX('Our policies'!$S$4:$S$503,_calc!$E$999))=0,"",INDEX('Our policies'!$S$4:$S$503,_calc!$E$999)))=0,"",IF(LEN(INDEX('Our policies'!$S$4:$S$503,_calc!$E$999))=0,"",INDEX('Our policies'!$S$4:$S$503,_calc!$E$999)))),TRIM(IF(LEN(IF(LEN(INDEX('Vendor COIs'!$C$4:$C$503,(_calc!$E$999-500)))=0,"",INDEX('Vendor COIs'!$C$4:$C$503,(_calc!$E$999-500))))=0,"","Insurer: "&amp;IF(LEN(INDEX('Vendor COIs'!$C$4:$C$503,(_calc!$E$999-500)))=0,"",INDEX('Vendor COIs'!$C$4:$C$503,(_calc!$E$999-500)))&amp;". ")&amp;IF(LEN(IF(LEN(INDEX('Vendor COIs'!$D$4:$D$503,(_calc!$E$999-500)))=0,"",INDEX('Vendor COIs'!$D$4:$D$503,(_calc!$E$999-500))))=0,"","Policy no.: "&amp;IF(LEN(INDEX('Vendor COIs'!$D$4:$D$503,(_calc!$E$999-500)))=0,"",INDEX('Vendor COIs'!$D$4:$D$503,(_calc!$E$999-500)))&amp;". ")&amp;IF(LEN(IF(LEN(INDEX('Vendor COIs'!$F$4:$F$503,(_calc!$E$999-500)))=0,"",INDEX('Vendor COIs'!$F$4:$F$503,(_calc!$E$999-500))))=0,"","Meets minimum: "&amp;IF(LEN(INDEX('Vendor COIs'!$F$4:$F$503,(_calc!$E$999-500)))=0,"",INDEX('Vendor COIs'!$F$4:$F$503,(_calc!$E$999-500)))&amp;". ")&amp;IF(LEN(IF(LEN(INDEX('Vendor COIs'!$G$4:$G$503,(_calc!$E$999-500)))=0,"",INDEX('Vendor COIs'!$G$4:$G$503,(_calc!$E$999-500))))=0,"","Additional insured: "&amp;IF(LEN(INDEX('Vendor COIs'!$G$4:$G$503,(_calc!$E$999-500)))=0,"",INDEX('Vendor COIs'!$G$4:$G$503,(_calc!$E$999-500)))&amp;". ")&amp;IF(LEN(IF(LEN(INDEX('Vendor COIs'!$M$4:$M$503,(_calc!$E$999-500)))=0,"",INDEX('Vendor COIs'!$M$4:$M$503,(_calc!$E$999-500))))=0,"","Vendor contact: "&amp;IF(LEN(INDEX('Vendor COIs'!$M$4:$M$503,(_calc!$E$999-500)))=0,"",INDEX('Vendor COIs'!$M$4:$M$503,(_calc!$E$999-500)))&amp;". ")&amp;IF(LEN(IF(LEN(INDEX('Vendor COIs'!$P$4:$P$503,(_calc!$E$999-500)))=0,"",INDEX('Vendor COIs'!$P$4:$P$503,(_calc!$E$999-500))))=0,"",IF(LEN(INDEX('Vendor COIs'!$P$4:$P$503,(_calc!$E$999-500)))=0,"",INDEX('Vendor COIs'!$P$4:$P$503,(_calc!$E$999-500)))))))</f>
        <v/>
      </c>
      <c r="G997" s="46">
        <f>IF(_calc!$E$999="","",IF(_calc!$E$999&lt;=500,IF(LEN(INDEX('Our policies'!$R$4:$R$503,_calc!$E$999))=0,"",INDEX('Our policies'!$R$4:$R$503,_calc!$E$999)),IF(LEN(INDEX('Vendor COIs'!$O$4:$O$503,(_calc!$E$999-500)))=0,"",INDEX('Vendor COIs'!$O$4:$O$503,(_calc!$E$999-500)))))</f>
        <v/>
      </c>
      <c r="H997" s="46">
        <f>IF(_calc!$E$999="","",IF(_calc!$E$999&lt;=500,IF(LEN(INDEX('Our policies'!$G$4:$G$503,_calc!$E$999))=0,"",INDEX('Our policies'!$G$4:$G$503,_calc!$E$999)),""))</f>
        <v/>
      </c>
      <c r="I997" s="46">
        <f>IF(_calc!$E$999="","",IF(_calc!$E$999&lt;=500,IF(LEN(INDEX('Our policies'!$H$4:$H$503,_calc!$E$999))=0,"",INDEX('Our policies'!$H$4:$H$503,_calc!$E$999)),""))</f>
        <v/>
      </c>
      <c r="K997" s="46">
        <f>IF(_calc!$E$999="","",IF(_calc!$E$999&lt;=500,IF(LEN(INDEX('Our policies'!$P$4:$P$503,_calc!$E$999))=0,"",INDEX('Our policies'!$P$4:$P$503,_calc!$E$999)),IF(LEN(INDEX('Vendor COIs'!$N$4:$N$503,(_calc!$E$999-500)))=0,"",INDEX('Vendor COIs'!$N$4:$N$503,(_calc!$E$999-500)))))</f>
        <v/>
      </c>
    </row>
    <row r="998">
      <c r="A998" s="46">
        <f>IF(_calc!$E$1000="","",IF(_calc!$E$1000&lt;=500,IF(LEN(INDEX('Our policies'!$A$4:$A$503,_calc!$E$1000))=0,"",INDEX('Our policies'!$A$4:$A$503,_calc!$E$1000)),"COI – "&amp;IF(LEN(INDEX('Vendor COIs'!$A$4:$A$503,(_calc!$E$1000-500)))=0,"",INDEX('Vendor COIs'!$A$4:$A$503,(_calc!$E$1000-500)))&amp;" – "&amp;IF(LEN(INDEX('Vendor COIs'!$B$4:$B$503,(_calc!$E$1000-500)))=0,"",INDEX('Vendor COIs'!$B$4:$B$503,(_calc!$E$1000-500)))))</f>
        <v/>
      </c>
      <c r="B998" s="46">
        <f>IF(_calc!$E$1000="","",IF(_calc!$E$1000&lt;=500,IF(ISNUMBER(INDEX('Our policies'!$J$4:$J$503,_calc!$E$1000)),TEXT(INDEX('Our policies'!$J$4:$J$503,_calc!$E$1000),"yyyy-mm-dd"),""),IF(ISNUMBER(INDEX('Vendor COIs'!$H$4:$H$503,(_calc!$E$1000-500))),TEXT(INDEX('Vendor COIs'!$H$4:$H$503,(_calc!$E$1000-500)),"yyyy-mm-dd"),"")))</f>
        <v/>
      </c>
      <c r="C998" s="46">
        <f>IF(_calc!$E$1000="","",IF(_calc!$E$1000&lt;=500,"Insurance","Certificate of insurance"))</f>
        <v/>
      </c>
      <c r="D998" s="46">
        <f>IF(_calc!$E$1000="","",IF(_calc!$E$1000&lt;=500,IF(ISNUMBER(INDEX('Our policies'!$I$4:$I$503,_calc!$E$1000)),TEXT(INDEX('Our policies'!$I$4:$I$503,_calc!$E$1000),"yyyy-mm-dd"),""),""))</f>
        <v/>
      </c>
      <c r="E998" s="46">
        <f>IF(_calc!$E$1000="","",IF(_calc!$E$1000&lt;=500,IF(LEN(INDEX('Our policies'!$Q$4:$Q$503,_calc!$E$1000))=0,"",INDEX('Our policies'!$Q$4:$Q$503,_calc!$E$1000)),"Medium"))</f>
        <v/>
      </c>
      <c r="F998" s="46">
        <f>IF(_calc!$E$1000="","",IF(_calc!$E$1000&lt;=500,TRIM(IF(LEN(IF(LEN(INDEX('Our policies'!$B$4:$B$503,_calc!$E$1000))=0,"",INDEX('Our policies'!$B$4:$B$503,_calc!$E$1000)))=0,"","Cover: "&amp;IF(LEN(INDEX('Our policies'!$B$4:$B$503,_calc!$E$1000))=0,"",INDEX('Our policies'!$B$4:$B$503,_calc!$E$1000))&amp;". ")&amp;IF(LEN(IF(LEN(INDEX('Our policies'!$C$4:$C$503,_calc!$E$1000))=0,"",INDEX('Our policies'!$C$4:$C$503,_calc!$E$1000)))=0,"","Insurer: "&amp;IF(LEN(INDEX('Our policies'!$C$4:$C$503,_calc!$E$1000))=0,"",INDEX('Our policies'!$C$4:$C$503,_calc!$E$1000))&amp;". ")&amp;IF(LEN(IF(LEN(INDEX('Our policies'!$D$4:$D$503,_calc!$E$1000))=0,"",INDEX('Our policies'!$D$4:$D$503,_calc!$E$1000)))=0,"","Broker: "&amp;IF(LEN(INDEX('Our policies'!$D$4:$D$503,_calc!$E$1000))=0,"",INDEX('Our policies'!$D$4:$D$503,_calc!$E$1000))&amp;". ")&amp;IF(LEN(IF(LEN(INDEX('Our policies'!$E$4:$E$503,_calc!$E$1000))=0,"",INDEX('Our policies'!$E$4:$E$503,_calc!$E$1000)))=0,"","Policy no.: "&amp;IF(LEN(INDEX('Our policies'!$E$4:$E$503,_calc!$E$1000))=0,"",INDEX('Our policies'!$E$4:$E$503,_calc!$E$1000))&amp;". ")&amp;IF(LEN(IF(LEN(INDEX('Our policies'!$S$4:$S$503,_calc!$E$1000))=0,"",INDEX('Our policies'!$S$4:$S$503,_calc!$E$1000)))=0,"",IF(LEN(INDEX('Our policies'!$S$4:$S$503,_calc!$E$1000))=0,"",INDEX('Our policies'!$S$4:$S$503,_calc!$E$1000)))),TRIM(IF(LEN(IF(LEN(INDEX('Vendor COIs'!$C$4:$C$503,(_calc!$E$1000-500)))=0,"",INDEX('Vendor COIs'!$C$4:$C$503,(_calc!$E$1000-500))))=0,"","Insurer: "&amp;IF(LEN(INDEX('Vendor COIs'!$C$4:$C$503,(_calc!$E$1000-500)))=0,"",INDEX('Vendor COIs'!$C$4:$C$503,(_calc!$E$1000-500)))&amp;". ")&amp;IF(LEN(IF(LEN(INDEX('Vendor COIs'!$D$4:$D$503,(_calc!$E$1000-500)))=0,"",INDEX('Vendor COIs'!$D$4:$D$503,(_calc!$E$1000-500))))=0,"","Policy no.: "&amp;IF(LEN(INDEX('Vendor COIs'!$D$4:$D$503,(_calc!$E$1000-500)))=0,"",INDEX('Vendor COIs'!$D$4:$D$503,(_calc!$E$1000-500)))&amp;". ")&amp;IF(LEN(IF(LEN(INDEX('Vendor COIs'!$F$4:$F$503,(_calc!$E$1000-500)))=0,"",INDEX('Vendor COIs'!$F$4:$F$503,(_calc!$E$1000-500))))=0,"","Meets minimum: "&amp;IF(LEN(INDEX('Vendor COIs'!$F$4:$F$503,(_calc!$E$1000-500)))=0,"",INDEX('Vendor COIs'!$F$4:$F$503,(_calc!$E$1000-500)))&amp;". ")&amp;IF(LEN(IF(LEN(INDEX('Vendor COIs'!$G$4:$G$503,(_calc!$E$1000-500)))=0,"",INDEX('Vendor COIs'!$G$4:$G$503,(_calc!$E$1000-500))))=0,"","Additional insured: "&amp;IF(LEN(INDEX('Vendor COIs'!$G$4:$G$503,(_calc!$E$1000-500)))=0,"",INDEX('Vendor COIs'!$G$4:$G$503,(_calc!$E$1000-500)))&amp;". ")&amp;IF(LEN(IF(LEN(INDEX('Vendor COIs'!$M$4:$M$503,(_calc!$E$1000-500)))=0,"",INDEX('Vendor COIs'!$M$4:$M$503,(_calc!$E$1000-500))))=0,"","Vendor contact: "&amp;IF(LEN(INDEX('Vendor COIs'!$M$4:$M$503,(_calc!$E$1000-500)))=0,"",INDEX('Vendor COIs'!$M$4:$M$503,(_calc!$E$1000-500)))&amp;". ")&amp;IF(LEN(IF(LEN(INDEX('Vendor COIs'!$P$4:$P$503,(_calc!$E$1000-500)))=0,"",INDEX('Vendor COIs'!$P$4:$P$503,(_calc!$E$1000-500))))=0,"",IF(LEN(INDEX('Vendor COIs'!$P$4:$P$503,(_calc!$E$1000-500)))=0,"",INDEX('Vendor COIs'!$P$4:$P$503,(_calc!$E$1000-500)))))))</f>
        <v/>
      </c>
      <c r="G998" s="46">
        <f>IF(_calc!$E$1000="","",IF(_calc!$E$1000&lt;=500,IF(LEN(INDEX('Our policies'!$R$4:$R$503,_calc!$E$1000))=0,"",INDEX('Our policies'!$R$4:$R$503,_calc!$E$1000)),IF(LEN(INDEX('Vendor COIs'!$O$4:$O$503,(_calc!$E$1000-500)))=0,"",INDEX('Vendor COIs'!$O$4:$O$503,(_calc!$E$1000-500)))))</f>
        <v/>
      </c>
      <c r="H998" s="46">
        <f>IF(_calc!$E$1000="","",IF(_calc!$E$1000&lt;=500,IF(LEN(INDEX('Our policies'!$G$4:$G$503,_calc!$E$1000))=0,"",INDEX('Our policies'!$G$4:$G$503,_calc!$E$1000)),""))</f>
        <v/>
      </c>
      <c r="I998" s="46">
        <f>IF(_calc!$E$1000="","",IF(_calc!$E$1000&lt;=500,IF(LEN(INDEX('Our policies'!$H$4:$H$503,_calc!$E$1000))=0,"",INDEX('Our policies'!$H$4:$H$503,_calc!$E$1000)),""))</f>
        <v/>
      </c>
      <c r="K998" s="46">
        <f>IF(_calc!$E$1000="","",IF(_calc!$E$1000&lt;=500,IF(LEN(INDEX('Our policies'!$P$4:$P$503,_calc!$E$1000))=0,"",INDEX('Our policies'!$P$4:$P$503,_calc!$E$1000)),IF(LEN(INDEX('Vendor COIs'!$N$4:$N$503,(_calc!$E$1000-500)))=0,"",INDEX('Vendor COIs'!$N$4:$N$503,(_calc!$E$1000-500)))))</f>
        <v/>
      </c>
    </row>
    <row r="999">
      <c r="A999" s="46">
        <f>IF(_calc!$E$1001="","",IF(_calc!$E$1001&lt;=500,IF(LEN(INDEX('Our policies'!$A$4:$A$503,_calc!$E$1001))=0,"",INDEX('Our policies'!$A$4:$A$503,_calc!$E$1001)),"COI – "&amp;IF(LEN(INDEX('Vendor COIs'!$A$4:$A$503,(_calc!$E$1001-500)))=0,"",INDEX('Vendor COIs'!$A$4:$A$503,(_calc!$E$1001-500)))&amp;" – "&amp;IF(LEN(INDEX('Vendor COIs'!$B$4:$B$503,(_calc!$E$1001-500)))=0,"",INDEX('Vendor COIs'!$B$4:$B$503,(_calc!$E$1001-500)))))</f>
        <v/>
      </c>
      <c r="B999" s="46">
        <f>IF(_calc!$E$1001="","",IF(_calc!$E$1001&lt;=500,IF(ISNUMBER(INDEX('Our policies'!$J$4:$J$503,_calc!$E$1001)),TEXT(INDEX('Our policies'!$J$4:$J$503,_calc!$E$1001),"yyyy-mm-dd"),""),IF(ISNUMBER(INDEX('Vendor COIs'!$H$4:$H$503,(_calc!$E$1001-500))),TEXT(INDEX('Vendor COIs'!$H$4:$H$503,(_calc!$E$1001-500)),"yyyy-mm-dd"),"")))</f>
        <v/>
      </c>
      <c r="C999" s="46">
        <f>IF(_calc!$E$1001="","",IF(_calc!$E$1001&lt;=500,"Insurance","Certificate of insurance"))</f>
        <v/>
      </c>
      <c r="D999" s="46">
        <f>IF(_calc!$E$1001="","",IF(_calc!$E$1001&lt;=500,IF(ISNUMBER(INDEX('Our policies'!$I$4:$I$503,_calc!$E$1001)),TEXT(INDEX('Our policies'!$I$4:$I$503,_calc!$E$1001),"yyyy-mm-dd"),""),""))</f>
        <v/>
      </c>
      <c r="E999" s="46">
        <f>IF(_calc!$E$1001="","",IF(_calc!$E$1001&lt;=500,IF(LEN(INDEX('Our policies'!$Q$4:$Q$503,_calc!$E$1001))=0,"",INDEX('Our policies'!$Q$4:$Q$503,_calc!$E$1001)),"Medium"))</f>
        <v/>
      </c>
      <c r="F999" s="46">
        <f>IF(_calc!$E$1001="","",IF(_calc!$E$1001&lt;=500,TRIM(IF(LEN(IF(LEN(INDEX('Our policies'!$B$4:$B$503,_calc!$E$1001))=0,"",INDEX('Our policies'!$B$4:$B$503,_calc!$E$1001)))=0,"","Cover: "&amp;IF(LEN(INDEX('Our policies'!$B$4:$B$503,_calc!$E$1001))=0,"",INDEX('Our policies'!$B$4:$B$503,_calc!$E$1001))&amp;". ")&amp;IF(LEN(IF(LEN(INDEX('Our policies'!$C$4:$C$503,_calc!$E$1001))=0,"",INDEX('Our policies'!$C$4:$C$503,_calc!$E$1001)))=0,"","Insurer: "&amp;IF(LEN(INDEX('Our policies'!$C$4:$C$503,_calc!$E$1001))=0,"",INDEX('Our policies'!$C$4:$C$503,_calc!$E$1001))&amp;". ")&amp;IF(LEN(IF(LEN(INDEX('Our policies'!$D$4:$D$503,_calc!$E$1001))=0,"",INDEX('Our policies'!$D$4:$D$503,_calc!$E$1001)))=0,"","Broker: "&amp;IF(LEN(INDEX('Our policies'!$D$4:$D$503,_calc!$E$1001))=0,"",INDEX('Our policies'!$D$4:$D$503,_calc!$E$1001))&amp;". ")&amp;IF(LEN(IF(LEN(INDEX('Our policies'!$E$4:$E$503,_calc!$E$1001))=0,"",INDEX('Our policies'!$E$4:$E$503,_calc!$E$1001)))=0,"","Policy no.: "&amp;IF(LEN(INDEX('Our policies'!$E$4:$E$503,_calc!$E$1001))=0,"",INDEX('Our policies'!$E$4:$E$503,_calc!$E$1001))&amp;". ")&amp;IF(LEN(IF(LEN(INDEX('Our policies'!$S$4:$S$503,_calc!$E$1001))=0,"",INDEX('Our policies'!$S$4:$S$503,_calc!$E$1001)))=0,"",IF(LEN(INDEX('Our policies'!$S$4:$S$503,_calc!$E$1001))=0,"",INDEX('Our policies'!$S$4:$S$503,_calc!$E$1001)))),TRIM(IF(LEN(IF(LEN(INDEX('Vendor COIs'!$C$4:$C$503,(_calc!$E$1001-500)))=0,"",INDEX('Vendor COIs'!$C$4:$C$503,(_calc!$E$1001-500))))=0,"","Insurer: "&amp;IF(LEN(INDEX('Vendor COIs'!$C$4:$C$503,(_calc!$E$1001-500)))=0,"",INDEX('Vendor COIs'!$C$4:$C$503,(_calc!$E$1001-500)))&amp;". ")&amp;IF(LEN(IF(LEN(INDEX('Vendor COIs'!$D$4:$D$503,(_calc!$E$1001-500)))=0,"",INDEX('Vendor COIs'!$D$4:$D$503,(_calc!$E$1001-500))))=0,"","Policy no.: "&amp;IF(LEN(INDEX('Vendor COIs'!$D$4:$D$503,(_calc!$E$1001-500)))=0,"",INDEX('Vendor COIs'!$D$4:$D$503,(_calc!$E$1001-500)))&amp;". ")&amp;IF(LEN(IF(LEN(INDEX('Vendor COIs'!$F$4:$F$503,(_calc!$E$1001-500)))=0,"",INDEX('Vendor COIs'!$F$4:$F$503,(_calc!$E$1001-500))))=0,"","Meets minimum: "&amp;IF(LEN(INDEX('Vendor COIs'!$F$4:$F$503,(_calc!$E$1001-500)))=0,"",INDEX('Vendor COIs'!$F$4:$F$503,(_calc!$E$1001-500)))&amp;". ")&amp;IF(LEN(IF(LEN(INDEX('Vendor COIs'!$G$4:$G$503,(_calc!$E$1001-500)))=0,"",INDEX('Vendor COIs'!$G$4:$G$503,(_calc!$E$1001-500))))=0,"","Additional insured: "&amp;IF(LEN(INDEX('Vendor COIs'!$G$4:$G$503,(_calc!$E$1001-500)))=0,"",INDEX('Vendor COIs'!$G$4:$G$503,(_calc!$E$1001-500)))&amp;". ")&amp;IF(LEN(IF(LEN(INDEX('Vendor COIs'!$M$4:$M$503,(_calc!$E$1001-500)))=0,"",INDEX('Vendor COIs'!$M$4:$M$503,(_calc!$E$1001-500))))=0,"","Vendor contact: "&amp;IF(LEN(INDEX('Vendor COIs'!$M$4:$M$503,(_calc!$E$1001-500)))=0,"",INDEX('Vendor COIs'!$M$4:$M$503,(_calc!$E$1001-500)))&amp;". ")&amp;IF(LEN(IF(LEN(INDEX('Vendor COIs'!$P$4:$P$503,(_calc!$E$1001-500)))=0,"",INDEX('Vendor COIs'!$P$4:$P$503,(_calc!$E$1001-500))))=0,"",IF(LEN(INDEX('Vendor COIs'!$P$4:$P$503,(_calc!$E$1001-500)))=0,"",INDEX('Vendor COIs'!$P$4:$P$503,(_calc!$E$1001-500)))))))</f>
        <v/>
      </c>
      <c r="G999" s="46">
        <f>IF(_calc!$E$1001="","",IF(_calc!$E$1001&lt;=500,IF(LEN(INDEX('Our policies'!$R$4:$R$503,_calc!$E$1001))=0,"",INDEX('Our policies'!$R$4:$R$503,_calc!$E$1001)),IF(LEN(INDEX('Vendor COIs'!$O$4:$O$503,(_calc!$E$1001-500)))=0,"",INDEX('Vendor COIs'!$O$4:$O$503,(_calc!$E$1001-500)))))</f>
        <v/>
      </c>
      <c r="H999" s="46">
        <f>IF(_calc!$E$1001="","",IF(_calc!$E$1001&lt;=500,IF(LEN(INDEX('Our policies'!$G$4:$G$503,_calc!$E$1001))=0,"",INDEX('Our policies'!$G$4:$G$503,_calc!$E$1001)),""))</f>
        <v/>
      </c>
      <c r="I999" s="46">
        <f>IF(_calc!$E$1001="","",IF(_calc!$E$1001&lt;=500,IF(LEN(INDEX('Our policies'!$H$4:$H$503,_calc!$E$1001))=0,"",INDEX('Our policies'!$H$4:$H$503,_calc!$E$1001)),""))</f>
        <v/>
      </c>
      <c r="K999" s="46">
        <f>IF(_calc!$E$1001="","",IF(_calc!$E$1001&lt;=500,IF(LEN(INDEX('Our policies'!$P$4:$P$503,_calc!$E$1001))=0,"",INDEX('Our policies'!$P$4:$P$503,_calc!$E$1001)),IF(LEN(INDEX('Vendor COIs'!$N$4:$N$503,(_calc!$E$1001-500)))=0,"",INDEX('Vendor COIs'!$N$4:$N$503,(_calc!$E$1001-500)))))</f>
        <v/>
      </c>
    </row>
    <row r="1000">
      <c r="A1000" s="46">
        <f>IF(_calc!$E$1002="","",IF(_calc!$E$1002&lt;=500,IF(LEN(INDEX('Our policies'!$A$4:$A$503,_calc!$E$1002))=0,"",INDEX('Our policies'!$A$4:$A$503,_calc!$E$1002)),"COI – "&amp;IF(LEN(INDEX('Vendor COIs'!$A$4:$A$503,(_calc!$E$1002-500)))=0,"",INDEX('Vendor COIs'!$A$4:$A$503,(_calc!$E$1002-500)))&amp;" – "&amp;IF(LEN(INDEX('Vendor COIs'!$B$4:$B$503,(_calc!$E$1002-500)))=0,"",INDEX('Vendor COIs'!$B$4:$B$503,(_calc!$E$1002-500)))))</f>
        <v/>
      </c>
      <c r="B1000" s="46">
        <f>IF(_calc!$E$1002="","",IF(_calc!$E$1002&lt;=500,IF(ISNUMBER(INDEX('Our policies'!$J$4:$J$503,_calc!$E$1002)),TEXT(INDEX('Our policies'!$J$4:$J$503,_calc!$E$1002),"yyyy-mm-dd"),""),IF(ISNUMBER(INDEX('Vendor COIs'!$H$4:$H$503,(_calc!$E$1002-500))),TEXT(INDEX('Vendor COIs'!$H$4:$H$503,(_calc!$E$1002-500)),"yyyy-mm-dd"),"")))</f>
        <v/>
      </c>
      <c r="C1000" s="46">
        <f>IF(_calc!$E$1002="","",IF(_calc!$E$1002&lt;=500,"Insurance","Certificate of insurance"))</f>
        <v/>
      </c>
      <c r="D1000" s="46">
        <f>IF(_calc!$E$1002="","",IF(_calc!$E$1002&lt;=500,IF(ISNUMBER(INDEX('Our policies'!$I$4:$I$503,_calc!$E$1002)),TEXT(INDEX('Our policies'!$I$4:$I$503,_calc!$E$1002),"yyyy-mm-dd"),""),""))</f>
        <v/>
      </c>
      <c r="E1000" s="46">
        <f>IF(_calc!$E$1002="","",IF(_calc!$E$1002&lt;=500,IF(LEN(INDEX('Our policies'!$Q$4:$Q$503,_calc!$E$1002))=0,"",INDEX('Our policies'!$Q$4:$Q$503,_calc!$E$1002)),"Medium"))</f>
        <v/>
      </c>
      <c r="F1000" s="46">
        <f>IF(_calc!$E$1002="","",IF(_calc!$E$1002&lt;=500,TRIM(IF(LEN(IF(LEN(INDEX('Our policies'!$B$4:$B$503,_calc!$E$1002))=0,"",INDEX('Our policies'!$B$4:$B$503,_calc!$E$1002)))=0,"","Cover: "&amp;IF(LEN(INDEX('Our policies'!$B$4:$B$503,_calc!$E$1002))=0,"",INDEX('Our policies'!$B$4:$B$503,_calc!$E$1002))&amp;". ")&amp;IF(LEN(IF(LEN(INDEX('Our policies'!$C$4:$C$503,_calc!$E$1002))=0,"",INDEX('Our policies'!$C$4:$C$503,_calc!$E$1002)))=0,"","Insurer: "&amp;IF(LEN(INDEX('Our policies'!$C$4:$C$503,_calc!$E$1002))=0,"",INDEX('Our policies'!$C$4:$C$503,_calc!$E$1002))&amp;". ")&amp;IF(LEN(IF(LEN(INDEX('Our policies'!$D$4:$D$503,_calc!$E$1002))=0,"",INDEX('Our policies'!$D$4:$D$503,_calc!$E$1002)))=0,"","Broker: "&amp;IF(LEN(INDEX('Our policies'!$D$4:$D$503,_calc!$E$1002))=0,"",INDEX('Our policies'!$D$4:$D$503,_calc!$E$1002))&amp;". ")&amp;IF(LEN(IF(LEN(INDEX('Our policies'!$E$4:$E$503,_calc!$E$1002))=0,"",INDEX('Our policies'!$E$4:$E$503,_calc!$E$1002)))=0,"","Policy no.: "&amp;IF(LEN(INDEX('Our policies'!$E$4:$E$503,_calc!$E$1002))=0,"",INDEX('Our policies'!$E$4:$E$503,_calc!$E$1002))&amp;". ")&amp;IF(LEN(IF(LEN(INDEX('Our policies'!$S$4:$S$503,_calc!$E$1002))=0,"",INDEX('Our policies'!$S$4:$S$503,_calc!$E$1002)))=0,"",IF(LEN(INDEX('Our policies'!$S$4:$S$503,_calc!$E$1002))=0,"",INDEX('Our policies'!$S$4:$S$503,_calc!$E$1002)))),TRIM(IF(LEN(IF(LEN(INDEX('Vendor COIs'!$C$4:$C$503,(_calc!$E$1002-500)))=0,"",INDEX('Vendor COIs'!$C$4:$C$503,(_calc!$E$1002-500))))=0,"","Insurer: "&amp;IF(LEN(INDEX('Vendor COIs'!$C$4:$C$503,(_calc!$E$1002-500)))=0,"",INDEX('Vendor COIs'!$C$4:$C$503,(_calc!$E$1002-500)))&amp;". ")&amp;IF(LEN(IF(LEN(INDEX('Vendor COIs'!$D$4:$D$503,(_calc!$E$1002-500)))=0,"",INDEX('Vendor COIs'!$D$4:$D$503,(_calc!$E$1002-500))))=0,"","Policy no.: "&amp;IF(LEN(INDEX('Vendor COIs'!$D$4:$D$503,(_calc!$E$1002-500)))=0,"",INDEX('Vendor COIs'!$D$4:$D$503,(_calc!$E$1002-500)))&amp;". ")&amp;IF(LEN(IF(LEN(INDEX('Vendor COIs'!$F$4:$F$503,(_calc!$E$1002-500)))=0,"",INDEX('Vendor COIs'!$F$4:$F$503,(_calc!$E$1002-500))))=0,"","Meets minimum: "&amp;IF(LEN(INDEX('Vendor COIs'!$F$4:$F$503,(_calc!$E$1002-500)))=0,"",INDEX('Vendor COIs'!$F$4:$F$503,(_calc!$E$1002-500)))&amp;". ")&amp;IF(LEN(IF(LEN(INDEX('Vendor COIs'!$G$4:$G$503,(_calc!$E$1002-500)))=0,"",INDEX('Vendor COIs'!$G$4:$G$503,(_calc!$E$1002-500))))=0,"","Additional insured: "&amp;IF(LEN(INDEX('Vendor COIs'!$G$4:$G$503,(_calc!$E$1002-500)))=0,"",INDEX('Vendor COIs'!$G$4:$G$503,(_calc!$E$1002-500)))&amp;". ")&amp;IF(LEN(IF(LEN(INDEX('Vendor COIs'!$M$4:$M$503,(_calc!$E$1002-500)))=0,"",INDEX('Vendor COIs'!$M$4:$M$503,(_calc!$E$1002-500))))=0,"","Vendor contact: "&amp;IF(LEN(INDEX('Vendor COIs'!$M$4:$M$503,(_calc!$E$1002-500)))=0,"",INDEX('Vendor COIs'!$M$4:$M$503,(_calc!$E$1002-500)))&amp;". ")&amp;IF(LEN(IF(LEN(INDEX('Vendor COIs'!$P$4:$P$503,(_calc!$E$1002-500)))=0,"",INDEX('Vendor COIs'!$P$4:$P$503,(_calc!$E$1002-500))))=0,"",IF(LEN(INDEX('Vendor COIs'!$P$4:$P$503,(_calc!$E$1002-500)))=0,"",INDEX('Vendor COIs'!$P$4:$P$503,(_calc!$E$1002-500)))))))</f>
        <v/>
      </c>
      <c r="G1000" s="46">
        <f>IF(_calc!$E$1002="","",IF(_calc!$E$1002&lt;=500,IF(LEN(INDEX('Our policies'!$R$4:$R$503,_calc!$E$1002))=0,"",INDEX('Our policies'!$R$4:$R$503,_calc!$E$1002)),IF(LEN(INDEX('Vendor COIs'!$O$4:$O$503,(_calc!$E$1002-500)))=0,"",INDEX('Vendor COIs'!$O$4:$O$503,(_calc!$E$1002-500)))))</f>
        <v/>
      </c>
      <c r="H1000" s="46">
        <f>IF(_calc!$E$1002="","",IF(_calc!$E$1002&lt;=500,IF(LEN(INDEX('Our policies'!$G$4:$G$503,_calc!$E$1002))=0,"",INDEX('Our policies'!$G$4:$G$503,_calc!$E$1002)),""))</f>
        <v/>
      </c>
      <c r="I1000" s="46">
        <f>IF(_calc!$E$1002="","",IF(_calc!$E$1002&lt;=500,IF(LEN(INDEX('Our policies'!$H$4:$H$503,_calc!$E$1002))=0,"",INDEX('Our policies'!$H$4:$H$503,_calc!$E$1002)),""))</f>
        <v/>
      </c>
      <c r="K1000" s="46">
        <f>IF(_calc!$E$1002="","",IF(_calc!$E$1002&lt;=500,IF(LEN(INDEX('Our policies'!$P$4:$P$503,_calc!$E$1002))=0,"",INDEX('Our policies'!$P$4:$P$503,_calc!$E$1002)),IF(LEN(INDEX('Vendor COIs'!$N$4:$N$503,(_calc!$E$1002-500)))=0,"",INDEX('Vendor COIs'!$N$4:$N$503,(_calc!$E$1002-500)))))</f>
        <v/>
      </c>
    </row>
    <row r="1001">
      <c r="A1001" s="46">
        <f>IF(_calc!$E$1003="","",IF(_calc!$E$1003&lt;=500,IF(LEN(INDEX('Our policies'!$A$4:$A$503,_calc!$E$1003))=0,"",INDEX('Our policies'!$A$4:$A$503,_calc!$E$1003)),"COI – "&amp;IF(LEN(INDEX('Vendor COIs'!$A$4:$A$503,(_calc!$E$1003-500)))=0,"",INDEX('Vendor COIs'!$A$4:$A$503,(_calc!$E$1003-500)))&amp;" – "&amp;IF(LEN(INDEX('Vendor COIs'!$B$4:$B$503,(_calc!$E$1003-500)))=0,"",INDEX('Vendor COIs'!$B$4:$B$503,(_calc!$E$1003-500)))))</f>
        <v/>
      </c>
      <c r="B1001" s="46">
        <f>IF(_calc!$E$1003="","",IF(_calc!$E$1003&lt;=500,IF(ISNUMBER(INDEX('Our policies'!$J$4:$J$503,_calc!$E$1003)),TEXT(INDEX('Our policies'!$J$4:$J$503,_calc!$E$1003),"yyyy-mm-dd"),""),IF(ISNUMBER(INDEX('Vendor COIs'!$H$4:$H$503,(_calc!$E$1003-500))),TEXT(INDEX('Vendor COIs'!$H$4:$H$503,(_calc!$E$1003-500)),"yyyy-mm-dd"),"")))</f>
        <v/>
      </c>
      <c r="C1001" s="46">
        <f>IF(_calc!$E$1003="","",IF(_calc!$E$1003&lt;=500,"Insurance","Certificate of insurance"))</f>
        <v/>
      </c>
      <c r="D1001" s="46">
        <f>IF(_calc!$E$1003="","",IF(_calc!$E$1003&lt;=500,IF(ISNUMBER(INDEX('Our policies'!$I$4:$I$503,_calc!$E$1003)),TEXT(INDEX('Our policies'!$I$4:$I$503,_calc!$E$1003),"yyyy-mm-dd"),""),""))</f>
        <v/>
      </c>
      <c r="E1001" s="46">
        <f>IF(_calc!$E$1003="","",IF(_calc!$E$1003&lt;=500,IF(LEN(INDEX('Our policies'!$Q$4:$Q$503,_calc!$E$1003))=0,"",INDEX('Our policies'!$Q$4:$Q$503,_calc!$E$1003)),"Medium"))</f>
        <v/>
      </c>
      <c r="F1001" s="46">
        <f>IF(_calc!$E$1003="","",IF(_calc!$E$1003&lt;=500,TRIM(IF(LEN(IF(LEN(INDEX('Our policies'!$B$4:$B$503,_calc!$E$1003))=0,"",INDEX('Our policies'!$B$4:$B$503,_calc!$E$1003)))=0,"","Cover: "&amp;IF(LEN(INDEX('Our policies'!$B$4:$B$503,_calc!$E$1003))=0,"",INDEX('Our policies'!$B$4:$B$503,_calc!$E$1003))&amp;". ")&amp;IF(LEN(IF(LEN(INDEX('Our policies'!$C$4:$C$503,_calc!$E$1003))=0,"",INDEX('Our policies'!$C$4:$C$503,_calc!$E$1003)))=0,"","Insurer: "&amp;IF(LEN(INDEX('Our policies'!$C$4:$C$503,_calc!$E$1003))=0,"",INDEX('Our policies'!$C$4:$C$503,_calc!$E$1003))&amp;". ")&amp;IF(LEN(IF(LEN(INDEX('Our policies'!$D$4:$D$503,_calc!$E$1003))=0,"",INDEX('Our policies'!$D$4:$D$503,_calc!$E$1003)))=0,"","Broker: "&amp;IF(LEN(INDEX('Our policies'!$D$4:$D$503,_calc!$E$1003))=0,"",INDEX('Our policies'!$D$4:$D$503,_calc!$E$1003))&amp;". ")&amp;IF(LEN(IF(LEN(INDEX('Our policies'!$E$4:$E$503,_calc!$E$1003))=0,"",INDEX('Our policies'!$E$4:$E$503,_calc!$E$1003)))=0,"","Policy no.: "&amp;IF(LEN(INDEX('Our policies'!$E$4:$E$503,_calc!$E$1003))=0,"",INDEX('Our policies'!$E$4:$E$503,_calc!$E$1003))&amp;". ")&amp;IF(LEN(IF(LEN(INDEX('Our policies'!$S$4:$S$503,_calc!$E$1003))=0,"",INDEX('Our policies'!$S$4:$S$503,_calc!$E$1003)))=0,"",IF(LEN(INDEX('Our policies'!$S$4:$S$503,_calc!$E$1003))=0,"",INDEX('Our policies'!$S$4:$S$503,_calc!$E$1003)))),TRIM(IF(LEN(IF(LEN(INDEX('Vendor COIs'!$C$4:$C$503,(_calc!$E$1003-500)))=0,"",INDEX('Vendor COIs'!$C$4:$C$503,(_calc!$E$1003-500))))=0,"","Insurer: "&amp;IF(LEN(INDEX('Vendor COIs'!$C$4:$C$503,(_calc!$E$1003-500)))=0,"",INDEX('Vendor COIs'!$C$4:$C$503,(_calc!$E$1003-500)))&amp;". ")&amp;IF(LEN(IF(LEN(INDEX('Vendor COIs'!$D$4:$D$503,(_calc!$E$1003-500)))=0,"",INDEX('Vendor COIs'!$D$4:$D$503,(_calc!$E$1003-500))))=0,"","Policy no.: "&amp;IF(LEN(INDEX('Vendor COIs'!$D$4:$D$503,(_calc!$E$1003-500)))=0,"",INDEX('Vendor COIs'!$D$4:$D$503,(_calc!$E$1003-500)))&amp;". ")&amp;IF(LEN(IF(LEN(INDEX('Vendor COIs'!$F$4:$F$503,(_calc!$E$1003-500)))=0,"",INDEX('Vendor COIs'!$F$4:$F$503,(_calc!$E$1003-500))))=0,"","Meets minimum: "&amp;IF(LEN(INDEX('Vendor COIs'!$F$4:$F$503,(_calc!$E$1003-500)))=0,"",INDEX('Vendor COIs'!$F$4:$F$503,(_calc!$E$1003-500)))&amp;". ")&amp;IF(LEN(IF(LEN(INDEX('Vendor COIs'!$G$4:$G$503,(_calc!$E$1003-500)))=0,"",INDEX('Vendor COIs'!$G$4:$G$503,(_calc!$E$1003-500))))=0,"","Additional insured: "&amp;IF(LEN(INDEX('Vendor COIs'!$G$4:$G$503,(_calc!$E$1003-500)))=0,"",INDEX('Vendor COIs'!$G$4:$G$503,(_calc!$E$1003-500)))&amp;". ")&amp;IF(LEN(IF(LEN(INDEX('Vendor COIs'!$M$4:$M$503,(_calc!$E$1003-500)))=0,"",INDEX('Vendor COIs'!$M$4:$M$503,(_calc!$E$1003-500))))=0,"","Vendor contact: "&amp;IF(LEN(INDEX('Vendor COIs'!$M$4:$M$503,(_calc!$E$1003-500)))=0,"",INDEX('Vendor COIs'!$M$4:$M$503,(_calc!$E$1003-500)))&amp;". ")&amp;IF(LEN(IF(LEN(INDEX('Vendor COIs'!$P$4:$P$503,(_calc!$E$1003-500)))=0,"",INDEX('Vendor COIs'!$P$4:$P$503,(_calc!$E$1003-500))))=0,"",IF(LEN(INDEX('Vendor COIs'!$P$4:$P$503,(_calc!$E$1003-500)))=0,"",INDEX('Vendor COIs'!$P$4:$P$503,(_calc!$E$1003-500)))))))</f>
        <v/>
      </c>
      <c r="G1001" s="46">
        <f>IF(_calc!$E$1003="","",IF(_calc!$E$1003&lt;=500,IF(LEN(INDEX('Our policies'!$R$4:$R$503,_calc!$E$1003))=0,"",INDEX('Our policies'!$R$4:$R$503,_calc!$E$1003)),IF(LEN(INDEX('Vendor COIs'!$O$4:$O$503,(_calc!$E$1003-500)))=0,"",INDEX('Vendor COIs'!$O$4:$O$503,(_calc!$E$1003-500)))))</f>
        <v/>
      </c>
      <c r="H1001" s="46">
        <f>IF(_calc!$E$1003="","",IF(_calc!$E$1003&lt;=500,IF(LEN(INDEX('Our policies'!$G$4:$G$503,_calc!$E$1003))=0,"",INDEX('Our policies'!$G$4:$G$503,_calc!$E$1003)),""))</f>
        <v/>
      </c>
      <c r="I1001" s="46">
        <f>IF(_calc!$E$1003="","",IF(_calc!$E$1003&lt;=500,IF(LEN(INDEX('Our policies'!$H$4:$H$503,_calc!$E$1003))=0,"",INDEX('Our policies'!$H$4:$H$503,_calc!$E$1003)),""))</f>
        <v/>
      </c>
      <c r="K1001" s="46">
        <f>IF(_calc!$E$1003="","",IF(_calc!$E$1003&lt;=500,IF(LEN(INDEX('Our policies'!$P$4:$P$503,_calc!$E$1003))=0,"",INDEX('Our policies'!$P$4:$P$503,_calc!$E$1003)),IF(LEN(INDEX('Vendor COIs'!$N$4:$N$503,(_calc!$E$1003-500)))=0,"",INDEX('Vendor COIs'!$N$4:$N$503,(_calc!$E$1003-500)))))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3" max="3"/>
    <col width="16" customWidth="1" min="5" max="5"/>
    <col width="50" customWidth="1" min="7" max="7"/>
  </cols>
  <sheetData>
    <row r="1">
      <c r="A1" s="13" t="inlineStr">
        <is>
          <t>Cover</t>
        </is>
      </c>
      <c r="C1" s="13" t="inlineStr">
        <is>
          <t>Currency</t>
        </is>
      </c>
      <c r="E1" s="13" t="inlineStr">
        <is>
          <t>Priority</t>
        </is>
      </c>
      <c r="G1" s="47" t="inlineStr">
        <is>
          <t>About these lists</t>
        </is>
      </c>
    </row>
    <row r="2">
      <c r="A2" s="46" t="inlineStr">
        <is>
          <t>Public liability</t>
        </is>
      </c>
      <c r="C2" s="46" t="inlineStr">
        <is>
          <t>GBP</t>
        </is>
      </c>
      <c r="E2" s="46" t="inlineStr">
        <is>
          <t>Low</t>
        </is>
      </c>
      <c r="G2" s="48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6" t="inlineStr">
        <is>
          <t>Employers' liability</t>
        </is>
      </c>
      <c r="C3" s="46" t="inlineStr">
        <is>
          <t>USD</t>
        </is>
      </c>
      <c r="E3" s="46" t="inlineStr">
        <is>
          <t>Medium</t>
        </is>
      </c>
    </row>
    <row r="4">
      <c r="A4" s="46" t="inlineStr">
        <is>
          <t>Professional indemnity</t>
        </is>
      </c>
      <c r="C4" s="46" t="inlineStr">
        <is>
          <t>EUR</t>
        </is>
      </c>
      <c r="E4" s="46" t="inlineStr">
        <is>
          <t>High</t>
        </is>
      </c>
    </row>
    <row r="5">
      <c r="A5" s="46" t="inlineStr">
        <is>
          <t>General liability</t>
        </is>
      </c>
      <c r="C5" s="46" t="inlineStr">
        <is>
          <t>CAD</t>
        </is>
      </c>
    </row>
    <row r="6">
      <c r="A6" s="46" t="inlineStr">
        <is>
          <t>Workers' compensation</t>
        </is>
      </c>
      <c r="C6" s="46" t="inlineStr">
        <is>
          <t>AUD</t>
        </is>
      </c>
    </row>
    <row r="7">
      <c r="A7" s="46" t="inlineStr">
        <is>
          <t>Commercial auto</t>
        </is>
      </c>
      <c r="C7" s="46" t="inlineStr">
        <is>
          <t>NZD</t>
        </is>
      </c>
    </row>
    <row r="8">
      <c r="A8" s="46" t="inlineStr">
        <is>
          <t>Motor / fleet</t>
        </is>
      </c>
    </row>
    <row r="9">
      <c r="A9" s="46" t="inlineStr">
        <is>
          <t>Property / buildings</t>
        </is>
      </c>
    </row>
    <row r="10">
      <c r="A10" s="46" t="inlineStr">
        <is>
          <t>Cyber</t>
        </is>
      </c>
    </row>
    <row r="11">
      <c r="A11" s="46" t="inlineStr">
        <is>
          <t>Directors &amp; officers</t>
        </is>
      </c>
    </row>
    <row r="12">
      <c r="A12" s="46" t="inlineStr">
        <is>
          <t>Other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3:E10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IF(AND(LEN('Our policies'!A4)&gt;0,ISNUMBER('Our policies'!J4)),'Our policies'!J4+1/100000,"")</f>
        <v/>
      </c>
      <c r="B4">
        <f>IF(AND(LEN('Our policies'!A4)&gt;0,ISNUMBER('Our policies'!J4)),MAX($B$3:B3)+1,"")</f>
        <v/>
      </c>
      <c r="C4">
        <f>IFERROR(SMALL($A$4:$A$1003,1),"")</f>
        <v/>
      </c>
      <c r="D4">
        <f>IF(C4="","",MATCH(C4,$A$4:$A$1003,0))</f>
        <v/>
      </c>
      <c r="E4">
        <f>IFERROR(MATCH(1,$B$4:$B$1003,0),"")</f>
        <v/>
      </c>
    </row>
    <row r="5">
      <c r="A5">
        <f>IF(AND(LEN('Our policies'!A5)&gt;0,ISNUMBER('Our policies'!J5)),'Our policies'!J5+2/100000,"")</f>
        <v/>
      </c>
      <c r="B5">
        <f>IF(AND(LEN('Our policies'!A5)&gt;0,ISNUMBER('Our policies'!J5)),MAX($B$3:B4)+1,"")</f>
        <v/>
      </c>
      <c r="C5">
        <f>IFERROR(SMALL($A$4:$A$1003,2),"")</f>
        <v/>
      </c>
      <c r="D5">
        <f>IF(C5="","",MATCH(C5,$A$4:$A$1003,0))</f>
        <v/>
      </c>
      <c r="E5">
        <f>IFERROR(MATCH(2,$B$4:$B$1003,0),"")</f>
        <v/>
      </c>
    </row>
    <row r="6">
      <c r="A6">
        <f>IF(AND(LEN('Our policies'!A6)&gt;0,ISNUMBER('Our policies'!J6)),'Our policies'!J6+3/100000,"")</f>
        <v/>
      </c>
      <c r="B6">
        <f>IF(AND(LEN('Our policies'!A6)&gt;0,ISNUMBER('Our policies'!J6)),MAX($B$3:B5)+1,"")</f>
        <v/>
      </c>
      <c r="C6">
        <f>IFERROR(SMALL($A$4:$A$1003,3),"")</f>
        <v/>
      </c>
      <c r="D6">
        <f>IF(C6="","",MATCH(C6,$A$4:$A$1003,0))</f>
        <v/>
      </c>
      <c r="E6">
        <f>IFERROR(MATCH(3,$B$4:$B$1003,0),"")</f>
        <v/>
      </c>
    </row>
    <row r="7">
      <c r="A7">
        <f>IF(AND(LEN('Our policies'!A7)&gt;0,ISNUMBER('Our policies'!J7)),'Our policies'!J7+4/100000,"")</f>
        <v/>
      </c>
      <c r="B7">
        <f>IF(AND(LEN('Our policies'!A7)&gt;0,ISNUMBER('Our policies'!J7)),MAX($B$3:B6)+1,"")</f>
        <v/>
      </c>
      <c r="C7">
        <f>IFERROR(SMALL($A$4:$A$1003,4),"")</f>
        <v/>
      </c>
      <c r="D7">
        <f>IF(C7="","",MATCH(C7,$A$4:$A$1003,0))</f>
        <v/>
      </c>
      <c r="E7">
        <f>IFERROR(MATCH(4,$B$4:$B$1003,0),"")</f>
        <v/>
      </c>
    </row>
    <row r="8">
      <c r="A8">
        <f>IF(AND(LEN('Our policies'!A8)&gt;0,ISNUMBER('Our policies'!J8)),'Our policies'!J8+5/100000,"")</f>
        <v/>
      </c>
      <c r="B8">
        <f>IF(AND(LEN('Our policies'!A8)&gt;0,ISNUMBER('Our policies'!J8)),MAX($B$3:B7)+1,"")</f>
        <v/>
      </c>
      <c r="C8">
        <f>IFERROR(SMALL($A$4:$A$1003,5),"")</f>
        <v/>
      </c>
      <c r="D8">
        <f>IF(C8="","",MATCH(C8,$A$4:$A$1003,0))</f>
        <v/>
      </c>
      <c r="E8">
        <f>IFERROR(MATCH(5,$B$4:$B$1003,0),"")</f>
        <v/>
      </c>
    </row>
    <row r="9">
      <c r="A9">
        <f>IF(AND(LEN('Our policies'!A9)&gt;0,ISNUMBER('Our policies'!J9)),'Our policies'!J9+6/100000,"")</f>
        <v/>
      </c>
      <c r="B9">
        <f>IF(AND(LEN('Our policies'!A9)&gt;0,ISNUMBER('Our policies'!J9)),MAX($B$3:B8)+1,"")</f>
        <v/>
      </c>
      <c r="C9">
        <f>IFERROR(SMALL($A$4:$A$1003,6),"")</f>
        <v/>
      </c>
      <c r="D9">
        <f>IF(C9="","",MATCH(C9,$A$4:$A$1003,0))</f>
        <v/>
      </c>
      <c r="E9">
        <f>IFERROR(MATCH(6,$B$4:$B$1003,0),"")</f>
        <v/>
      </c>
    </row>
    <row r="10">
      <c r="A10">
        <f>IF(AND(LEN('Our policies'!A10)&gt;0,ISNUMBER('Our policies'!J10)),'Our policies'!J10+7/100000,"")</f>
        <v/>
      </c>
      <c r="B10">
        <f>IF(AND(LEN('Our policies'!A10)&gt;0,ISNUMBER('Our policies'!J10)),MAX($B$3:B9)+1,"")</f>
        <v/>
      </c>
      <c r="C10">
        <f>IFERROR(SMALL($A$4:$A$1003,7),"")</f>
        <v/>
      </c>
      <c r="D10">
        <f>IF(C10="","",MATCH(C10,$A$4:$A$1003,0))</f>
        <v/>
      </c>
      <c r="E10">
        <f>IFERROR(MATCH(7,$B$4:$B$1003,0),"")</f>
        <v/>
      </c>
    </row>
    <row r="11">
      <c r="A11">
        <f>IF(AND(LEN('Our policies'!A11)&gt;0,ISNUMBER('Our policies'!J11)),'Our policies'!J11+8/100000,"")</f>
        <v/>
      </c>
      <c r="B11">
        <f>IF(AND(LEN('Our policies'!A11)&gt;0,ISNUMBER('Our policies'!J11)),MAX($B$3:B10)+1,"")</f>
        <v/>
      </c>
      <c r="C11">
        <f>IFERROR(SMALL($A$4:$A$1003,8),"")</f>
        <v/>
      </c>
      <c r="D11">
        <f>IF(C11="","",MATCH(C11,$A$4:$A$1003,0))</f>
        <v/>
      </c>
      <c r="E11">
        <f>IFERROR(MATCH(8,$B$4:$B$1003,0),"")</f>
        <v/>
      </c>
    </row>
    <row r="12">
      <c r="A12">
        <f>IF(AND(LEN('Our policies'!A12)&gt;0,ISNUMBER('Our policies'!J12)),'Our policies'!J12+9/100000,"")</f>
        <v/>
      </c>
      <c r="B12">
        <f>IF(AND(LEN('Our policies'!A12)&gt;0,ISNUMBER('Our policies'!J12)),MAX($B$3:B11)+1,"")</f>
        <v/>
      </c>
      <c r="C12">
        <f>IFERROR(SMALL($A$4:$A$1003,9),"")</f>
        <v/>
      </c>
      <c r="D12">
        <f>IF(C12="","",MATCH(C12,$A$4:$A$1003,0))</f>
        <v/>
      </c>
      <c r="E12">
        <f>IFERROR(MATCH(9,$B$4:$B$1003,0),"")</f>
        <v/>
      </c>
    </row>
    <row r="13">
      <c r="A13">
        <f>IF(AND(LEN('Our policies'!A13)&gt;0,ISNUMBER('Our policies'!J13)),'Our policies'!J13+10/100000,"")</f>
        <v/>
      </c>
      <c r="B13">
        <f>IF(AND(LEN('Our policies'!A13)&gt;0,ISNUMBER('Our policies'!J13)),MAX($B$3:B12)+1,"")</f>
        <v/>
      </c>
      <c r="C13">
        <f>IFERROR(SMALL($A$4:$A$1003,10),"")</f>
        <v/>
      </c>
      <c r="D13">
        <f>IF(C13="","",MATCH(C13,$A$4:$A$1003,0))</f>
        <v/>
      </c>
      <c r="E13">
        <f>IFERROR(MATCH(10,$B$4:$B$1003,0),"")</f>
        <v/>
      </c>
    </row>
    <row r="14">
      <c r="A14">
        <f>IF(AND(LEN('Our policies'!A14)&gt;0,ISNUMBER('Our policies'!J14)),'Our policies'!J14+11/100000,"")</f>
        <v/>
      </c>
      <c r="B14">
        <f>IF(AND(LEN('Our policies'!A14)&gt;0,ISNUMBER('Our policies'!J14)),MAX($B$3:B13)+1,"")</f>
        <v/>
      </c>
      <c r="E14">
        <f>IFERROR(MATCH(11,$B$4:$B$1003,0),"")</f>
        <v/>
      </c>
    </row>
    <row r="15">
      <c r="A15">
        <f>IF(AND(LEN('Our policies'!A15)&gt;0,ISNUMBER('Our policies'!J15)),'Our policies'!J15+12/100000,"")</f>
        <v/>
      </c>
      <c r="B15">
        <f>IF(AND(LEN('Our policies'!A15)&gt;0,ISNUMBER('Our policies'!J15)),MAX($B$3:B14)+1,"")</f>
        <v/>
      </c>
      <c r="E15">
        <f>IFERROR(MATCH(12,$B$4:$B$1003,0),"")</f>
        <v/>
      </c>
    </row>
    <row r="16">
      <c r="A16">
        <f>IF(AND(LEN('Our policies'!A16)&gt;0,ISNUMBER('Our policies'!J16)),'Our policies'!J16+13/100000,"")</f>
        <v/>
      </c>
      <c r="B16">
        <f>IF(AND(LEN('Our policies'!A16)&gt;0,ISNUMBER('Our policies'!J16)),MAX($B$3:B15)+1,"")</f>
        <v/>
      </c>
      <c r="E16">
        <f>IFERROR(MATCH(13,$B$4:$B$1003,0),"")</f>
        <v/>
      </c>
    </row>
    <row r="17">
      <c r="A17">
        <f>IF(AND(LEN('Our policies'!A17)&gt;0,ISNUMBER('Our policies'!J17)),'Our policies'!J17+14/100000,"")</f>
        <v/>
      </c>
      <c r="B17">
        <f>IF(AND(LEN('Our policies'!A17)&gt;0,ISNUMBER('Our policies'!J17)),MAX($B$3:B16)+1,"")</f>
        <v/>
      </c>
      <c r="E17">
        <f>IFERROR(MATCH(14,$B$4:$B$1003,0),"")</f>
        <v/>
      </c>
    </row>
    <row r="18">
      <c r="A18">
        <f>IF(AND(LEN('Our policies'!A18)&gt;0,ISNUMBER('Our policies'!J18)),'Our policies'!J18+15/100000,"")</f>
        <v/>
      </c>
      <c r="B18">
        <f>IF(AND(LEN('Our policies'!A18)&gt;0,ISNUMBER('Our policies'!J18)),MAX($B$3:B17)+1,"")</f>
        <v/>
      </c>
      <c r="E18">
        <f>IFERROR(MATCH(15,$B$4:$B$1003,0),"")</f>
        <v/>
      </c>
    </row>
    <row r="19">
      <c r="A19">
        <f>IF(AND(LEN('Our policies'!A19)&gt;0,ISNUMBER('Our policies'!J19)),'Our policies'!J19+16/100000,"")</f>
        <v/>
      </c>
      <c r="B19">
        <f>IF(AND(LEN('Our policies'!A19)&gt;0,ISNUMBER('Our policies'!J19)),MAX($B$3:B18)+1,"")</f>
        <v/>
      </c>
      <c r="E19">
        <f>IFERROR(MATCH(16,$B$4:$B$1003,0),"")</f>
        <v/>
      </c>
    </row>
    <row r="20">
      <c r="A20">
        <f>IF(AND(LEN('Our policies'!A20)&gt;0,ISNUMBER('Our policies'!J20)),'Our policies'!J20+17/100000,"")</f>
        <v/>
      </c>
      <c r="B20">
        <f>IF(AND(LEN('Our policies'!A20)&gt;0,ISNUMBER('Our policies'!J20)),MAX($B$3:B19)+1,"")</f>
        <v/>
      </c>
      <c r="E20">
        <f>IFERROR(MATCH(17,$B$4:$B$1003,0),"")</f>
        <v/>
      </c>
    </row>
    <row r="21">
      <c r="A21">
        <f>IF(AND(LEN('Our policies'!A21)&gt;0,ISNUMBER('Our policies'!J21)),'Our policies'!J21+18/100000,"")</f>
        <v/>
      </c>
      <c r="B21">
        <f>IF(AND(LEN('Our policies'!A21)&gt;0,ISNUMBER('Our policies'!J21)),MAX($B$3:B20)+1,"")</f>
        <v/>
      </c>
      <c r="E21">
        <f>IFERROR(MATCH(18,$B$4:$B$1003,0),"")</f>
        <v/>
      </c>
    </row>
    <row r="22">
      <c r="A22">
        <f>IF(AND(LEN('Our policies'!A22)&gt;0,ISNUMBER('Our policies'!J22)),'Our policies'!J22+19/100000,"")</f>
        <v/>
      </c>
      <c r="B22">
        <f>IF(AND(LEN('Our policies'!A22)&gt;0,ISNUMBER('Our policies'!J22)),MAX($B$3:B21)+1,"")</f>
        <v/>
      </c>
      <c r="E22">
        <f>IFERROR(MATCH(19,$B$4:$B$1003,0),"")</f>
        <v/>
      </c>
    </row>
    <row r="23">
      <c r="A23">
        <f>IF(AND(LEN('Our policies'!A23)&gt;0,ISNUMBER('Our policies'!J23)),'Our policies'!J23+20/100000,"")</f>
        <v/>
      </c>
      <c r="B23">
        <f>IF(AND(LEN('Our policies'!A23)&gt;0,ISNUMBER('Our policies'!J23)),MAX($B$3:B22)+1,"")</f>
        <v/>
      </c>
      <c r="E23">
        <f>IFERROR(MATCH(20,$B$4:$B$1003,0),"")</f>
        <v/>
      </c>
    </row>
    <row r="24">
      <c r="A24">
        <f>IF(AND(LEN('Our policies'!A24)&gt;0,ISNUMBER('Our policies'!J24)),'Our policies'!J24+21/100000,"")</f>
        <v/>
      </c>
      <c r="B24">
        <f>IF(AND(LEN('Our policies'!A24)&gt;0,ISNUMBER('Our policies'!J24)),MAX($B$3:B23)+1,"")</f>
        <v/>
      </c>
      <c r="E24">
        <f>IFERROR(MATCH(21,$B$4:$B$1003,0),"")</f>
        <v/>
      </c>
    </row>
    <row r="25">
      <c r="A25">
        <f>IF(AND(LEN('Our policies'!A25)&gt;0,ISNUMBER('Our policies'!J25)),'Our policies'!J25+22/100000,"")</f>
        <v/>
      </c>
      <c r="B25">
        <f>IF(AND(LEN('Our policies'!A25)&gt;0,ISNUMBER('Our policies'!J25)),MAX($B$3:B24)+1,"")</f>
        <v/>
      </c>
      <c r="E25">
        <f>IFERROR(MATCH(22,$B$4:$B$1003,0),"")</f>
        <v/>
      </c>
    </row>
    <row r="26">
      <c r="A26">
        <f>IF(AND(LEN('Our policies'!A26)&gt;0,ISNUMBER('Our policies'!J26)),'Our policies'!J26+23/100000,"")</f>
        <v/>
      </c>
      <c r="B26">
        <f>IF(AND(LEN('Our policies'!A26)&gt;0,ISNUMBER('Our policies'!J26)),MAX($B$3:B25)+1,"")</f>
        <v/>
      </c>
      <c r="E26">
        <f>IFERROR(MATCH(23,$B$4:$B$1003,0),"")</f>
        <v/>
      </c>
    </row>
    <row r="27">
      <c r="A27">
        <f>IF(AND(LEN('Our policies'!A27)&gt;0,ISNUMBER('Our policies'!J27)),'Our policies'!J27+24/100000,"")</f>
        <v/>
      </c>
      <c r="B27">
        <f>IF(AND(LEN('Our policies'!A27)&gt;0,ISNUMBER('Our policies'!J27)),MAX($B$3:B26)+1,"")</f>
        <v/>
      </c>
      <c r="E27">
        <f>IFERROR(MATCH(24,$B$4:$B$1003,0),"")</f>
        <v/>
      </c>
    </row>
    <row r="28">
      <c r="A28">
        <f>IF(AND(LEN('Our policies'!A28)&gt;0,ISNUMBER('Our policies'!J28)),'Our policies'!J28+25/100000,"")</f>
        <v/>
      </c>
      <c r="B28">
        <f>IF(AND(LEN('Our policies'!A28)&gt;0,ISNUMBER('Our policies'!J28)),MAX($B$3:B27)+1,"")</f>
        <v/>
      </c>
      <c r="E28">
        <f>IFERROR(MATCH(25,$B$4:$B$1003,0),"")</f>
        <v/>
      </c>
    </row>
    <row r="29">
      <c r="A29">
        <f>IF(AND(LEN('Our policies'!A29)&gt;0,ISNUMBER('Our policies'!J29)),'Our policies'!J29+26/100000,"")</f>
        <v/>
      </c>
      <c r="B29">
        <f>IF(AND(LEN('Our policies'!A29)&gt;0,ISNUMBER('Our policies'!J29)),MAX($B$3:B28)+1,"")</f>
        <v/>
      </c>
      <c r="E29">
        <f>IFERROR(MATCH(26,$B$4:$B$1003,0),"")</f>
        <v/>
      </c>
    </row>
    <row r="30">
      <c r="A30">
        <f>IF(AND(LEN('Our policies'!A30)&gt;0,ISNUMBER('Our policies'!J30)),'Our policies'!J30+27/100000,"")</f>
        <v/>
      </c>
      <c r="B30">
        <f>IF(AND(LEN('Our policies'!A30)&gt;0,ISNUMBER('Our policies'!J30)),MAX($B$3:B29)+1,"")</f>
        <v/>
      </c>
      <c r="E30">
        <f>IFERROR(MATCH(27,$B$4:$B$1003,0),"")</f>
        <v/>
      </c>
    </row>
    <row r="31">
      <c r="A31">
        <f>IF(AND(LEN('Our policies'!A31)&gt;0,ISNUMBER('Our policies'!J31)),'Our policies'!J31+28/100000,"")</f>
        <v/>
      </c>
      <c r="B31">
        <f>IF(AND(LEN('Our policies'!A31)&gt;0,ISNUMBER('Our policies'!J31)),MAX($B$3:B30)+1,"")</f>
        <v/>
      </c>
      <c r="E31">
        <f>IFERROR(MATCH(28,$B$4:$B$1003,0),"")</f>
        <v/>
      </c>
    </row>
    <row r="32">
      <c r="A32">
        <f>IF(AND(LEN('Our policies'!A32)&gt;0,ISNUMBER('Our policies'!J32)),'Our policies'!J32+29/100000,"")</f>
        <v/>
      </c>
      <c r="B32">
        <f>IF(AND(LEN('Our policies'!A32)&gt;0,ISNUMBER('Our policies'!J32)),MAX($B$3:B31)+1,"")</f>
        <v/>
      </c>
      <c r="E32">
        <f>IFERROR(MATCH(29,$B$4:$B$1003,0),"")</f>
        <v/>
      </c>
    </row>
    <row r="33">
      <c r="A33">
        <f>IF(AND(LEN('Our policies'!A33)&gt;0,ISNUMBER('Our policies'!J33)),'Our policies'!J33+30/100000,"")</f>
        <v/>
      </c>
      <c r="B33">
        <f>IF(AND(LEN('Our policies'!A33)&gt;0,ISNUMBER('Our policies'!J33)),MAX($B$3:B32)+1,"")</f>
        <v/>
      </c>
      <c r="E33">
        <f>IFERROR(MATCH(30,$B$4:$B$1003,0),"")</f>
        <v/>
      </c>
    </row>
    <row r="34">
      <c r="A34">
        <f>IF(AND(LEN('Our policies'!A34)&gt;0,ISNUMBER('Our policies'!J34)),'Our policies'!J34+31/100000,"")</f>
        <v/>
      </c>
      <c r="B34">
        <f>IF(AND(LEN('Our policies'!A34)&gt;0,ISNUMBER('Our policies'!J34)),MAX($B$3:B33)+1,"")</f>
        <v/>
      </c>
      <c r="E34">
        <f>IFERROR(MATCH(31,$B$4:$B$1003,0),"")</f>
        <v/>
      </c>
    </row>
    <row r="35">
      <c r="A35">
        <f>IF(AND(LEN('Our policies'!A35)&gt;0,ISNUMBER('Our policies'!J35)),'Our policies'!J35+32/100000,"")</f>
        <v/>
      </c>
      <c r="B35">
        <f>IF(AND(LEN('Our policies'!A35)&gt;0,ISNUMBER('Our policies'!J35)),MAX($B$3:B34)+1,"")</f>
        <v/>
      </c>
      <c r="E35">
        <f>IFERROR(MATCH(32,$B$4:$B$1003,0),"")</f>
        <v/>
      </c>
    </row>
    <row r="36">
      <c r="A36">
        <f>IF(AND(LEN('Our policies'!A36)&gt;0,ISNUMBER('Our policies'!J36)),'Our policies'!J36+33/100000,"")</f>
        <v/>
      </c>
      <c r="B36">
        <f>IF(AND(LEN('Our policies'!A36)&gt;0,ISNUMBER('Our policies'!J36)),MAX($B$3:B35)+1,"")</f>
        <v/>
      </c>
      <c r="E36">
        <f>IFERROR(MATCH(33,$B$4:$B$1003,0),"")</f>
        <v/>
      </c>
    </row>
    <row r="37">
      <c r="A37">
        <f>IF(AND(LEN('Our policies'!A37)&gt;0,ISNUMBER('Our policies'!J37)),'Our policies'!J37+34/100000,"")</f>
        <v/>
      </c>
      <c r="B37">
        <f>IF(AND(LEN('Our policies'!A37)&gt;0,ISNUMBER('Our policies'!J37)),MAX($B$3:B36)+1,"")</f>
        <v/>
      </c>
      <c r="E37">
        <f>IFERROR(MATCH(34,$B$4:$B$1003,0),"")</f>
        <v/>
      </c>
    </row>
    <row r="38">
      <c r="A38">
        <f>IF(AND(LEN('Our policies'!A38)&gt;0,ISNUMBER('Our policies'!J38)),'Our policies'!J38+35/100000,"")</f>
        <v/>
      </c>
      <c r="B38">
        <f>IF(AND(LEN('Our policies'!A38)&gt;0,ISNUMBER('Our policies'!J38)),MAX($B$3:B37)+1,"")</f>
        <v/>
      </c>
      <c r="E38">
        <f>IFERROR(MATCH(35,$B$4:$B$1003,0),"")</f>
        <v/>
      </c>
    </row>
    <row r="39">
      <c r="A39">
        <f>IF(AND(LEN('Our policies'!A39)&gt;0,ISNUMBER('Our policies'!J39)),'Our policies'!J39+36/100000,"")</f>
        <v/>
      </c>
      <c r="B39">
        <f>IF(AND(LEN('Our policies'!A39)&gt;0,ISNUMBER('Our policies'!J39)),MAX($B$3:B38)+1,"")</f>
        <v/>
      </c>
      <c r="E39">
        <f>IFERROR(MATCH(36,$B$4:$B$1003,0),"")</f>
        <v/>
      </c>
    </row>
    <row r="40">
      <c r="A40">
        <f>IF(AND(LEN('Our policies'!A40)&gt;0,ISNUMBER('Our policies'!J40)),'Our policies'!J40+37/100000,"")</f>
        <v/>
      </c>
      <c r="B40">
        <f>IF(AND(LEN('Our policies'!A40)&gt;0,ISNUMBER('Our policies'!J40)),MAX($B$3:B39)+1,"")</f>
        <v/>
      </c>
      <c r="E40">
        <f>IFERROR(MATCH(37,$B$4:$B$1003,0),"")</f>
        <v/>
      </c>
    </row>
    <row r="41">
      <c r="A41">
        <f>IF(AND(LEN('Our policies'!A41)&gt;0,ISNUMBER('Our policies'!J41)),'Our policies'!J41+38/100000,"")</f>
        <v/>
      </c>
      <c r="B41">
        <f>IF(AND(LEN('Our policies'!A41)&gt;0,ISNUMBER('Our policies'!J41)),MAX($B$3:B40)+1,"")</f>
        <v/>
      </c>
      <c r="E41">
        <f>IFERROR(MATCH(38,$B$4:$B$1003,0),"")</f>
        <v/>
      </c>
    </row>
    <row r="42">
      <c r="A42">
        <f>IF(AND(LEN('Our policies'!A42)&gt;0,ISNUMBER('Our policies'!J42)),'Our policies'!J42+39/100000,"")</f>
        <v/>
      </c>
      <c r="B42">
        <f>IF(AND(LEN('Our policies'!A42)&gt;0,ISNUMBER('Our policies'!J42)),MAX($B$3:B41)+1,"")</f>
        <v/>
      </c>
      <c r="E42">
        <f>IFERROR(MATCH(39,$B$4:$B$1003,0),"")</f>
        <v/>
      </c>
    </row>
    <row r="43">
      <c r="A43">
        <f>IF(AND(LEN('Our policies'!A43)&gt;0,ISNUMBER('Our policies'!J43)),'Our policies'!J43+40/100000,"")</f>
        <v/>
      </c>
      <c r="B43">
        <f>IF(AND(LEN('Our policies'!A43)&gt;0,ISNUMBER('Our policies'!J43)),MAX($B$3:B42)+1,"")</f>
        <v/>
      </c>
      <c r="E43">
        <f>IFERROR(MATCH(40,$B$4:$B$1003,0),"")</f>
        <v/>
      </c>
    </row>
    <row r="44">
      <c r="A44">
        <f>IF(AND(LEN('Our policies'!A44)&gt;0,ISNUMBER('Our policies'!J44)),'Our policies'!J44+41/100000,"")</f>
        <v/>
      </c>
      <c r="B44">
        <f>IF(AND(LEN('Our policies'!A44)&gt;0,ISNUMBER('Our policies'!J44)),MAX($B$3:B43)+1,"")</f>
        <v/>
      </c>
      <c r="E44">
        <f>IFERROR(MATCH(41,$B$4:$B$1003,0),"")</f>
        <v/>
      </c>
    </row>
    <row r="45">
      <c r="A45">
        <f>IF(AND(LEN('Our policies'!A45)&gt;0,ISNUMBER('Our policies'!J45)),'Our policies'!J45+42/100000,"")</f>
        <v/>
      </c>
      <c r="B45">
        <f>IF(AND(LEN('Our policies'!A45)&gt;0,ISNUMBER('Our policies'!J45)),MAX($B$3:B44)+1,"")</f>
        <v/>
      </c>
      <c r="E45">
        <f>IFERROR(MATCH(42,$B$4:$B$1003,0),"")</f>
        <v/>
      </c>
    </row>
    <row r="46">
      <c r="A46">
        <f>IF(AND(LEN('Our policies'!A46)&gt;0,ISNUMBER('Our policies'!J46)),'Our policies'!J46+43/100000,"")</f>
        <v/>
      </c>
      <c r="B46">
        <f>IF(AND(LEN('Our policies'!A46)&gt;0,ISNUMBER('Our policies'!J46)),MAX($B$3:B45)+1,"")</f>
        <v/>
      </c>
      <c r="E46">
        <f>IFERROR(MATCH(43,$B$4:$B$1003,0),"")</f>
        <v/>
      </c>
    </row>
    <row r="47">
      <c r="A47">
        <f>IF(AND(LEN('Our policies'!A47)&gt;0,ISNUMBER('Our policies'!J47)),'Our policies'!J47+44/100000,"")</f>
        <v/>
      </c>
      <c r="B47">
        <f>IF(AND(LEN('Our policies'!A47)&gt;0,ISNUMBER('Our policies'!J47)),MAX($B$3:B46)+1,"")</f>
        <v/>
      </c>
      <c r="E47">
        <f>IFERROR(MATCH(44,$B$4:$B$1003,0),"")</f>
        <v/>
      </c>
    </row>
    <row r="48">
      <c r="A48">
        <f>IF(AND(LEN('Our policies'!A48)&gt;0,ISNUMBER('Our policies'!J48)),'Our policies'!J48+45/100000,"")</f>
        <v/>
      </c>
      <c r="B48">
        <f>IF(AND(LEN('Our policies'!A48)&gt;0,ISNUMBER('Our policies'!J48)),MAX($B$3:B47)+1,"")</f>
        <v/>
      </c>
      <c r="E48">
        <f>IFERROR(MATCH(45,$B$4:$B$1003,0),"")</f>
        <v/>
      </c>
    </row>
    <row r="49">
      <c r="A49">
        <f>IF(AND(LEN('Our policies'!A49)&gt;0,ISNUMBER('Our policies'!J49)),'Our policies'!J49+46/100000,"")</f>
        <v/>
      </c>
      <c r="B49">
        <f>IF(AND(LEN('Our policies'!A49)&gt;0,ISNUMBER('Our policies'!J49)),MAX($B$3:B48)+1,"")</f>
        <v/>
      </c>
      <c r="E49">
        <f>IFERROR(MATCH(46,$B$4:$B$1003,0),"")</f>
        <v/>
      </c>
    </row>
    <row r="50">
      <c r="A50">
        <f>IF(AND(LEN('Our policies'!A50)&gt;0,ISNUMBER('Our policies'!J50)),'Our policies'!J50+47/100000,"")</f>
        <v/>
      </c>
      <c r="B50">
        <f>IF(AND(LEN('Our policies'!A50)&gt;0,ISNUMBER('Our policies'!J50)),MAX($B$3:B49)+1,"")</f>
        <v/>
      </c>
      <c r="E50">
        <f>IFERROR(MATCH(47,$B$4:$B$1003,0),"")</f>
        <v/>
      </c>
    </row>
    <row r="51">
      <c r="A51">
        <f>IF(AND(LEN('Our policies'!A51)&gt;0,ISNUMBER('Our policies'!J51)),'Our policies'!J51+48/100000,"")</f>
        <v/>
      </c>
      <c r="B51">
        <f>IF(AND(LEN('Our policies'!A51)&gt;0,ISNUMBER('Our policies'!J51)),MAX($B$3:B50)+1,"")</f>
        <v/>
      </c>
      <c r="E51">
        <f>IFERROR(MATCH(48,$B$4:$B$1003,0),"")</f>
        <v/>
      </c>
    </row>
    <row r="52">
      <c r="A52">
        <f>IF(AND(LEN('Our policies'!A52)&gt;0,ISNUMBER('Our policies'!J52)),'Our policies'!J52+49/100000,"")</f>
        <v/>
      </c>
      <c r="B52">
        <f>IF(AND(LEN('Our policies'!A52)&gt;0,ISNUMBER('Our policies'!J52)),MAX($B$3:B51)+1,"")</f>
        <v/>
      </c>
      <c r="E52">
        <f>IFERROR(MATCH(49,$B$4:$B$1003,0),"")</f>
        <v/>
      </c>
    </row>
    <row r="53">
      <c r="A53">
        <f>IF(AND(LEN('Our policies'!A53)&gt;0,ISNUMBER('Our policies'!J53)),'Our policies'!J53+50/100000,"")</f>
        <v/>
      </c>
      <c r="B53">
        <f>IF(AND(LEN('Our policies'!A53)&gt;0,ISNUMBER('Our policies'!J53)),MAX($B$3:B52)+1,"")</f>
        <v/>
      </c>
      <c r="E53">
        <f>IFERROR(MATCH(50,$B$4:$B$1003,0),"")</f>
        <v/>
      </c>
    </row>
    <row r="54">
      <c r="A54">
        <f>IF(AND(LEN('Our policies'!A54)&gt;0,ISNUMBER('Our policies'!J54)),'Our policies'!J54+51/100000,"")</f>
        <v/>
      </c>
      <c r="B54">
        <f>IF(AND(LEN('Our policies'!A54)&gt;0,ISNUMBER('Our policies'!J54)),MAX($B$3:B53)+1,"")</f>
        <v/>
      </c>
      <c r="E54">
        <f>IFERROR(MATCH(51,$B$4:$B$1003,0),"")</f>
        <v/>
      </c>
    </row>
    <row r="55">
      <c r="A55">
        <f>IF(AND(LEN('Our policies'!A55)&gt;0,ISNUMBER('Our policies'!J55)),'Our policies'!J55+52/100000,"")</f>
        <v/>
      </c>
      <c r="B55">
        <f>IF(AND(LEN('Our policies'!A55)&gt;0,ISNUMBER('Our policies'!J55)),MAX($B$3:B54)+1,"")</f>
        <v/>
      </c>
      <c r="E55">
        <f>IFERROR(MATCH(52,$B$4:$B$1003,0),"")</f>
        <v/>
      </c>
    </row>
    <row r="56">
      <c r="A56">
        <f>IF(AND(LEN('Our policies'!A56)&gt;0,ISNUMBER('Our policies'!J56)),'Our policies'!J56+53/100000,"")</f>
        <v/>
      </c>
      <c r="B56">
        <f>IF(AND(LEN('Our policies'!A56)&gt;0,ISNUMBER('Our policies'!J56)),MAX($B$3:B55)+1,"")</f>
        <v/>
      </c>
      <c r="E56">
        <f>IFERROR(MATCH(53,$B$4:$B$1003,0),"")</f>
        <v/>
      </c>
    </row>
    <row r="57">
      <c r="A57">
        <f>IF(AND(LEN('Our policies'!A57)&gt;0,ISNUMBER('Our policies'!J57)),'Our policies'!J57+54/100000,"")</f>
        <v/>
      </c>
      <c r="B57">
        <f>IF(AND(LEN('Our policies'!A57)&gt;0,ISNUMBER('Our policies'!J57)),MAX($B$3:B56)+1,"")</f>
        <v/>
      </c>
      <c r="E57">
        <f>IFERROR(MATCH(54,$B$4:$B$1003,0),"")</f>
        <v/>
      </c>
    </row>
    <row r="58">
      <c r="A58">
        <f>IF(AND(LEN('Our policies'!A58)&gt;0,ISNUMBER('Our policies'!J58)),'Our policies'!J58+55/100000,"")</f>
        <v/>
      </c>
      <c r="B58">
        <f>IF(AND(LEN('Our policies'!A58)&gt;0,ISNUMBER('Our policies'!J58)),MAX($B$3:B57)+1,"")</f>
        <v/>
      </c>
      <c r="E58">
        <f>IFERROR(MATCH(55,$B$4:$B$1003,0),"")</f>
        <v/>
      </c>
    </row>
    <row r="59">
      <c r="A59">
        <f>IF(AND(LEN('Our policies'!A59)&gt;0,ISNUMBER('Our policies'!J59)),'Our policies'!J59+56/100000,"")</f>
        <v/>
      </c>
      <c r="B59">
        <f>IF(AND(LEN('Our policies'!A59)&gt;0,ISNUMBER('Our policies'!J59)),MAX($B$3:B58)+1,"")</f>
        <v/>
      </c>
      <c r="E59">
        <f>IFERROR(MATCH(56,$B$4:$B$1003,0),"")</f>
        <v/>
      </c>
    </row>
    <row r="60">
      <c r="A60">
        <f>IF(AND(LEN('Our policies'!A60)&gt;0,ISNUMBER('Our policies'!J60)),'Our policies'!J60+57/100000,"")</f>
        <v/>
      </c>
      <c r="B60">
        <f>IF(AND(LEN('Our policies'!A60)&gt;0,ISNUMBER('Our policies'!J60)),MAX($B$3:B59)+1,"")</f>
        <v/>
      </c>
      <c r="E60">
        <f>IFERROR(MATCH(57,$B$4:$B$1003,0),"")</f>
        <v/>
      </c>
    </row>
    <row r="61">
      <c r="A61">
        <f>IF(AND(LEN('Our policies'!A61)&gt;0,ISNUMBER('Our policies'!J61)),'Our policies'!J61+58/100000,"")</f>
        <v/>
      </c>
      <c r="B61">
        <f>IF(AND(LEN('Our policies'!A61)&gt;0,ISNUMBER('Our policies'!J61)),MAX($B$3:B60)+1,"")</f>
        <v/>
      </c>
      <c r="E61">
        <f>IFERROR(MATCH(58,$B$4:$B$1003,0),"")</f>
        <v/>
      </c>
    </row>
    <row r="62">
      <c r="A62">
        <f>IF(AND(LEN('Our policies'!A62)&gt;0,ISNUMBER('Our policies'!J62)),'Our policies'!J62+59/100000,"")</f>
        <v/>
      </c>
      <c r="B62">
        <f>IF(AND(LEN('Our policies'!A62)&gt;0,ISNUMBER('Our policies'!J62)),MAX($B$3:B61)+1,"")</f>
        <v/>
      </c>
      <c r="E62">
        <f>IFERROR(MATCH(59,$B$4:$B$1003,0),"")</f>
        <v/>
      </c>
    </row>
    <row r="63">
      <c r="A63">
        <f>IF(AND(LEN('Our policies'!A63)&gt;0,ISNUMBER('Our policies'!J63)),'Our policies'!J63+60/100000,"")</f>
        <v/>
      </c>
      <c r="B63">
        <f>IF(AND(LEN('Our policies'!A63)&gt;0,ISNUMBER('Our policies'!J63)),MAX($B$3:B62)+1,"")</f>
        <v/>
      </c>
      <c r="E63">
        <f>IFERROR(MATCH(60,$B$4:$B$1003,0),"")</f>
        <v/>
      </c>
    </row>
    <row r="64">
      <c r="A64">
        <f>IF(AND(LEN('Our policies'!A64)&gt;0,ISNUMBER('Our policies'!J64)),'Our policies'!J64+61/100000,"")</f>
        <v/>
      </c>
      <c r="B64">
        <f>IF(AND(LEN('Our policies'!A64)&gt;0,ISNUMBER('Our policies'!J64)),MAX($B$3:B63)+1,"")</f>
        <v/>
      </c>
      <c r="E64">
        <f>IFERROR(MATCH(61,$B$4:$B$1003,0),"")</f>
        <v/>
      </c>
    </row>
    <row r="65">
      <c r="A65">
        <f>IF(AND(LEN('Our policies'!A65)&gt;0,ISNUMBER('Our policies'!J65)),'Our policies'!J65+62/100000,"")</f>
        <v/>
      </c>
      <c r="B65">
        <f>IF(AND(LEN('Our policies'!A65)&gt;0,ISNUMBER('Our policies'!J65)),MAX($B$3:B64)+1,"")</f>
        <v/>
      </c>
      <c r="E65">
        <f>IFERROR(MATCH(62,$B$4:$B$1003,0),"")</f>
        <v/>
      </c>
    </row>
    <row r="66">
      <c r="A66">
        <f>IF(AND(LEN('Our policies'!A66)&gt;0,ISNUMBER('Our policies'!J66)),'Our policies'!J66+63/100000,"")</f>
        <v/>
      </c>
      <c r="B66">
        <f>IF(AND(LEN('Our policies'!A66)&gt;0,ISNUMBER('Our policies'!J66)),MAX($B$3:B65)+1,"")</f>
        <v/>
      </c>
      <c r="E66">
        <f>IFERROR(MATCH(63,$B$4:$B$1003,0),"")</f>
        <v/>
      </c>
    </row>
    <row r="67">
      <c r="A67">
        <f>IF(AND(LEN('Our policies'!A67)&gt;0,ISNUMBER('Our policies'!J67)),'Our policies'!J67+64/100000,"")</f>
        <v/>
      </c>
      <c r="B67">
        <f>IF(AND(LEN('Our policies'!A67)&gt;0,ISNUMBER('Our policies'!J67)),MAX($B$3:B66)+1,"")</f>
        <v/>
      </c>
      <c r="E67">
        <f>IFERROR(MATCH(64,$B$4:$B$1003,0),"")</f>
        <v/>
      </c>
    </row>
    <row r="68">
      <c r="A68">
        <f>IF(AND(LEN('Our policies'!A68)&gt;0,ISNUMBER('Our policies'!J68)),'Our policies'!J68+65/100000,"")</f>
        <v/>
      </c>
      <c r="B68">
        <f>IF(AND(LEN('Our policies'!A68)&gt;0,ISNUMBER('Our policies'!J68)),MAX($B$3:B67)+1,"")</f>
        <v/>
      </c>
      <c r="E68">
        <f>IFERROR(MATCH(65,$B$4:$B$1003,0),"")</f>
        <v/>
      </c>
    </row>
    <row r="69">
      <c r="A69">
        <f>IF(AND(LEN('Our policies'!A69)&gt;0,ISNUMBER('Our policies'!J69)),'Our policies'!J69+66/100000,"")</f>
        <v/>
      </c>
      <c r="B69">
        <f>IF(AND(LEN('Our policies'!A69)&gt;0,ISNUMBER('Our policies'!J69)),MAX($B$3:B68)+1,"")</f>
        <v/>
      </c>
      <c r="E69">
        <f>IFERROR(MATCH(66,$B$4:$B$1003,0),"")</f>
        <v/>
      </c>
    </row>
    <row r="70">
      <c r="A70">
        <f>IF(AND(LEN('Our policies'!A70)&gt;0,ISNUMBER('Our policies'!J70)),'Our policies'!J70+67/100000,"")</f>
        <v/>
      </c>
      <c r="B70">
        <f>IF(AND(LEN('Our policies'!A70)&gt;0,ISNUMBER('Our policies'!J70)),MAX($B$3:B69)+1,"")</f>
        <v/>
      </c>
      <c r="E70">
        <f>IFERROR(MATCH(67,$B$4:$B$1003,0),"")</f>
        <v/>
      </c>
    </row>
    <row r="71">
      <c r="A71">
        <f>IF(AND(LEN('Our policies'!A71)&gt;0,ISNUMBER('Our policies'!J71)),'Our policies'!J71+68/100000,"")</f>
        <v/>
      </c>
      <c r="B71">
        <f>IF(AND(LEN('Our policies'!A71)&gt;0,ISNUMBER('Our policies'!J71)),MAX($B$3:B70)+1,"")</f>
        <v/>
      </c>
      <c r="E71">
        <f>IFERROR(MATCH(68,$B$4:$B$1003,0),"")</f>
        <v/>
      </c>
    </row>
    <row r="72">
      <c r="A72">
        <f>IF(AND(LEN('Our policies'!A72)&gt;0,ISNUMBER('Our policies'!J72)),'Our policies'!J72+69/100000,"")</f>
        <v/>
      </c>
      <c r="B72">
        <f>IF(AND(LEN('Our policies'!A72)&gt;0,ISNUMBER('Our policies'!J72)),MAX($B$3:B71)+1,"")</f>
        <v/>
      </c>
      <c r="E72">
        <f>IFERROR(MATCH(69,$B$4:$B$1003,0),"")</f>
        <v/>
      </c>
    </row>
    <row r="73">
      <c r="A73">
        <f>IF(AND(LEN('Our policies'!A73)&gt;0,ISNUMBER('Our policies'!J73)),'Our policies'!J73+70/100000,"")</f>
        <v/>
      </c>
      <c r="B73">
        <f>IF(AND(LEN('Our policies'!A73)&gt;0,ISNUMBER('Our policies'!J73)),MAX($B$3:B72)+1,"")</f>
        <v/>
      </c>
      <c r="E73">
        <f>IFERROR(MATCH(70,$B$4:$B$1003,0),"")</f>
        <v/>
      </c>
    </row>
    <row r="74">
      <c r="A74">
        <f>IF(AND(LEN('Our policies'!A74)&gt;0,ISNUMBER('Our policies'!J74)),'Our policies'!J74+71/100000,"")</f>
        <v/>
      </c>
      <c r="B74">
        <f>IF(AND(LEN('Our policies'!A74)&gt;0,ISNUMBER('Our policies'!J74)),MAX($B$3:B73)+1,"")</f>
        <v/>
      </c>
      <c r="E74">
        <f>IFERROR(MATCH(71,$B$4:$B$1003,0),"")</f>
        <v/>
      </c>
    </row>
    <row r="75">
      <c r="A75">
        <f>IF(AND(LEN('Our policies'!A75)&gt;0,ISNUMBER('Our policies'!J75)),'Our policies'!J75+72/100000,"")</f>
        <v/>
      </c>
      <c r="B75">
        <f>IF(AND(LEN('Our policies'!A75)&gt;0,ISNUMBER('Our policies'!J75)),MAX($B$3:B74)+1,"")</f>
        <v/>
      </c>
      <c r="E75">
        <f>IFERROR(MATCH(72,$B$4:$B$1003,0),"")</f>
        <v/>
      </c>
    </row>
    <row r="76">
      <c r="A76">
        <f>IF(AND(LEN('Our policies'!A76)&gt;0,ISNUMBER('Our policies'!J76)),'Our policies'!J76+73/100000,"")</f>
        <v/>
      </c>
      <c r="B76">
        <f>IF(AND(LEN('Our policies'!A76)&gt;0,ISNUMBER('Our policies'!J76)),MAX($B$3:B75)+1,"")</f>
        <v/>
      </c>
      <c r="E76">
        <f>IFERROR(MATCH(73,$B$4:$B$1003,0),"")</f>
        <v/>
      </c>
    </row>
    <row r="77">
      <c r="A77">
        <f>IF(AND(LEN('Our policies'!A77)&gt;0,ISNUMBER('Our policies'!J77)),'Our policies'!J77+74/100000,"")</f>
        <v/>
      </c>
      <c r="B77">
        <f>IF(AND(LEN('Our policies'!A77)&gt;0,ISNUMBER('Our policies'!J77)),MAX($B$3:B76)+1,"")</f>
        <v/>
      </c>
      <c r="E77">
        <f>IFERROR(MATCH(74,$B$4:$B$1003,0),"")</f>
        <v/>
      </c>
    </row>
    <row r="78">
      <c r="A78">
        <f>IF(AND(LEN('Our policies'!A78)&gt;0,ISNUMBER('Our policies'!J78)),'Our policies'!J78+75/100000,"")</f>
        <v/>
      </c>
      <c r="B78">
        <f>IF(AND(LEN('Our policies'!A78)&gt;0,ISNUMBER('Our policies'!J78)),MAX($B$3:B77)+1,"")</f>
        <v/>
      </c>
      <c r="E78">
        <f>IFERROR(MATCH(75,$B$4:$B$1003,0),"")</f>
        <v/>
      </c>
    </row>
    <row r="79">
      <c r="A79">
        <f>IF(AND(LEN('Our policies'!A79)&gt;0,ISNUMBER('Our policies'!J79)),'Our policies'!J79+76/100000,"")</f>
        <v/>
      </c>
      <c r="B79">
        <f>IF(AND(LEN('Our policies'!A79)&gt;0,ISNUMBER('Our policies'!J79)),MAX($B$3:B78)+1,"")</f>
        <v/>
      </c>
      <c r="E79">
        <f>IFERROR(MATCH(76,$B$4:$B$1003,0),"")</f>
        <v/>
      </c>
    </row>
    <row r="80">
      <c r="A80">
        <f>IF(AND(LEN('Our policies'!A80)&gt;0,ISNUMBER('Our policies'!J80)),'Our policies'!J80+77/100000,"")</f>
        <v/>
      </c>
      <c r="B80">
        <f>IF(AND(LEN('Our policies'!A80)&gt;0,ISNUMBER('Our policies'!J80)),MAX($B$3:B79)+1,"")</f>
        <v/>
      </c>
      <c r="E80">
        <f>IFERROR(MATCH(77,$B$4:$B$1003,0),"")</f>
        <v/>
      </c>
    </row>
    <row r="81">
      <c r="A81">
        <f>IF(AND(LEN('Our policies'!A81)&gt;0,ISNUMBER('Our policies'!J81)),'Our policies'!J81+78/100000,"")</f>
        <v/>
      </c>
      <c r="B81">
        <f>IF(AND(LEN('Our policies'!A81)&gt;0,ISNUMBER('Our policies'!J81)),MAX($B$3:B80)+1,"")</f>
        <v/>
      </c>
      <c r="E81">
        <f>IFERROR(MATCH(78,$B$4:$B$1003,0),"")</f>
        <v/>
      </c>
    </row>
    <row r="82">
      <c r="A82">
        <f>IF(AND(LEN('Our policies'!A82)&gt;0,ISNUMBER('Our policies'!J82)),'Our policies'!J82+79/100000,"")</f>
        <v/>
      </c>
      <c r="B82">
        <f>IF(AND(LEN('Our policies'!A82)&gt;0,ISNUMBER('Our policies'!J82)),MAX($B$3:B81)+1,"")</f>
        <v/>
      </c>
      <c r="E82">
        <f>IFERROR(MATCH(79,$B$4:$B$1003,0),"")</f>
        <v/>
      </c>
    </row>
    <row r="83">
      <c r="A83">
        <f>IF(AND(LEN('Our policies'!A83)&gt;0,ISNUMBER('Our policies'!J83)),'Our policies'!J83+80/100000,"")</f>
        <v/>
      </c>
      <c r="B83">
        <f>IF(AND(LEN('Our policies'!A83)&gt;0,ISNUMBER('Our policies'!J83)),MAX($B$3:B82)+1,"")</f>
        <v/>
      </c>
      <c r="E83">
        <f>IFERROR(MATCH(80,$B$4:$B$1003,0),"")</f>
        <v/>
      </c>
    </row>
    <row r="84">
      <c r="A84">
        <f>IF(AND(LEN('Our policies'!A84)&gt;0,ISNUMBER('Our policies'!J84)),'Our policies'!J84+81/100000,"")</f>
        <v/>
      </c>
      <c r="B84">
        <f>IF(AND(LEN('Our policies'!A84)&gt;0,ISNUMBER('Our policies'!J84)),MAX($B$3:B83)+1,"")</f>
        <v/>
      </c>
      <c r="E84">
        <f>IFERROR(MATCH(81,$B$4:$B$1003,0),"")</f>
        <v/>
      </c>
    </row>
    <row r="85">
      <c r="A85">
        <f>IF(AND(LEN('Our policies'!A85)&gt;0,ISNUMBER('Our policies'!J85)),'Our policies'!J85+82/100000,"")</f>
        <v/>
      </c>
      <c r="B85">
        <f>IF(AND(LEN('Our policies'!A85)&gt;0,ISNUMBER('Our policies'!J85)),MAX($B$3:B84)+1,"")</f>
        <v/>
      </c>
      <c r="E85">
        <f>IFERROR(MATCH(82,$B$4:$B$1003,0),"")</f>
        <v/>
      </c>
    </row>
    <row r="86">
      <c r="A86">
        <f>IF(AND(LEN('Our policies'!A86)&gt;0,ISNUMBER('Our policies'!J86)),'Our policies'!J86+83/100000,"")</f>
        <v/>
      </c>
      <c r="B86">
        <f>IF(AND(LEN('Our policies'!A86)&gt;0,ISNUMBER('Our policies'!J86)),MAX($B$3:B85)+1,"")</f>
        <v/>
      </c>
      <c r="E86">
        <f>IFERROR(MATCH(83,$B$4:$B$1003,0),"")</f>
        <v/>
      </c>
    </row>
    <row r="87">
      <c r="A87">
        <f>IF(AND(LEN('Our policies'!A87)&gt;0,ISNUMBER('Our policies'!J87)),'Our policies'!J87+84/100000,"")</f>
        <v/>
      </c>
      <c r="B87">
        <f>IF(AND(LEN('Our policies'!A87)&gt;0,ISNUMBER('Our policies'!J87)),MAX($B$3:B86)+1,"")</f>
        <v/>
      </c>
      <c r="E87">
        <f>IFERROR(MATCH(84,$B$4:$B$1003,0),"")</f>
        <v/>
      </c>
    </row>
    <row r="88">
      <c r="A88">
        <f>IF(AND(LEN('Our policies'!A88)&gt;0,ISNUMBER('Our policies'!J88)),'Our policies'!J88+85/100000,"")</f>
        <v/>
      </c>
      <c r="B88">
        <f>IF(AND(LEN('Our policies'!A88)&gt;0,ISNUMBER('Our policies'!J88)),MAX($B$3:B87)+1,"")</f>
        <v/>
      </c>
      <c r="E88">
        <f>IFERROR(MATCH(85,$B$4:$B$1003,0),"")</f>
        <v/>
      </c>
    </row>
    <row r="89">
      <c r="A89">
        <f>IF(AND(LEN('Our policies'!A89)&gt;0,ISNUMBER('Our policies'!J89)),'Our policies'!J89+86/100000,"")</f>
        <v/>
      </c>
      <c r="B89">
        <f>IF(AND(LEN('Our policies'!A89)&gt;0,ISNUMBER('Our policies'!J89)),MAX($B$3:B88)+1,"")</f>
        <v/>
      </c>
      <c r="E89">
        <f>IFERROR(MATCH(86,$B$4:$B$1003,0),"")</f>
        <v/>
      </c>
    </row>
    <row r="90">
      <c r="A90">
        <f>IF(AND(LEN('Our policies'!A90)&gt;0,ISNUMBER('Our policies'!J90)),'Our policies'!J90+87/100000,"")</f>
        <v/>
      </c>
      <c r="B90">
        <f>IF(AND(LEN('Our policies'!A90)&gt;0,ISNUMBER('Our policies'!J90)),MAX($B$3:B89)+1,"")</f>
        <v/>
      </c>
      <c r="E90">
        <f>IFERROR(MATCH(87,$B$4:$B$1003,0),"")</f>
        <v/>
      </c>
    </row>
    <row r="91">
      <c r="A91">
        <f>IF(AND(LEN('Our policies'!A91)&gt;0,ISNUMBER('Our policies'!J91)),'Our policies'!J91+88/100000,"")</f>
        <v/>
      </c>
      <c r="B91">
        <f>IF(AND(LEN('Our policies'!A91)&gt;0,ISNUMBER('Our policies'!J91)),MAX($B$3:B90)+1,"")</f>
        <v/>
      </c>
      <c r="E91">
        <f>IFERROR(MATCH(88,$B$4:$B$1003,0),"")</f>
        <v/>
      </c>
    </row>
    <row r="92">
      <c r="A92">
        <f>IF(AND(LEN('Our policies'!A92)&gt;0,ISNUMBER('Our policies'!J92)),'Our policies'!J92+89/100000,"")</f>
        <v/>
      </c>
      <c r="B92">
        <f>IF(AND(LEN('Our policies'!A92)&gt;0,ISNUMBER('Our policies'!J92)),MAX($B$3:B91)+1,"")</f>
        <v/>
      </c>
      <c r="E92">
        <f>IFERROR(MATCH(89,$B$4:$B$1003,0),"")</f>
        <v/>
      </c>
    </row>
    <row r="93">
      <c r="A93">
        <f>IF(AND(LEN('Our policies'!A93)&gt;0,ISNUMBER('Our policies'!J93)),'Our policies'!J93+90/100000,"")</f>
        <v/>
      </c>
      <c r="B93">
        <f>IF(AND(LEN('Our policies'!A93)&gt;0,ISNUMBER('Our policies'!J93)),MAX($B$3:B92)+1,"")</f>
        <v/>
      </c>
      <c r="E93">
        <f>IFERROR(MATCH(90,$B$4:$B$1003,0),"")</f>
        <v/>
      </c>
    </row>
    <row r="94">
      <c r="A94">
        <f>IF(AND(LEN('Our policies'!A94)&gt;0,ISNUMBER('Our policies'!J94)),'Our policies'!J94+91/100000,"")</f>
        <v/>
      </c>
      <c r="B94">
        <f>IF(AND(LEN('Our policies'!A94)&gt;0,ISNUMBER('Our policies'!J94)),MAX($B$3:B93)+1,"")</f>
        <v/>
      </c>
      <c r="E94">
        <f>IFERROR(MATCH(91,$B$4:$B$1003,0),"")</f>
        <v/>
      </c>
    </row>
    <row r="95">
      <c r="A95">
        <f>IF(AND(LEN('Our policies'!A95)&gt;0,ISNUMBER('Our policies'!J95)),'Our policies'!J95+92/100000,"")</f>
        <v/>
      </c>
      <c r="B95">
        <f>IF(AND(LEN('Our policies'!A95)&gt;0,ISNUMBER('Our policies'!J95)),MAX($B$3:B94)+1,"")</f>
        <v/>
      </c>
      <c r="E95">
        <f>IFERROR(MATCH(92,$B$4:$B$1003,0),"")</f>
        <v/>
      </c>
    </row>
    <row r="96">
      <c r="A96">
        <f>IF(AND(LEN('Our policies'!A96)&gt;0,ISNUMBER('Our policies'!J96)),'Our policies'!J96+93/100000,"")</f>
        <v/>
      </c>
      <c r="B96">
        <f>IF(AND(LEN('Our policies'!A96)&gt;0,ISNUMBER('Our policies'!J96)),MAX($B$3:B95)+1,"")</f>
        <v/>
      </c>
      <c r="E96">
        <f>IFERROR(MATCH(93,$B$4:$B$1003,0),"")</f>
        <v/>
      </c>
    </row>
    <row r="97">
      <c r="A97">
        <f>IF(AND(LEN('Our policies'!A97)&gt;0,ISNUMBER('Our policies'!J97)),'Our policies'!J97+94/100000,"")</f>
        <v/>
      </c>
      <c r="B97">
        <f>IF(AND(LEN('Our policies'!A97)&gt;0,ISNUMBER('Our policies'!J97)),MAX($B$3:B96)+1,"")</f>
        <v/>
      </c>
      <c r="E97">
        <f>IFERROR(MATCH(94,$B$4:$B$1003,0),"")</f>
        <v/>
      </c>
    </row>
    <row r="98">
      <c r="A98">
        <f>IF(AND(LEN('Our policies'!A98)&gt;0,ISNUMBER('Our policies'!J98)),'Our policies'!J98+95/100000,"")</f>
        <v/>
      </c>
      <c r="B98">
        <f>IF(AND(LEN('Our policies'!A98)&gt;0,ISNUMBER('Our policies'!J98)),MAX($B$3:B97)+1,"")</f>
        <v/>
      </c>
      <c r="E98">
        <f>IFERROR(MATCH(95,$B$4:$B$1003,0),"")</f>
        <v/>
      </c>
    </row>
    <row r="99">
      <c r="A99">
        <f>IF(AND(LEN('Our policies'!A99)&gt;0,ISNUMBER('Our policies'!J99)),'Our policies'!J99+96/100000,"")</f>
        <v/>
      </c>
      <c r="B99">
        <f>IF(AND(LEN('Our policies'!A99)&gt;0,ISNUMBER('Our policies'!J99)),MAX($B$3:B98)+1,"")</f>
        <v/>
      </c>
      <c r="E99">
        <f>IFERROR(MATCH(96,$B$4:$B$1003,0),"")</f>
        <v/>
      </c>
    </row>
    <row r="100">
      <c r="A100">
        <f>IF(AND(LEN('Our policies'!A100)&gt;0,ISNUMBER('Our policies'!J100)),'Our policies'!J100+97/100000,"")</f>
        <v/>
      </c>
      <c r="B100">
        <f>IF(AND(LEN('Our policies'!A100)&gt;0,ISNUMBER('Our policies'!J100)),MAX($B$3:B99)+1,"")</f>
        <v/>
      </c>
      <c r="E100">
        <f>IFERROR(MATCH(97,$B$4:$B$1003,0),"")</f>
        <v/>
      </c>
    </row>
    <row r="101">
      <c r="A101">
        <f>IF(AND(LEN('Our policies'!A101)&gt;0,ISNUMBER('Our policies'!J101)),'Our policies'!J101+98/100000,"")</f>
        <v/>
      </c>
      <c r="B101">
        <f>IF(AND(LEN('Our policies'!A101)&gt;0,ISNUMBER('Our policies'!J101)),MAX($B$3:B100)+1,"")</f>
        <v/>
      </c>
      <c r="E101">
        <f>IFERROR(MATCH(98,$B$4:$B$1003,0),"")</f>
        <v/>
      </c>
    </row>
    <row r="102">
      <c r="A102">
        <f>IF(AND(LEN('Our policies'!A102)&gt;0,ISNUMBER('Our policies'!J102)),'Our policies'!J102+99/100000,"")</f>
        <v/>
      </c>
      <c r="B102">
        <f>IF(AND(LEN('Our policies'!A102)&gt;0,ISNUMBER('Our policies'!J102)),MAX($B$3:B101)+1,"")</f>
        <v/>
      </c>
      <c r="E102">
        <f>IFERROR(MATCH(99,$B$4:$B$1003,0),"")</f>
        <v/>
      </c>
    </row>
    <row r="103">
      <c r="A103">
        <f>IF(AND(LEN('Our policies'!A103)&gt;0,ISNUMBER('Our policies'!J103)),'Our policies'!J103+100/100000,"")</f>
        <v/>
      </c>
      <c r="B103">
        <f>IF(AND(LEN('Our policies'!A103)&gt;0,ISNUMBER('Our policies'!J103)),MAX($B$3:B102)+1,"")</f>
        <v/>
      </c>
      <c r="E103">
        <f>IFERROR(MATCH(100,$B$4:$B$1003,0),"")</f>
        <v/>
      </c>
    </row>
    <row r="104">
      <c r="A104">
        <f>IF(AND(LEN('Our policies'!A104)&gt;0,ISNUMBER('Our policies'!J104)),'Our policies'!J104+101/100000,"")</f>
        <v/>
      </c>
      <c r="B104">
        <f>IF(AND(LEN('Our policies'!A104)&gt;0,ISNUMBER('Our policies'!J104)),MAX($B$3:B103)+1,"")</f>
        <v/>
      </c>
      <c r="E104">
        <f>IFERROR(MATCH(101,$B$4:$B$1003,0),"")</f>
        <v/>
      </c>
    </row>
    <row r="105">
      <c r="A105">
        <f>IF(AND(LEN('Our policies'!A105)&gt;0,ISNUMBER('Our policies'!J105)),'Our policies'!J105+102/100000,"")</f>
        <v/>
      </c>
      <c r="B105">
        <f>IF(AND(LEN('Our policies'!A105)&gt;0,ISNUMBER('Our policies'!J105)),MAX($B$3:B104)+1,"")</f>
        <v/>
      </c>
      <c r="E105">
        <f>IFERROR(MATCH(102,$B$4:$B$1003,0),"")</f>
        <v/>
      </c>
    </row>
    <row r="106">
      <c r="A106">
        <f>IF(AND(LEN('Our policies'!A106)&gt;0,ISNUMBER('Our policies'!J106)),'Our policies'!J106+103/100000,"")</f>
        <v/>
      </c>
      <c r="B106">
        <f>IF(AND(LEN('Our policies'!A106)&gt;0,ISNUMBER('Our policies'!J106)),MAX($B$3:B105)+1,"")</f>
        <v/>
      </c>
      <c r="E106">
        <f>IFERROR(MATCH(103,$B$4:$B$1003,0),"")</f>
        <v/>
      </c>
    </row>
    <row r="107">
      <c r="A107">
        <f>IF(AND(LEN('Our policies'!A107)&gt;0,ISNUMBER('Our policies'!J107)),'Our policies'!J107+104/100000,"")</f>
        <v/>
      </c>
      <c r="B107">
        <f>IF(AND(LEN('Our policies'!A107)&gt;0,ISNUMBER('Our policies'!J107)),MAX($B$3:B106)+1,"")</f>
        <v/>
      </c>
      <c r="E107">
        <f>IFERROR(MATCH(104,$B$4:$B$1003,0),"")</f>
        <v/>
      </c>
    </row>
    <row r="108">
      <c r="A108">
        <f>IF(AND(LEN('Our policies'!A108)&gt;0,ISNUMBER('Our policies'!J108)),'Our policies'!J108+105/100000,"")</f>
        <v/>
      </c>
      <c r="B108">
        <f>IF(AND(LEN('Our policies'!A108)&gt;0,ISNUMBER('Our policies'!J108)),MAX($B$3:B107)+1,"")</f>
        <v/>
      </c>
      <c r="E108">
        <f>IFERROR(MATCH(105,$B$4:$B$1003,0),"")</f>
        <v/>
      </c>
    </row>
    <row r="109">
      <c r="A109">
        <f>IF(AND(LEN('Our policies'!A109)&gt;0,ISNUMBER('Our policies'!J109)),'Our policies'!J109+106/100000,"")</f>
        <v/>
      </c>
      <c r="B109">
        <f>IF(AND(LEN('Our policies'!A109)&gt;0,ISNUMBER('Our policies'!J109)),MAX($B$3:B108)+1,"")</f>
        <v/>
      </c>
      <c r="E109">
        <f>IFERROR(MATCH(106,$B$4:$B$1003,0),"")</f>
        <v/>
      </c>
    </row>
    <row r="110">
      <c r="A110">
        <f>IF(AND(LEN('Our policies'!A110)&gt;0,ISNUMBER('Our policies'!J110)),'Our policies'!J110+107/100000,"")</f>
        <v/>
      </c>
      <c r="B110">
        <f>IF(AND(LEN('Our policies'!A110)&gt;0,ISNUMBER('Our policies'!J110)),MAX($B$3:B109)+1,"")</f>
        <v/>
      </c>
      <c r="E110">
        <f>IFERROR(MATCH(107,$B$4:$B$1003,0),"")</f>
        <v/>
      </c>
    </row>
    <row r="111">
      <c r="A111">
        <f>IF(AND(LEN('Our policies'!A111)&gt;0,ISNUMBER('Our policies'!J111)),'Our policies'!J111+108/100000,"")</f>
        <v/>
      </c>
      <c r="B111">
        <f>IF(AND(LEN('Our policies'!A111)&gt;0,ISNUMBER('Our policies'!J111)),MAX($B$3:B110)+1,"")</f>
        <v/>
      </c>
      <c r="E111">
        <f>IFERROR(MATCH(108,$B$4:$B$1003,0),"")</f>
        <v/>
      </c>
    </row>
    <row r="112">
      <c r="A112">
        <f>IF(AND(LEN('Our policies'!A112)&gt;0,ISNUMBER('Our policies'!J112)),'Our policies'!J112+109/100000,"")</f>
        <v/>
      </c>
      <c r="B112">
        <f>IF(AND(LEN('Our policies'!A112)&gt;0,ISNUMBER('Our policies'!J112)),MAX($B$3:B111)+1,"")</f>
        <v/>
      </c>
      <c r="E112">
        <f>IFERROR(MATCH(109,$B$4:$B$1003,0),"")</f>
        <v/>
      </c>
    </row>
    <row r="113">
      <c r="A113">
        <f>IF(AND(LEN('Our policies'!A113)&gt;0,ISNUMBER('Our policies'!J113)),'Our policies'!J113+110/100000,"")</f>
        <v/>
      </c>
      <c r="B113">
        <f>IF(AND(LEN('Our policies'!A113)&gt;0,ISNUMBER('Our policies'!J113)),MAX($B$3:B112)+1,"")</f>
        <v/>
      </c>
      <c r="E113">
        <f>IFERROR(MATCH(110,$B$4:$B$1003,0),"")</f>
        <v/>
      </c>
    </row>
    <row r="114">
      <c r="A114">
        <f>IF(AND(LEN('Our policies'!A114)&gt;0,ISNUMBER('Our policies'!J114)),'Our policies'!J114+111/100000,"")</f>
        <v/>
      </c>
      <c r="B114">
        <f>IF(AND(LEN('Our policies'!A114)&gt;0,ISNUMBER('Our policies'!J114)),MAX($B$3:B113)+1,"")</f>
        <v/>
      </c>
      <c r="E114">
        <f>IFERROR(MATCH(111,$B$4:$B$1003,0),"")</f>
        <v/>
      </c>
    </row>
    <row r="115">
      <c r="A115">
        <f>IF(AND(LEN('Our policies'!A115)&gt;0,ISNUMBER('Our policies'!J115)),'Our policies'!J115+112/100000,"")</f>
        <v/>
      </c>
      <c r="B115">
        <f>IF(AND(LEN('Our policies'!A115)&gt;0,ISNUMBER('Our policies'!J115)),MAX($B$3:B114)+1,"")</f>
        <v/>
      </c>
      <c r="E115">
        <f>IFERROR(MATCH(112,$B$4:$B$1003,0),"")</f>
        <v/>
      </c>
    </row>
    <row r="116">
      <c r="A116">
        <f>IF(AND(LEN('Our policies'!A116)&gt;0,ISNUMBER('Our policies'!J116)),'Our policies'!J116+113/100000,"")</f>
        <v/>
      </c>
      <c r="B116">
        <f>IF(AND(LEN('Our policies'!A116)&gt;0,ISNUMBER('Our policies'!J116)),MAX($B$3:B115)+1,"")</f>
        <v/>
      </c>
      <c r="E116">
        <f>IFERROR(MATCH(113,$B$4:$B$1003,0),"")</f>
        <v/>
      </c>
    </row>
    <row r="117">
      <c r="A117">
        <f>IF(AND(LEN('Our policies'!A117)&gt;0,ISNUMBER('Our policies'!J117)),'Our policies'!J117+114/100000,"")</f>
        <v/>
      </c>
      <c r="B117">
        <f>IF(AND(LEN('Our policies'!A117)&gt;0,ISNUMBER('Our policies'!J117)),MAX($B$3:B116)+1,"")</f>
        <v/>
      </c>
      <c r="E117">
        <f>IFERROR(MATCH(114,$B$4:$B$1003,0),"")</f>
        <v/>
      </c>
    </row>
    <row r="118">
      <c r="A118">
        <f>IF(AND(LEN('Our policies'!A118)&gt;0,ISNUMBER('Our policies'!J118)),'Our policies'!J118+115/100000,"")</f>
        <v/>
      </c>
      <c r="B118">
        <f>IF(AND(LEN('Our policies'!A118)&gt;0,ISNUMBER('Our policies'!J118)),MAX($B$3:B117)+1,"")</f>
        <v/>
      </c>
      <c r="E118">
        <f>IFERROR(MATCH(115,$B$4:$B$1003,0),"")</f>
        <v/>
      </c>
    </row>
    <row r="119">
      <c r="A119">
        <f>IF(AND(LEN('Our policies'!A119)&gt;0,ISNUMBER('Our policies'!J119)),'Our policies'!J119+116/100000,"")</f>
        <v/>
      </c>
      <c r="B119">
        <f>IF(AND(LEN('Our policies'!A119)&gt;0,ISNUMBER('Our policies'!J119)),MAX($B$3:B118)+1,"")</f>
        <v/>
      </c>
      <c r="E119">
        <f>IFERROR(MATCH(116,$B$4:$B$1003,0),"")</f>
        <v/>
      </c>
    </row>
    <row r="120">
      <c r="A120">
        <f>IF(AND(LEN('Our policies'!A120)&gt;0,ISNUMBER('Our policies'!J120)),'Our policies'!J120+117/100000,"")</f>
        <v/>
      </c>
      <c r="B120">
        <f>IF(AND(LEN('Our policies'!A120)&gt;0,ISNUMBER('Our policies'!J120)),MAX($B$3:B119)+1,"")</f>
        <v/>
      </c>
      <c r="E120">
        <f>IFERROR(MATCH(117,$B$4:$B$1003,0),"")</f>
        <v/>
      </c>
    </row>
    <row r="121">
      <c r="A121">
        <f>IF(AND(LEN('Our policies'!A121)&gt;0,ISNUMBER('Our policies'!J121)),'Our policies'!J121+118/100000,"")</f>
        <v/>
      </c>
      <c r="B121">
        <f>IF(AND(LEN('Our policies'!A121)&gt;0,ISNUMBER('Our policies'!J121)),MAX($B$3:B120)+1,"")</f>
        <v/>
      </c>
      <c r="E121">
        <f>IFERROR(MATCH(118,$B$4:$B$1003,0),"")</f>
        <v/>
      </c>
    </row>
    <row r="122">
      <c r="A122">
        <f>IF(AND(LEN('Our policies'!A122)&gt;0,ISNUMBER('Our policies'!J122)),'Our policies'!J122+119/100000,"")</f>
        <v/>
      </c>
      <c r="B122">
        <f>IF(AND(LEN('Our policies'!A122)&gt;0,ISNUMBER('Our policies'!J122)),MAX($B$3:B121)+1,"")</f>
        <v/>
      </c>
      <c r="E122">
        <f>IFERROR(MATCH(119,$B$4:$B$1003,0),"")</f>
        <v/>
      </c>
    </row>
    <row r="123">
      <c r="A123">
        <f>IF(AND(LEN('Our policies'!A123)&gt;0,ISNUMBER('Our policies'!J123)),'Our policies'!J123+120/100000,"")</f>
        <v/>
      </c>
      <c r="B123">
        <f>IF(AND(LEN('Our policies'!A123)&gt;0,ISNUMBER('Our policies'!J123)),MAX($B$3:B122)+1,"")</f>
        <v/>
      </c>
      <c r="E123">
        <f>IFERROR(MATCH(120,$B$4:$B$1003,0),"")</f>
        <v/>
      </c>
    </row>
    <row r="124">
      <c r="A124">
        <f>IF(AND(LEN('Our policies'!A124)&gt;0,ISNUMBER('Our policies'!J124)),'Our policies'!J124+121/100000,"")</f>
        <v/>
      </c>
      <c r="B124">
        <f>IF(AND(LEN('Our policies'!A124)&gt;0,ISNUMBER('Our policies'!J124)),MAX($B$3:B123)+1,"")</f>
        <v/>
      </c>
      <c r="E124">
        <f>IFERROR(MATCH(121,$B$4:$B$1003,0),"")</f>
        <v/>
      </c>
    </row>
    <row r="125">
      <c r="A125">
        <f>IF(AND(LEN('Our policies'!A125)&gt;0,ISNUMBER('Our policies'!J125)),'Our policies'!J125+122/100000,"")</f>
        <v/>
      </c>
      <c r="B125">
        <f>IF(AND(LEN('Our policies'!A125)&gt;0,ISNUMBER('Our policies'!J125)),MAX($B$3:B124)+1,"")</f>
        <v/>
      </c>
      <c r="E125">
        <f>IFERROR(MATCH(122,$B$4:$B$1003,0),"")</f>
        <v/>
      </c>
    </row>
    <row r="126">
      <c r="A126">
        <f>IF(AND(LEN('Our policies'!A126)&gt;0,ISNUMBER('Our policies'!J126)),'Our policies'!J126+123/100000,"")</f>
        <v/>
      </c>
      <c r="B126">
        <f>IF(AND(LEN('Our policies'!A126)&gt;0,ISNUMBER('Our policies'!J126)),MAX($B$3:B125)+1,"")</f>
        <v/>
      </c>
      <c r="E126">
        <f>IFERROR(MATCH(123,$B$4:$B$1003,0),"")</f>
        <v/>
      </c>
    </row>
    <row r="127">
      <c r="A127">
        <f>IF(AND(LEN('Our policies'!A127)&gt;0,ISNUMBER('Our policies'!J127)),'Our policies'!J127+124/100000,"")</f>
        <v/>
      </c>
      <c r="B127">
        <f>IF(AND(LEN('Our policies'!A127)&gt;0,ISNUMBER('Our policies'!J127)),MAX($B$3:B126)+1,"")</f>
        <v/>
      </c>
      <c r="E127">
        <f>IFERROR(MATCH(124,$B$4:$B$1003,0),"")</f>
        <v/>
      </c>
    </row>
    <row r="128">
      <c r="A128">
        <f>IF(AND(LEN('Our policies'!A128)&gt;0,ISNUMBER('Our policies'!J128)),'Our policies'!J128+125/100000,"")</f>
        <v/>
      </c>
      <c r="B128">
        <f>IF(AND(LEN('Our policies'!A128)&gt;0,ISNUMBER('Our policies'!J128)),MAX($B$3:B127)+1,"")</f>
        <v/>
      </c>
      <c r="E128">
        <f>IFERROR(MATCH(125,$B$4:$B$1003,0),"")</f>
        <v/>
      </c>
    </row>
    <row r="129">
      <c r="A129">
        <f>IF(AND(LEN('Our policies'!A129)&gt;0,ISNUMBER('Our policies'!J129)),'Our policies'!J129+126/100000,"")</f>
        <v/>
      </c>
      <c r="B129">
        <f>IF(AND(LEN('Our policies'!A129)&gt;0,ISNUMBER('Our policies'!J129)),MAX($B$3:B128)+1,"")</f>
        <v/>
      </c>
      <c r="E129">
        <f>IFERROR(MATCH(126,$B$4:$B$1003,0),"")</f>
        <v/>
      </c>
    </row>
    <row r="130">
      <c r="A130">
        <f>IF(AND(LEN('Our policies'!A130)&gt;0,ISNUMBER('Our policies'!J130)),'Our policies'!J130+127/100000,"")</f>
        <v/>
      </c>
      <c r="B130">
        <f>IF(AND(LEN('Our policies'!A130)&gt;0,ISNUMBER('Our policies'!J130)),MAX($B$3:B129)+1,"")</f>
        <v/>
      </c>
      <c r="E130">
        <f>IFERROR(MATCH(127,$B$4:$B$1003,0),"")</f>
        <v/>
      </c>
    </row>
    <row r="131">
      <c r="A131">
        <f>IF(AND(LEN('Our policies'!A131)&gt;0,ISNUMBER('Our policies'!J131)),'Our policies'!J131+128/100000,"")</f>
        <v/>
      </c>
      <c r="B131">
        <f>IF(AND(LEN('Our policies'!A131)&gt;0,ISNUMBER('Our policies'!J131)),MAX($B$3:B130)+1,"")</f>
        <v/>
      </c>
      <c r="E131">
        <f>IFERROR(MATCH(128,$B$4:$B$1003,0),"")</f>
        <v/>
      </c>
    </row>
    <row r="132">
      <c r="A132">
        <f>IF(AND(LEN('Our policies'!A132)&gt;0,ISNUMBER('Our policies'!J132)),'Our policies'!J132+129/100000,"")</f>
        <v/>
      </c>
      <c r="B132">
        <f>IF(AND(LEN('Our policies'!A132)&gt;0,ISNUMBER('Our policies'!J132)),MAX($B$3:B131)+1,"")</f>
        <v/>
      </c>
      <c r="E132">
        <f>IFERROR(MATCH(129,$B$4:$B$1003,0),"")</f>
        <v/>
      </c>
    </row>
    <row r="133">
      <c r="A133">
        <f>IF(AND(LEN('Our policies'!A133)&gt;0,ISNUMBER('Our policies'!J133)),'Our policies'!J133+130/100000,"")</f>
        <v/>
      </c>
      <c r="B133">
        <f>IF(AND(LEN('Our policies'!A133)&gt;0,ISNUMBER('Our policies'!J133)),MAX($B$3:B132)+1,"")</f>
        <v/>
      </c>
      <c r="E133">
        <f>IFERROR(MATCH(130,$B$4:$B$1003,0),"")</f>
        <v/>
      </c>
    </row>
    <row r="134">
      <c r="A134">
        <f>IF(AND(LEN('Our policies'!A134)&gt;0,ISNUMBER('Our policies'!J134)),'Our policies'!J134+131/100000,"")</f>
        <v/>
      </c>
      <c r="B134">
        <f>IF(AND(LEN('Our policies'!A134)&gt;0,ISNUMBER('Our policies'!J134)),MAX($B$3:B133)+1,"")</f>
        <v/>
      </c>
      <c r="E134">
        <f>IFERROR(MATCH(131,$B$4:$B$1003,0),"")</f>
        <v/>
      </c>
    </row>
    <row r="135">
      <c r="A135">
        <f>IF(AND(LEN('Our policies'!A135)&gt;0,ISNUMBER('Our policies'!J135)),'Our policies'!J135+132/100000,"")</f>
        <v/>
      </c>
      <c r="B135">
        <f>IF(AND(LEN('Our policies'!A135)&gt;0,ISNUMBER('Our policies'!J135)),MAX($B$3:B134)+1,"")</f>
        <v/>
      </c>
      <c r="E135">
        <f>IFERROR(MATCH(132,$B$4:$B$1003,0),"")</f>
        <v/>
      </c>
    </row>
    <row r="136">
      <c r="A136">
        <f>IF(AND(LEN('Our policies'!A136)&gt;0,ISNUMBER('Our policies'!J136)),'Our policies'!J136+133/100000,"")</f>
        <v/>
      </c>
      <c r="B136">
        <f>IF(AND(LEN('Our policies'!A136)&gt;0,ISNUMBER('Our policies'!J136)),MAX($B$3:B135)+1,"")</f>
        <v/>
      </c>
      <c r="E136">
        <f>IFERROR(MATCH(133,$B$4:$B$1003,0),"")</f>
        <v/>
      </c>
    </row>
    <row r="137">
      <c r="A137">
        <f>IF(AND(LEN('Our policies'!A137)&gt;0,ISNUMBER('Our policies'!J137)),'Our policies'!J137+134/100000,"")</f>
        <v/>
      </c>
      <c r="B137">
        <f>IF(AND(LEN('Our policies'!A137)&gt;0,ISNUMBER('Our policies'!J137)),MAX($B$3:B136)+1,"")</f>
        <v/>
      </c>
      <c r="E137">
        <f>IFERROR(MATCH(134,$B$4:$B$1003,0),"")</f>
        <v/>
      </c>
    </row>
    <row r="138">
      <c r="A138">
        <f>IF(AND(LEN('Our policies'!A138)&gt;0,ISNUMBER('Our policies'!J138)),'Our policies'!J138+135/100000,"")</f>
        <v/>
      </c>
      <c r="B138">
        <f>IF(AND(LEN('Our policies'!A138)&gt;0,ISNUMBER('Our policies'!J138)),MAX($B$3:B137)+1,"")</f>
        <v/>
      </c>
      <c r="E138">
        <f>IFERROR(MATCH(135,$B$4:$B$1003,0),"")</f>
        <v/>
      </c>
    </row>
    <row r="139">
      <c r="A139">
        <f>IF(AND(LEN('Our policies'!A139)&gt;0,ISNUMBER('Our policies'!J139)),'Our policies'!J139+136/100000,"")</f>
        <v/>
      </c>
      <c r="B139">
        <f>IF(AND(LEN('Our policies'!A139)&gt;0,ISNUMBER('Our policies'!J139)),MAX($B$3:B138)+1,"")</f>
        <v/>
      </c>
      <c r="E139">
        <f>IFERROR(MATCH(136,$B$4:$B$1003,0),"")</f>
        <v/>
      </c>
    </row>
    <row r="140">
      <c r="A140">
        <f>IF(AND(LEN('Our policies'!A140)&gt;0,ISNUMBER('Our policies'!J140)),'Our policies'!J140+137/100000,"")</f>
        <v/>
      </c>
      <c r="B140">
        <f>IF(AND(LEN('Our policies'!A140)&gt;0,ISNUMBER('Our policies'!J140)),MAX($B$3:B139)+1,"")</f>
        <v/>
      </c>
      <c r="E140">
        <f>IFERROR(MATCH(137,$B$4:$B$1003,0),"")</f>
        <v/>
      </c>
    </row>
    <row r="141">
      <c r="A141">
        <f>IF(AND(LEN('Our policies'!A141)&gt;0,ISNUMBER('Our policies'!J141)),'Our policies'!J141+138/100000,"")</f>
        <v/>
      </c>
      <c r="B141">
        <f>IF(AND(LEN('Our policies'!A141)&gt;0,ISNUMBER('Our policies'!J141)),MAX($B$3:B140)+1,"")</f>
        <v/>
      </c>
      <c r="E141">
        <f>IFERROR(MATCH(138,$B$4:$B$1003,0),"")</f>
        <v/>
      </c>
    </row>
    <row r="142">
      <c r="A142">
        <f>IF(AND(LEN('Our policies'!A142)&gt;0,ISNUMBER('Our policies'!J142)),'Our policies'!J142+139/100000,"")</f>
        <v/>
      </c>
      <c r="B142">
        <f>IF(AND(LEN('Our policies'!A142)&gt;0,ISNUMBER('Our policies'!J142)),MAX($B$3:B141)+1,"")</f>
        <v/>
      </c>
      <c r="E142">
        <f>IFERROR(MATCH(139,$B$4:$B$1003,0),"")</f>
        <v/>
      </c>
    </row>
    <row r="143">
      <c r="A143">
        <f>IF(AND(LEN('Our policies'!A143)&gt;0,ISNUMBER('Our policies'!J143)),'Our policies'!J143+140/100000,"")</f>
        <v/>
      </c>
      <c r="B143">
        <f>IF(AND(LEN('Our policies'!A143)&gt;0,ISNUMBER('Our policies'!J143)),MAX($B$3:B142)+1,"")</f>
        <v/>
      </c>
      <c r="E143">
        <f>IFERROR(MATCH(140,$B$4:$B$1003,0),"")</f>
        <v/>
      </c>
    </row>
    <row r="144">
      <c r="A144">
        <f>IF(AND(LEN('Our policies'!A144)&gt;0,ISNUMBER('Our policies'!J144)),'Our policies'!J144+141/100000,"")</f>
        <v/>
      </c>
      <c r="B144">
        <f>IF(AND(LEN('Our policies'!A144)&gt;0,ISNUMBER('Our policies'!J144)),MAX($B$3:B143)+1,"")</f>
        <v/>
      </c>
      <c r="E144">
        <f>IFERROR(MATCH(141,$B$4:$B$1003,0),"")</f>
        <v/>
      </c>
    </row>
    <row r="145">
      <c r="A145">
        <f>IF(AND(LEN('Our policies'!A145)&gt;0,ISNUMBER('Our policies'!J145)),'Our policies'!J145+142/100000,"")</f>
        <v/>
      </c>
      <c r="B145">
        <f>IF(AND(LEN('Our policies'!A145)&gt;0,ISNUMBER('Our policies'!J145)),MAX($B$3:B144)+1,"")</f>
        <v/>
      </c>
      <c r="E145">
        <f>IFERROR(MATCH(142,$B$4:$B$1003,0),"")</f>
        <v/>
      </c>
    </row>
    <row r="146">
      <c r="A146">
        <f>IF(AND(LEN('Our policies'!A146)&gt;0,ISNUMBER('Our policies'!J146)),'Our policies'!J146+143/100000,"")</f>
        <v/>
      </c>
      <c r="B146">
        <f>IF(AND(LEN('Our policies'!A146)&gt;0,ISNUMBER('Our policies'!J146)),MAX($B$3:B145)+1,"")</f>
        <v/>
      </c>
      <c r="E146">
        <f>IFERROR(MATCH(143,$B$4:$B$1003,0),"")</f>
        <v/>
      </c>
    </row>
    <row r="147">
      <c r="A147">
        <f>IF(AND(LEN('Our policies'!A147)&gt;0,ISNUMBER('Our policies'!J147)),'Our policies'!J147+144/100000,"")</f>
        <v/>
      </c>
      <c r="B147">
        <f>IF(AND(LEN('Our policies'!A147)&gt;0,ISNUMBER('Our policies'!J147)),MAX($B$3:B146)+1,"")</f>
        <v/>
      </c>
      <c r="E147">
        <f>IFERROR(MATCH(144,$B$4:$B$1003,0),"")</f>
        <v/>
      </c>
    </row>
    <row r="148">
      <c r="A148">
        <f>IF(AND(LEN('Our policies'!A148)&gt;0,ISNUMBER('Our policies'!J148)),'Our policies'!J148+145/100000,"")</f>
        <v/>
      </c>
      <c r="B148">
        <f>IF(AND(LEN('Our policies'!A148)&gt;0,ISNUMBER('Our policies'!J148)),MAX($B$3:B147)+1,"")</f>
        <v/>
      </c>
      <c r="E148">
        <f>IFERROR(MATCH(145,$B$4:$B$1003,0),"")</f>
        <v/>
      </c>
    </row>
    <row r="149">
      <c r="A149">
        <f>IF(AND(LEN('Our policies'!A149)&gt;0,ISNUMBER('Our policies'!J149)),'Our policies'!J149+146/100000,"")</f>
        <v/>
      </c>
      <c r="B149">
        <f>IF(AND(LEN('Our policies'!A149)&gt;0,ISNUMBER('Our policies'!J149)),MAX($B$3:B148)+1,"")</f>
        <v/>
      </c>
      <c r="E149">
        <f>IFERROR(MATCH(146,$B$4:$B$1003,0),"")</f>
        <v/>
      </c>
    </row>
    <row r="150">
      <c r="A150">
        <f>IF(AND(LEN('Our policies'!A150)&gt;0,ISNUMBER('Our policies'!J150)),'Our policies'!J150+147/100000,"")</f>
        <v/>
      </c>
      <c r="B150">
        <f>IF(AND(LEN('Our policies'!A150)&gt;0,ISNUMBER('Our policies'!J150)),MAX($B$3:B149)+1,"")</f>
        <v/>
      </c>
      <c r="E150">
        <f>IFERROR(MATCH(147,$B$4:$B$1003,0),"")</f>
        <v/>
      </c>
    </row>
    <row r="151">
      <c r="A151">
        <f>IF(AND(LEN('Our policies'!A151)&gt;0,ISNUMBER('Our policies'!J151)),'Our policies'!J151+148/100000,"")</f>
        <v/>
      </c>
      <c r="B151">
        <f>IF(AND(LEN('Our policies'!A151)&gt;0,ISNUMBER('Our policies'!J151)),MAX($B$3:B150)+1,"")</f>
        <v/>
      </c>
      <c r="E151">
        <f>IFERROR(MATCH(148,$B$4:$B$1003,0),"")</f>
        <v/>
      </c>
    </row>
    <row r="152">
      <c r="A152">
        <f>IF(AND(LEN('Our policies'!A152)&gt;0,ISNUMBER('Our policies'!J152)),'Our policies'!J152+149/100000,"")</f>
        <v/>
      </c>
      <c r="B152">
        <f>IF(AND(LEN('Our policies'!A152)&gt;0,ISNUMBER('Our policies'!J152)),MAX($B$3:B151)+1,"")</f>
        <v/>
      </c>
      <c r="E152">
        <f>IFERROR(MATCH(149,$B$4:$B$1003,0),"")</f>
        <v/>
      </c>
    </row>
    <row r="153">
      <c r="A153">
        <f>IF(AND(LEN('Our policies'!A153)&gt;0,ISNUMBER('Our policies'!J153)),'Our policies'!J153+150/100000,"")</f>
        <v/>
      </c>
      <c r="B153">
        <f>IF(AND(LEN('Our policies'!A153)&gt;0,ISNUMBER('Our policies'!J153)),MAX($B$3:B152)+1,"")</f>
        <v/>
      </c>
      <c r="E153">
        <f>IFERROR(MATCH(150,$B$4:$B$1003,0),"")</f>
        <v/>
      </c>
    </row>
    <row r="154">
      <c r="A154">
        <f>IF(AND(LEN('Our policies'!A154)&gt;0,ISNUMBER('Our policies'!J154)),'Our policies'!J154+151/100000,"")</f>
        <v/>
      </c>
      <c r="B154">
        <f>IF(AND(LEN('Our policies'!A154)&gt;0,ISNUMBER('Our policies'!J154)),MAX($B$3:B153)+1,"")</f>
        <v/>
      </c>
      <c r="E154">
        <f>IFERROR(MATCH(151,$B$4:$B$1003,0),"")</f>
        <v/>
      </c>
    </row>
    <row r="155">
      <c r="A155">
        <f>IF(AND(LEN('Our policies'!A155)&gt;0,ISNUMBER('Our policies'!J155)),'Our policies'!J155+152/100000,"")</f>
        <v/>
      </c>
      <c r="B155">
        <f>IF(AND(LEN('Our policies'!A155)&gt;0,ISNUMBER('Our policies'!J155)),MAX($B$3:B154)+1,"")</f>
        <v/>
      </c>
      <c r="E155">
        <f>IFERROR(MATCH(152,$B$4:$B$1003,0),"")</f>
        <v/>
      </c>
    </row>
    <row r="156">
      <c r="A156">
        <f>IF(AND(LEN('Our policies'!A156)&gt;0,ISNUMBER('Our policies'!J156)),'Our policies'!J156+153/100000,"")</f>
        <v/>
      </c>
      <c r="B156">
        <f>IF(AND(LEN('Our policies'!A156)&gt;0,ISNUMBER('Our policies'!J156)),MAX($B$3:B155)+1,"")</f>
        <v/>
      </c>
      <c r="E156">
        <f>IFERROR(MATCH(153,$B$4:$B$1003,0),"")</f>
        <v/>
      </c>
    </row>
    <row r="157">
      <c r="A157">
        <f>IF(AND(LEN('Our policies'!A157)&gt;0,ISNUMBER('Our policies'!J157)),'Our policies'!J157+154/100000,"")</f>
        <v/>
      </c>
      <c r="B157">
        <f>IF(AND(LEN('Our policies'!A157)&gt;0,ISNUMBER('Our policies'!J157)),MAX($B$3:B156)+1,"")</f>
        <v/>
      </c>
      <c r="E157">
        <f>IFERROR(MATCH(154,$B$4:$B$1003,0),"")</f>
        <v/>
      </c>
    </row>
    <row r="158">
      <c r="A158">
        <f>IF(AND(LEN('Our policies'!A158)&gt;0,ISNUMBER('Our policies'!J158)),'Our policies'!J158+155/100000,"")</f>
        <v/>
      </c>
      <c r="B158">
        <f>IF(AND(LEN('Our policies'!A158)&gt;0,ISNUMBER('Our policies'!J158)),MAX($B$3:B157)+1,"")</f>
        <v/>
      </c>
      <c r="E158">
        <f>IFERROR(MATCH(155,$B$4:$B$1003,0),"")</f>
        <v/>
      </c>
    </row>
    <row r="159">
      <c r="A159">
        <f>IF(AND(LEN('Our policies'!A159)&gt;0,ISNUMBER('Our policies'!J159)),'Our policies'!J159+156/100000,"")</f>
        <v/>
      </c>
      <c r="B159">
        <f>IF(AND(LEN('Our policies'!A159)&gt;0,ISNUMBER('Our policies'!J159)),MAX($B$3:B158)+1,"")</f>
        <v/>
      </c>
      <c r="E159">
        <f>IFERROR(MATCH(156,$B$4:$B$1003,0),"")</f>
        <v/>
      </c>
    </row>
    <row r="160">
      <c r="A160">
        <f>IF(AND(LEN('Our policies'!A160)&gt;0,ISNUMBER('Our policies'!J160)),'Our policies'!J160+157/100000,"")</f>
        <v/>
      </c>
      <c r="B160">
        <f>IF(AND(LEN('Our policies'!A160)&gt;0,ISNUMBER('Our policies'!J160)),MAX($B$3:B159)+1,"")</f>
        <v/>
      </c>
      <c r="E160">
        <f>IFERROR(MATCH(157,$B$4:$B$1003,0),"")</f>
        <v/>
      </c>
    </row>
    <row r="161">
      <c r="A161">
        <f>IF(AND(LEN('Our policies'!A161)&gt;0,ISNUMBER('Our policies'!J161)),'Our policies'!J161+158/100000,"")</f>
        <v/>
      </c>
      <c r="B161">
        <f>IF(AND(LEN('Our policies'!A161)&gt;0,ISNUMBER('Our policies'!J161)),MAX($B$3:B160)+1,"")</f>
        <v/>
      </c>
      <c r="E161">
        <f>IFERROR(MATCH(158,$B$4:$B$1003,0),"")</f>
        <v/>
      </c>
    </row>
    <row r="162">
      <c r="A162">
        <f>IF(AND(LEN('Our policies'!A162)&gt;0,ISNUMBER('Our policies'!J162)),'Our policies'!J162+159/100000,"")</f>
        <v/>
      </c>
      <c r="B162">
        <f>IF(AND(LEN('Our policies'!A162)&gt;0,ISNUMBER('Our policies'!J162)),MAX($B$3:B161)+1,"")</f>
        <v/>
      </c>
      <c r="E162">
        <f>IFERROR(MATCH(159,$B$4:$B$1003,0),"")</f>
        <v/>
      </c>
    </row>
    <row r="163">
      <c r="A163">
        <f>IF(AND(LEN('Our policies'!A163)&gt;0,ISNUMBER('Our policies'!J163)),'Our policies'!J163+160/100000,"")</f>
        <v/>
      </c>
      <c r="B163">
        <f>IF(AND(LEN('Our policies'!A163)&gt;0,ISNUMBER('Our policies'!J163)),MAX($B$3:B162)+1,"")</f>
        <v/>
      </c>
      <c r="E163">
        <f>IFERROR(MATCH(160,$B$4:$B$1003,0),"")</f>
        <v/>
      </c>
    </row>
    <row r="164">
      <c r="A164">
        <f>IF(AND(LEN('Our policies'!A164)&gt;0,ISNUMBER('Our policies'!J164)),'Our policies'!J164+161/100000,"")</f>
        <v/>
      </c>
      <c r="B164">
        <f>IF(AND(LEN('Our policies'!A164)&gt;0,ISNUMBER('Our policies'!J164)),MAX($B$3:B163)+1,"")</f>
        <v/>
      </c>
      <c r="E164">
        <f>IFERROR(MATCH(161,$B$4:$B$1003,0),"")</f>
        <v/>
      </c>
    </row>
    <row r="165">
      <c r="A165">
        <f>IF(AND(LEN('Our policies'!A165)&gt;0,ISNUMBER('Our policies'!J165)),'Our policies'!J165+162/100000,"")</f>
        <v/>
      </c>
      <c r="B165">
        <f>IF(AND(LEN('Our policies'!A165)&gt;0,ISNUMBER('Our policies'!J165)),MAX($B$3:B164)+1,"")</f>
        <v/>
      </c>
      <c r="E165">
        <f>IFERROR(MATCH(162,$B$4:$B$1003,0),"")</f>
        <v/>
      </c>
    </row>
    <row r="166">
      <c r="A166">
        <f>IF(AND(LEN('Our policies'!A166)&gt;0,ISNUMBER('Our policies'!J166)),'Our policies'!J166+163/100000,"")</f>
        <v/>
      </c>
      <c r="B166">
        <f>IF(AND(LEN('Our policies'!A166)&gt;0,ISNUMBER('Our policies'!J166)),MAX($B$3:B165)+1,"")</f>
        <v/>
      </c>
      <c r="E166">
        <f>IFERROR(MATCH(163,$B$4:$B$1003,0),"")</f>
        <v/>
      </c>
    </row>
    <row r="167">
      <c r="A167">
        <f>IF(AND(LEN('Our policies'!A167)&gt;0,ISNUMBER('Our policies'!J167)),'Our policies'!J167+164/100000,"")</f>
        <v/>
      </c>
      <c r="B167">
        <f>IF(AND(LEN('Our policies'!A167)&gt;0,ISNUMBER('Our policies'!J167)),MAX($B$3:B166)+1,"")</f>
        <v/>
      </c>
      <c r="E167">
        <f>IFERROR(MATCH(164,$B$4:$B$1003,0),"")</f>
        <v/>
      </c>
    </row>
    <row r="168">
      <c r="A168">
        <f>IF(AND(LEN('Our policies'!A168)&gt;0,ISNUMBER('Our policies'!J168)),'Our policies'!J168+165/100000,"")</f>
        <v/>
      </c>
      <c r="B168">
        <f>IF(AND(LEN('Our policies'!A168)&gt;0,ISNUMBER('Our policies'!J168)),MAX($B$3:B167)+1,"")</f>
        <v/>
      </c>
      <c r="E168">
        <f>IFERROR(MATCH(165,$B$4:$B$1003,0),"")</f>
        <v/>
      </c>
    </row>
    <row r="169">
      <c r="A169">
        <f>IF(AND(LEN('Our policies'!A169)&gt;0,ISNUMBER('Our policies'!J169)),'Our policies'!J169+166/100000,"")</f>
        <v/>
      </c>
      <c r="B169">
        <f>IF(AND(LEN('Our policies'!A169)&gt;0,ISNUMBER('Our policies'!J169)),MAX($B$3:B168)+1,"")</f>
        <v/>
      </c>
      <c r="E169">
        <f>IFERROR(MATCH(166,$B$4:$B$1003,0),"")</f>
        <v/>
      </c>
    </row>
    <row r="170">
      <c r="A170">
        <f>IF(AND(LEN('Our policies'!A170)&gt;0,ISNUMBER('Our policies'!J170)),'Our policies'!J170+167/100000,"")</f>
        <v/>
      </c>
      <c r="B170">
        <f>IF(AND(LEN('Our policies'!A170)&gt;0,ISNUMBER('Our policies'!J170)),MAX($B$3:B169)+1,"")</f>
        <v/>
      </c>
      <c r="E170">
        <f>IFERROR(MATCH(167,$B$4:$B$1003,0),"")</f>
        <v/>
      </c>
    </row>
    <row r="171">
      <c r="A171">
        <f>IF(AND(LEN('Our policies'!A171)&gt;0,ISNUMBER('Our policies'!J171)),'Our policies'!J171+168/100000,"")</f>
        <v/>
      </c>
      <c r="B171">
        <f>IF(AND(LEN('Our policies'!A171)&gt;0,ISNUMBER('Our policies'!J171)),MAX($B$3:B170)+1,"")</f>
        <v/>
      </c>
      <c r="E171">
        <f>IFERROR(MATCH(168,$B$4:$B$1003,0),"")</f>
        <v/>
      </c>
    </row>
    <row r="172">
      <c r="A172">
        <f>IF(AND(LEN('Our policies'!A172)&gt;0,ISNUMBER('Our policies'!J172)),'Our policies'!J172+169/100000,"")</f>
        <v/>
      </c>
      <c r="B172">
        <f>IF(AND(LEN('Our policies'!A172)&gt;0,ISNUMBER('Our policies'!J172)),MAX($B$3:B171)+1,"")</f>
        <v/>
      </c>
      <c r="E172">
        <f>IFERROR(MATCH(169,$B$4:$B$1003,0),"")</f>
        <v/>
      </c>
    </row>
    <row r="173">
      <c r="A173">
        <f>IF(AND(LEN('Our policies'!A173)&gt;0,ISNUMBER('Our policies'!J173)),'Our policies'!J173+170/100000,"")</f>
        <v/>
      </c>
      <c r="B173">
        <f>IF(AND(LEN('Our policies'!A173)&gt;0,ISNUMBER('Our policies'!J173)),MAX($B$3:B172)+1,"")</f>
        <v/>
      </c>
      <c r="E173">
        <f>IFERROR(MATCH(170,$B$4:$B$1003,0),"")</f>
        <v/>
      </c>
    </row>
    <row r="174">
      <c r="A174">
        <f>IF(AND(LEN('Our policies'!A174)&gt;0,ISNUMBER('Our policies'!J174)),'Our policies'!J174+171/100000,"")</f>
        <v/>
      </c>
      <c r="B174">
        <f>IF(AND(LEN('Our policies'!A174)&gt;0,ISNUMBER('Our policies'!J174)),MAX($B$3:B173)+1,"")</f>
        <v/>
      </c>
      <c r="E174">
        <f>IFERROR(MATCH(171,$B$4:$B$1003,0),"")</f>
        <v/>
      </c>
    </row>
    <row r="175">
      <c r="A175">
        <f>IF(AND(LEN('Our policies'!A175)&gt;0,ISNUMBER('Our policies'!J175)),'Our policies'!J175+172/100000,"")</f>
        <v/>
      </c>
      <c r="B175">
        <f>IF(AND(LEN('Our policies'!A175)&gt;0,ISNUMBER('Our policies'!J175)),MAX($B$3:B174)+1,"")</f>
        <v/>
      </c>
      <c r="E175">
        <f>IFERROR(MATCH(172,$B$4:$B$1003,0),"")</f>
        <v/>
      </c>
    </row>
    <row r="176">
      <c r="A176">
        <f>IF(AND(LEN('Our policies'!A176)&gt;0,ISNUMBER('Our policies'!J176)),'Our policies'!J176+173/100000,"")</f>
        <v/>
      </c>
      <c r="B176">
        <f>IF(AND(LEN('Our policies'!A176)&gt;0,ISNUMBER('Our policies'!J176)),MAX($B$3:B175)+1,"")</f>
        <v/>
      </c>
      <c r="E176">
        <f>IFERROR(MATCH(173,$B$4:$B$1003,0),"")</f>
        <v/>
      </c>
    </row>
    <row r="177">
      <c r="A177">
        <f>IF(AND(LEN('Our policies'!A177)&gt;0,ISNUMBER('Our policies'!J177)),'Our policies'!J177+174/100000,"")</f>
        <v/>
      </c>
      <c r="B177">
        <f>IF(AND(LEN('Our policies'!A177)&gt;0,ISNUMBER('Our policies'!J177)),MAX($B$3:B176)+1,"")</f>
        <v/>
      </c>
      <c r="E177">
        <f>IFERROR(MATCH(174,$B$4:$B$1003,0),"")</f>
        <v/>
      </c>
    </row>
    <row r="178">
      <c r="A178">
        <f>IF(AND(LEN('Our policies'!A178)&gt;0,ISNUMBER('Our policies'!J178)),'Our policies'!J178+175/100000,"")</f>
        <v/>
      </c>
      <c r="B178">
        <f>IF(AND(LEN('Our policies'!A178)&gt;0,ISNUMBER('Our policies'!J178)),MAX($B$3:B177)+1,"")</f>
        <v/>
      </c>
      <c r="E178">
        <f>IFERROR(MATCH(175,$B$4:$B$1003,0),"")</f>
        <v/>
      </c>
    </row>
    <row r="179">
      <c r="A179">
        <f>IF(AND(LEN('Our policies'!A179)&gt;0,ISNUMBER('Our policies'!J179)),'Our policies'!J179+176/100000,"")</f>
        <v/>
      </c>
      <c r="B179">
        <f>IF(AND(LEN('Our policies'!A179)&gt;0,ISNUMBER('Our policies'!J179)),MAX($B$3:B178)+1,"")</f>
        <v/>
      </c>
      <c r="E179">
        <f>IFERROR(MATCH(176,$B$4:$B$1003,0),"")</f>
        <v/>
      </c>
    </row>
    <row r="180">
      <c r="A180">
        <f>IF(AND(LEN('Our policies'!A180)&gt;0,ISNUMBER('Our policies'!J180)),'Our policies'!J180+177/100000,"")</f>
        <v/>
      </c>
      <c r="B180">
        <f>IF(AND(LEN('Our policies'!A180)&gt;0,ISNUMBER('Our policies'!J180)),MAX($B$3:B179)+1,"")</f>
        <v/>
      </c>
      <c r="E180">
        <f>IFERROR(MATCH(177,$B$4:$B$1003,0),"")</f>
        <v/>
      </c>
    </row>
    <row r="181">
      <c r="A181">
        <f>IF(AND(LEN('Our policies'!A181)&gt;0,ISNUMBER('Our policies'!J181)),'Our policies'!J181+178/100000,"")</f>
        <v/>
      </c>
      <c r="B181">
        <f>IF(AND(LEN('Our policies'!A181)&gt;0,ISNUMBER('Our policies'!J181)),MAX($B$3:B180)+1,"")</f>
        <v/>
      </c>
      <c r="E181">
        <f>IFERROR(MATCH(178,$B$4:$B$1003,0),"")</f>
        <v/>
      </c>
    </row>
    <row r="182">
      <c r="A182">
        <f>IF(AND(LEN('Our policies'!A182)&gt;0,ISNUMBER('Our policies'!J182)),'Our policies'!J182+179/100000,"")</f>
        <v/>
      </c>
      <c r="B182">
        <f>IF(AND(LEN('Our policies'!A182)&gt;0,ISNUMBER('Our policies'!J182)),MAX($B$3:B181)+1,"")</f>
        <v/>
      </c>
      <c r="E182">
        <f>IFERROR(MATCH(179,$B$4:$B$1003,0),"")</f>
        <v/>
      </c>
    </row>
    <row r="183">
      <c r="A183">
        <f>IF(AND(LEN('Our policies'!A183)&gt;0,ISNUMBER('Our policies'!J183)),'Our policies'!J183+180/100000,"")</f>
        <v/>
      </c>
      <c r="B183">
        <f>IF(AND(LEN('Our policies'!A183)&gt;0,ISNUMBER('Our policies'!J183)),MAX($B$3:B182)+1,"")</f>
        <v/>
      </c>
      <c r="E183">
        <f>IFERROR(MATCH(180,$B$4:$B$1003,0),"")</f>
        <v/>
      </c>
    </row>
    <row r="184">
      <c r="A184">
        <f>IF(AND(LEN('Our policies'!A184)&gt;0,ISNUMBER('Our policies'!J184)),'Our policies'!J184+181/100000,"")</f>
        <v/>
      </c>
      <c r="B184">
        <f>IF(AND(LEN('Our policies'!A184)&gt;0,ISNUMBER('Our policies'!J184)),MAX($B$3:B183)+1,"")</f>
        <v/>
      </c>
      <c r="E184">
        <f>IFERROR(MATCH(181,$B$4:$B$1003,0),"")</f>
        <v/>
      </c>
    </row>
    <row r="185">
      <c r="A185">
        <f>IF(AND(LEN('Our policies'!A185)&gt;0,ISNUMBER('Our policies'!J185)),'Our policies'!J185+182/100000,"")</f>
        <v/>
      </c>
      <c r="B185">
        <f>IF(AND(LEN('Our policies'!A185)&gt;0,ISNUMBER('Our policies'!J185)),MAX($B$3:B184)+1,"")</f>
        <v/>
      </c>
      <c r="E185">
        <f>IFERROR(MATCH(182,$B$4:$B$1003,0),"")</f>
        <v/>
      </c>
    </row>
    <row r="186">
      <c r="A186">
        <f>IF(AND(LEN('Our policies'!A186)&gt;0,ISNUMBER('Our policies'!J186)),'Our policies'!J186+183/100000,"")</f>
        <v/>
      </c>
      <c r="B186">
        <f>IF(AND(LEN('Our policies'!A186)&gt;0,ISNUMBER('Our policies'!J186)),MAX($B$3:B185)+1,"")</f>
        <v/>
      </c>
      <c r="E186">
        <f>IFERROR(MATCH(183,$B$4:$B$1003,0),"")</f>
        <v/>
      </c>
    </row>
    <row r="187">
      <c r="A187">
        <f>IF(AND(LEN('Our policies'!A187)&gt;0,ISNUMBER('Our policies'!J187)),'Our policies'!J187+184/100000,"")</f>
        <v/>
      </c>
      <c r="B187">
        <f>IF(AND(LEN('Our policies'!A187)&gt;0,ISNUMBER('Our policies'!J187)),MAX($B$3:B186)+1,"")</f>
        <v/>
      </c>
      <c r="E187">
        <f>IFERROR(MATCH(184,$B$4:$B$1003,0),"")</f>
        <v/>
      </c>
    </row>
    <row r="188">
      <c r="A188">
        <f>IF(AND(LEN('Our policies'!A188)&gt;0,ISNUMBER('Our policies'!J188)),'Our policies'!J188+185/100000,"")</f>
        <v/>
      </c>
      <c r="B188">
        <f>IF(AND(LEN('Our policies'!A188)&gt;0,ISNUMBER('Our policies'!J188)),MAX($B$3:B187)+1,"")</f>
        <v/>
      </c>
      <c r="E188">
        <f>IFERROR(MATCH(185,$B$4:$B$1003,0),"")</f>
        <v/>
      </c>
    </row>
    <row r="189">
      <c r="A189">
        <f>IF(AND(LEN('Our policies'!A189)&gt;0,ISNUMBER('Our policies'!J189)),'Our policies'!J189+186/100000,"")</f>
        <v/>
      </c>
      <c r="B189">
        <f>IF(AND(LEN('Our policies'!A189)&gt;0,ISNUMBER('Our policies'!J189)),MAX($B$3:B188)+1,"")</f>
        <v/>
      </c>
      <c r="E189">
        <f>IFERROR(MATCH(186,$B$4:$B$1003,0),"")</f>
        <v/>
      </c>
    </row>
    <row r="190">
      <c r="A190">
        <f>IF(AND(LEN('Our policies'!A190)&gt;0,ISNUMBER('Our policies'!J190)),'Our policies'!J190+187/100000,"")</f>
        <v/>
      </c>
      <c r="B190">
        <f>IF(AND(LEN('Our policies'!A190)&gt;0,ISNUMBER('Our policies'!J190)),MAX($B$3:B189)+1,"")</f>
        <v/>
      </c>
      <c r="E190">
        <f>IFERROR(MATCH(187,$B$4:$B$1003,0),"")</f>
        <v/>
      </c>
    </row>
    <row r="191">
      <c r="A191">
        <f>IF(AND(LEN('Our policies'!A191)&gt;0,ISNUMBER('Our policies'!J191)),'Our policies'!J191+188/100000,"")</f>
        <v/>
      </c>
      <c r="B191">
        <f>IF(AND(LEN('Our policies'!A191)&gt;0,ISNUMBER('Our policies'!J191)),MAX($B$3:B190)+1,"")</f>
        <v/>
      </c>
      <c r="E191">
        <f>IFERROR(MATCH(188,$B$4:$B$1003,0),"")</f>
        <v/>
      </c>
    </row>
    <row r="192">
      <c r="A192">
        <f>IF(AND(LEN('Our policies'!A192)&gt;0,ISNUMBER('Our policies'!J192)),'Our policies'!J192+189/100000,"")</f>
        <v/>
      </c>
      <c r="B192">
        <f>IF(AND(LEN('Our policies'!A192)&gt;0,ISNUMBER('Our policies'!J192)),MAX($B$3:B191)+1,"")</f>
        <v/>
      </c>
      <c r="E192">
        <f>IFERROR(MATCH(189,$B$4:$B$1003,0),"")</f>
        <v/>
      </c>
    </row>
    <row r="193">
      <c r="A193">
        <f>IF(AND(LEN('Our policies'!A193)&gt;0,ISNUMBER('Our policies'!J193)),'Our policies'!J193+190/100000,"")</f>
        <v/>
      </c>
      <c r="B193">
        <f>IF(AND(LEN('Our policies'!A193)&gt;0,ISNUMBER('Our policies'!J193)),MAX($B$3:B192)+1,"")</f>
        <v/>
      </c>
      <c r="E193">
        <f>IFERROR(MATCH(190,$B$4:$B$1003,0),"")</f>
        <v/>
      </c>
    </row>
    <row r="194">
      <c r="A194">
        <f>IF(AND(LEN('Our policies'!A194)&gt;0,ISNUMBER('Our policies'!J194)),'Our policies'!J194+191/100000,"")</f>
        <v/>
      </c>
      <c r="B194">
        <f>IF(AND(LEN('Our policies'!A194)&gt;0,ISNUMBER('Our policies'!J194)),MAX($B$3:B193)+1,"")</f>
        <v/>
      </c>
      <c r="E194">
        <f>IFERROR(MATCH(191,$B$4:$B$1003,0),"")</f>
        <v/>
      </c>
    </row>
    <row r="195">
      <c r="A195">
        <f>IF(AND(LEN('Our policies'!A195)&gt;0,ISNUMBER('Our policies'!J195)),'Our policies'!J195+192/100000,"")</f>
        <v/>
      </c>
      <c r="B195">
        <f>IF(AND(LEN('Our policies'!A195)&gt;0,ISNUMBER('Our policies'!J195)),MAX($B$3:B194)+1,"")</f>
        <v/>
      </c>
      <c r="E195">
        <f>IFERROR(MATCH(192,$B$4:$B$1003,0),"")</f>
        <v/>
      </c>
    </row>
    <row r="196">
      <c r="A196">
        <f>IF(AND(LEN('Our policies'!A196)&gt;0,ISNUMBER('Our policies'!J196)),'Our policies'!J196+193/100000,"")</f>
        <v/>
      </c>
      <c r="B196">
        <f>IF(AND(LEN('Our policies'!A196)&gt;0,ISNUMBER('Our policies'!J196)),MAX($B$3:B195)+1,"")</f>
        <v/>
      </c>
      <c r="E196">
        <f>IFERROR(MATCH(193,$B$4:$B$1003,0),"")</f>
        <v/>
      </c>
    </row>
    <row r="197">
      <c r="A197">
        <f>IF(AND(LEN('Our policies'!A197)&gt;0,ISNUMBER('Our policies'!J197)),'Our policies'!J197+194/100000,"")</f>
        <v/>
      </c>
      <c r="B197">
        <f>IF(AND(LEN('Our policies'!A197)&gt;0,ISNUMBER('Our policies'!J197)),MAX($B$3:B196)+1,"")</f>
        <v/>
      </c>
      <c r="E197">
        <f>IFERROR(MATCH(194,$B$4:$B$1003,0),"")</f>
        <v/>
      </c>
    </row>
    <row r="198">
      <c r="A198">
        <f>IF(AND(LEN('Our policies'!A198)&gt;0,ISNUMBER('Our policies'!J198)),'Our policies'!J198+195/100000,"")</f>
        <v/>
      </c>
      <c r="B198">
        <f>IF(AND(LEN('Our policies'!A198)&gt;0,ISNUMBER('Our policies'!J198)),MAX($B$3:B197)+1,"")</f>
        <v/>
      </c>
      <c r="E198">
        <f>IFERROR(MATCH(195,$B$4:$B$1003,0),"")</f>
        <v/>
      </c>
    </row>
    <row r="199">
      <c r="A199">
        <f>IF(AND(LEN('Our policies'!A199)&gt;0,ISNUMBER('Our policies'!J199)),'Our policies'!J199+196/100000,"")</f>
        <v/>
      </c>
      <c r="B199">
        <f>IF(AND(LEN('Our policies'!A199)&gt;0,ISNUMBER('Our policies'!J199)),MAX($B$3:B198)+1,"")</f>
        <v/>
      </c>
      <c r="E199">
        <f>IFERROR(MATCH(196,$B$4:$B$1003,0),"")</f>
        <v/>
      </c>
    </row>
    <row r="200">
      <c r="A200">
        <f>IF(AND(LEN('Our policies'!A200)&gt;0,ISNUMBER('Our policies'!J200)),'Our policies'!J200+197/100000,"")</f>
        <v/>
      </c>
      <c r="B200">
        <f>IF(AND(LEN('Our policies'!A200)&gt;0,ISNUMBER('Our policies'!J200)),MAX($B$3:B199)+1,"")</f>
        <v/>
      </c>
      <c r="E200">
        <f>IFERROR(MATCH(197,$B$4:$B$1003,0),"")</f>
        <v/>
      </c>
    </row>
    <row r="201">
      <c r="A201">
        <f>IF(AND(LEN('Our policies'!A201)&gt;0,ISNUMBER('Our policies'!J201)),'Our policies'!J201+198/100000,"")</f>
        <v/>
      </c>
      <c r="B201">
        <f>IF(AND(LEN('Our policies'!A201)&gt;0,ISNUMBER('Our policies'!J201)),MAX($B$3:B200)+1,"")</f>
        <v/>
      </c>
      <c r="E201">
        <f>IFERROR(MATCH(198,$B$4:$B$1003,0),"")</f>
        <v/>
      </c>
    </row>
    <row r="202">
      <c r="A202">
        <f>IF(AND(LEN('Our policies'!A202)&gt;0,ISNUMBER('Our policies'!J202)),'Our policies'!J202+199/100000,"")</f>
        <v/>
      </c>
      <c r="B202">
        <f>IF(AND(LEN('Our policies'!A202)&gt;0,ISNUMBER('Our policies'!J202)),MAX($B$3:B201)+1,"")</f>
        <v/>
      </c>
      <c r="E202">
        <f>IFERROR(MATCH(199,$B$4:$B$1003,0),"")</f>
        <v/>
      </c>
    </row>
    <row r="203">
      <c r="A203">
        <f>IF(AND(LEN('Our policies'!A203)&gt;0,ISNUMBER('Our policies'!J203)),'Our policies'!J203+200/100000,"")</f>
        <v/>
      </c>
      <c r="B203">
        <f>IF(AND(LEN('Our policies'!A203)&gt;0,ISNUMBER('Our policies'!J203)),MAX($B$3:B202)+1,"")</f>
        <v/>
      </c>
      <c r="E203">
        <f>IFERROR(MATCH(200,$B$4:$B$1003,0),"")</f>
        <v/>
      </c>
    </row>
    <row r="204">
      <c r="A204">
        <f>IF(AND(LEN('Our policies'!A204)&gt;0,ISNUMBER('Our policies'!J204)),'Our policies'!J204+201/100000,"")</f>
        <v/>
      </c>
      <c r="B204">
        <f>IF(AND(LEN('Our policies'!A204)&gt;0,ISNUMBER('Our policies'!J204)),MAX($B$3:B203)+1,"")</f>
        <v/>
      </c>
      <c r="E204">
        <f>IFERROR(MATCH(201,$B$4:$B$1003,0),"")</f>
        <v/>
      </c>
    </row>
    <row r="205">
      <c r="A205">
        <f>IF(AND(LEN('Our policies'!A205)&gt;0,ISNUMBER('Our policies'!J205)),'Our policies'!J205+202/100000,"")</f>
        <v/>
      </c>
      <c r="B205">
        <f>IF(AND(LEN('Our policies'!A205)&gt;0,ISNUMBER('Our policies'!J205)),MAX($B$3:B204)+1,"")</f>
        <v/>
      </c>
      <c r="E205">
        <f>IFERROR(MATCH(202,$B$4:$B$1003,0),"")</f>
        <v/>
      </c>
    </row>
    <row r="206">
      <c r="A206">
        <f>IF(AND(LEN('Our policies'!A206)&gt;0,ISNUMBER('Our policies'!J206)),'Our policies'!J206+203/100000,"")</f>
        <v/>
      </c>
      <c r="B206">
        <f>IF(AND(LEN('Our policies'!A206)&gt;0,ISNUMBER('Our policies'!J206)),MAX($B$3:B205)+1,"")</f>
        <v/>
      </c>
      <c r="E206">
        <f>IFERROR(MATCH(203,$B$4:$B$1003,0),"")</f>
        <v/>
      </c>
    </row>
    <row r="207">
      <c r="A207">
        <f>IF(AND(LEN('Our policies'!A207)&gt;0,ISNUMBER('Our policies'!J207)),'Our policies'!J207+204/100000,"")</f>
        <v/>
      </c>
      <c r="B207">
        <f>IF(AND(LEN('Our policies'!A207)&gt;0,ISNUMBER('Our policies'!J207)),MAX($B$3:B206)+1,"")</f>
        <v/>
      </c>
      <c r="E207">
        <f>IFERROR(MATCH(204,$B$4:$B$1003,0),"")</f>
        <v/>
      </c>
    </row>
    <row r="208">
      <c r="A208">
        <f>IF(AND(LEN('Our policies'!A208)&gt;0,ISNUMBER('Our policies'!J208)),'Our policies'!J208+205/100000,"")</f>
        <v/>
      </c>
      <c r="B208">
        <f>IF(AND(LEN('Our policies'!A208)&gt;0,ISNUMBER('Our policies'!J208)),MAX($B$3:B207)+1,"")</f>
        <v/>
      </c>
      <c r="E208">
        <f>IFERROR(MATCH(205,$B$4:$B$1003,0),"")</f>
        <v/>
      </c>
    </row>
    <row r="209">
      <c r="A209">
        <f>IF(AND(LEN('Our policies'!A209)&gt;0,ISNUMBER('Our policies'!J209)),'Our policies'!J209+206/100000,"")</f>
        <v/>
      </c>
      <c r="B209">
        <f>IF(AND(LEN('Our policies'!A209)&gt;0,ISNUMBER('Our policies'!J209)),MAX($B$3:B208)+1,"")</f>
        <v/>
      </c>
      <c r="E209">
        <f>IFERROR(MATCH(206,$B$4:$B$1003,0),"")</f>
        <v/>
      </c>
    </row>
    <row r="210">
      <c r="A210">
        <f>IF(AND(LEN('Our policies'!A210)&gt;0,ISNUMBER('Our policies'!J210)),'Our policies'!J210+207/100000,"")</f>
        <v/>
      </c>
      <c r="B210">
        <f>IF(AND(LEN('Our policies'!A210)&gt;0,ISNUMBER('Our policies'!J210)),MAX($B$3:B209)+1,"")</f>
        <v/>
      </c>
      <c r="E210">
        <f>IFERROR(MATCH(207,$B$4:$B$1003,0),"")</f>
        <v/>
      </c>
    </row>
    <row r="211">
      <c r="A211">
        <f>IF(AND(LEN('Our policies'!A211)&gt;0,ISNUMBER('Our policies'!J211)),'Our policies'!J211+208/100000,"")</f>
        <v/>
      </c>
      <c r="B211">
        <f>IF(AND(LEN('Our policies'!A211)&gt;0,ISNUMBER('Our policies'!J211)),MAX($B$3:B210)+1,"")</f>
        <v/>
      </c>
      <c r="E211">
        <f>IFERROR(MATCH(208,$B$4:$B$1003,0),"")</f>
        <v/>
      </c>
    </row>
    <row r="212">
      <c r="A212">
        <f>IF(AND(LEN('Our policies'!A212)&gt;0,ISNUMBER('Our policies'!J212)),'Our policies'!J212+209/100000,"")</f>
        <v/>
      </c>
      <c r="B212">
        <f>IF(AND(LEN('Our policies'!A212)&gt;0,ISNUMBER('Our policies'!J212)),MAX($B$3:B211)+1,"")</f>
        <v/>
      </c>
      <c r="E212">
        <f>IFERROR(MATCH(209,$B$4:$B$1003,0),"")</f>
        <v/>
      </c>
    </row>
    <row r="213">
      <c r="A213">
        <f>IF(AND(LEN('Our policies'!A213)&gt;0,ISNUMBER('Our policies'!J213)),'Our policies'!J213+210/100000,"")</f>
        <v/>
      </c>
      <c r="B213">
        <f>IF(AND(LEN('Our policies'!A213)&gt;0,ISNUMBER('Our policies'!J213)),MAX($B$3:B212)+1,"")</f>
        <v/>
      </c>
      <c r="E213">
        <f>IFERROR(MATCH(210,$B$4:$B$1003,0),"")</f>
        <v/>
      </c>
    </row>
    <row r="214">
      <c r="A214">
        <f>IF(AND(LEN('Our policies'!A214)&gt;0,ISNUMBER('Our policies'!J214)),'Our policies'!J214+211/100000,"")</f>
        <v/>
      </c>
      <c r="B214">
        <f>IF(AND(LEN('Our policies'!A214)&gt;0,ISNUMBER('Our policies'!J214)),MAX($B$3:B213)+1,"")</f>
        <v/>
      </c>
      <c r="E214">
        <f>IFERROR(MATCH(211,$B$4:$B$1003,0),"")</f>
        <v/>
      </c>
    </row>
    <row r="215">
      <c r="A215">
        <f>IF(AND(LEN('Our policies'!A215)&gt;0,ISNUMBER('Our policies'!J215)),'Our policies'!J215+212/100000,"")</f>
        <v/>
      </c>
      <c r="B215">
        <f>IF(AND(LEN('Our policies'!A215)&gt;0,ISNUMBER('Our policies'!J215)),MAX($B$3:B214)+1,"")</f>
        <v/>
      </c>
      <c r="E215">
        <f>IFERROR(MATCH(212,$B$4:$B$1003,0),"")</f>
        <v/>
      </c>
    </row>
    <row r="216">
      <c r="A216">
        <f>IF(AND(LEN('Our policies'!A216)&gt;0,ISNUMBER('Our policies'!J216)),'Our policies'!J216+213/100000,"")</f>
        <v/>
      </c>
      <c r="B216">
        <f>IF(AND(LEN('Our policies'!A216)&gt;0,ISNUMBER('Our policies'!J216)),MAX($B$3:B215)+1,"")</f>
        <v/>
      </c>
      <c r="E216">
        <f>IFERROR(MATCH(213,$B$4:$B$1003,0),"")</f>
        <v/>
      </c>
    </row>
    <row r="217">
      <c r="A217">
        <f>IF(AND(LEN('Our policies'!A217)&gt;0,ISNUMBER('Our policies'!J217)),'Our policies'!J217+214/100000,"")</f>
        <v/>
      </c>
      <c r="B217">
        <f>IF(AND(LEN('Our policies'!A217)&gt;0,ISNUMBER('Our policies'!J217)),MAX($B$3:B216)+1,"")</f>
        <v/>
      </c>
      <c r="E217">
        <f>IFERROR(MATCH(214,$B$4:$B$1003,0),"")</f>
        <v/>
      </c>
    </row>
    <row r="218">
      <c r="A218">
        <f>IF(AND(LEN('Our policies'!A218)&gt;0,ISNUMBER('Our policies'!J218)),'Our policies'!J218+215/100000,"")</f>
        <v/>
      </c>
      <c r="B218">
        <f>IF(AND(LEN('Our policies'!A218)&gt;0,ISNUMBER('Our policies'!J218)),MAX($B$3:B217)+1,"")</f>
        <v/>
      </c>
      <c r="E218">
        <f>IFERROR(MATCH(215,$B$4:$B$1003,0),"")</f>
        <v/>
      </c>
    </row>
    <row r="219">
      <c r="A219">
        <f>IF(AND(LEN('Our policies'!A219)&gt;0,ISNUMBER('Our policies'!J219)),'Our policies'!J219+216/100000,"")</f>
        <v/>
      </c>
      <c r="B219">
        <f>IF(AND(LEN('Our policies'!A219)&gt;0,ISNUMBER('Our policies'!J219)),MAX($B$3:B218)+1,"")</f>
        <v/>
      </c>
      <c r="E219">
        <f>IFERROR(MATCH(216,$B$4:$B$1003,0),"")</f>
        <v/>
      </c>
    </row>
    <row r="220">
      <c r="A220">
        <f>IF(AND(LEN('Our policies'!A220)&gt;0,ISNUMBER('Our policies'!J220)),'Our policies'!J220+217/100000,"")</f>
        <v/>
      </c>
      <c r="B220">
        <f>IF(AND(LEN('Our policies'!A220)&gt;0,ISNUMBER('Our policies'!J220)),MAX($B$3:B219)+1,"")</f>
        <v/>
      </c>
      <c r="E220">
        <f>IFERROR(MATCH(217,$B$4:$B$1003,0),"")</f>
        <v/>
      </c>
    </row>
    <row r="221">
      <c r="A221">
        <f>IF(AND(LEN('Our policies'!A221)&gt;0,ISNUMBER('Our policies'!J221)),'Our policies'!J221+218/100000,"")</f>
        <v/>
      </c>
      <c r="B221">
        <f>IF(AND(LEN('Our policies'!A221)&gt;0,ISNUMBER('Our policies'!J221)),MAX($B$3:B220)+1,"")</f>
        <v/>
      </c>
      <c r="E221">
        <f>IFERROR(MATCH(218,$B$4:$B$1003,0),"")</f>
        <v/>
      </c>
    </row>
    <row r="222">
      <c r="A222">
        <f>IF(AND(LEN('Our policies'!A222)&gt;0,ISNUMBER('Our policies'!J222)),'Our policies'!J222+219/100000,"")</f>
        <v/>
      </c>
      <c r="B222">
        <f>IF(AND(LEN('Our policies'!A222)&gt;0,ISNUMBER('Our policies'!J222)),MAX($B$3:B221)+1,"")</f>
        <v/>
      </c>
      <c r="E222">
        <f>IFERROR(MATCH(219,$B$4:$B$1003,0),"")</f>
        <v/>
      </c>
    </row>
    <row r="223">
      <c r="A223">
        <f>IF(AND(LEN('Our policies'!A223)&gt;0,ISNUMBER('Our policies'!J223)),'Our policies'!J223+220/100000,"")</f>
        <v/>
      </c>
      <c r="B223">
        <f>IF(AND(LEN('Our policies'!A223)&gt;0,ISNUMBER('Our policies'!J223)),MAX($B$3:B222)+1,"")</f>
        <v/>
      </c>
      <c r="E223">
        <f>IFERROR(MATCH(220,$B$4:$B$1003,0),"")</f>
        <v/>
      </c>
    </row>
    <row r="224">
      <c r="A224">
        <f>IF(AND(LEN('Our policies'!A224)&gt;0,ISNUMBER('Our policies'!J224)),'Our policies'!J224+221/100000,"")</f>
        <v/>
      </c>
      <c r="B224">
        <f>IF(AND(LEN('Our policies'!A224)&gt;0,ISNUMBER('Our policies'!J224)),MAX($B$3:B223)+1,"")</f>
        <v/>
      </c>
      <c r="E224">
        <f>IFERROR(MATCH(221,$B$4:$B$1003,0),"")</f>
        <v/>
      </c>
    </row>
    <row r="225">
      <c r="A225">
        <f>IF(AND(LEN('Our policies'!A225)&gt;0,ISNUMBER('Our policies'!J225)),'Our policies'!J225+222/100000,"")</f>
        <v/>
      </c>
      <c r="B225">
        <f>IF(AND(LEN('Our policies'!A225)&gt;0,ISNUMBER('Our policies'!J225)),MAX($B$3:B224)+1,"")</f>
        <v/>
      </c>
      <c r="E225">
        <f>IFERROR(MATCH(222,$B$4:$B$1003,0),"")</f>
        <v/>
      </c>
    </row>
    <row r="226">
      <c r="A226">
        <f>IF(AND(LEN('Our policies'!A226)&gt;0,ISNUMBER('Our policies'!J226)),'Our policies'!J226+223/100000,"")</f>
        <v/>
      </c>
      <c r="B226">
        <f>IF(AND(LEN('Our policies'!A226)&gt;0,ISNUMBER('Our policies'!J226)),MAX($B$3:B225)+1,"")</f>
        <v/>
      </c>
      <c r="E226">
        <f>IFERROR(MATCH(223,$B$4:$B$1003,0),"")</f>
        <v/>
      </c>
    </row>
    <row r="227">
      <c r="A227">
        <f>IF(AND(LEN('Our policies'!A227)&gt;0,ISNUMBER('Our policies'!J227)),'Our policies'!J227+224/100000,"")</f>
        <v/>
      </c>
      <c r="B227">
        <f>IF(AND(LEN('Our policies'!A227)&gt;0,ISNUMBER('Our policies'!J227)),MAX($B$3:B226)+1,"")</f>
        <v/>
      </c>
      <c r="E227">
        <f>IFERROR(MATCH(224,$B$4:$B$1003,0),"")</f>
        <v/>
      </c>
    </row>
    <row r="228">
      <c r="A228">
        <f>IF(AND(LEN('Our policies'!A228)&gt;0,ISNUMBER('Our policies'!J228)),'Our policies'!J228+225/100000,"")</f>
        <v/>
      </c>
      <c r="B228">
        <f>IF(AND(LEN('Our policies'!A228)&gt;0,ISNUMBER('Our policies'!J228)),MAX($B$3:B227)+1,"")</f>
        <v/>
      </c>
      <c r="E228">
        <f>IFERROR(MATCH(225,$B$4:$B$1003,0),"")</f>
        <v/>
      </c>
    </row>
    <row r="229">
      <c r="A229">
        <f>IF(AND(LEN('Our policies'!A229)&gt;0,ISNUMBER('Our policies'!J229)),'Our policies'!J229+226/100000,"")</f>
        <v/>
      </c>
      <c r="B229">
        <f>IF(AND(LEN('Our policies'!A229)&gt;0,ISNUMBER('Our policies'!J229)),MAX($B$3:B228)+1,"")</f>
        <v/>
      </c>
      <c r="E229">
        <f>IFERROR(MATCH(226,$B$4:$B$1003,0),"")</f>
        <v/>
      </c>
    </row>
    <row r="230">
      <c r="A230">
        <f>IF(AND(LEN('Our policies'!A230)&gt;0,ISNUMBER('Our policies'!J230)),'Our policies'!J230+227/100000,"")</f>
        <v/>
      </c>
      <c r="B230">
        <f>IF(AND(LEN('Our policies'!A230)&gt;0,ISNUMBER('Our policies'!J230)),MAX($B$3:B229)+1,"")</f>
        <v/>
      </c>
      <c r="E230">
        <f>IFERROR(MATCH(227,$B$4:$B$1003,0),"")</f>
        <v/>
      </c>
    </row>
    <row r="231">
      <c r="A231">
        <f>IF(AND(LEN('Our policies'!A231)&gt;0,ISNUMBER('Our policies'!J231)),'Our policies'!J231+228/100000,"")</f>
        <v/>
      </c>
      <c r="B231">
        <f>IF(AND(LEN('Our policies'!A231)&gt;0,ISNUMBER('Our policies'!J231)),MAX($B$3:B230)+1,"")</f>
        <v/>
      </c>
      <c r="E231">
        <f>IFERROR(MATCH(228,$B$4:$B$1003,0),"")</f>
        <v/>
      </c>
    </row>
    <row r="232">
      <c r="A232">
        <f>IF(AND(LEN('Our policies'!A232)&gt;0,ISNUMBER('Our policies'!J232)),'Our policies'!J232+229/100000,"")</f>
        <v/>
      </c>
      <c r="B232">
        <f>IF(AND(LEN('Our policies'!A232)&gt;0,ISNUMBER('Our policies'!J232)),MAX($B$3:B231)+1,"")</f>
        <v/>
      </c>
      <c r="E232">
        <f>IFERROR(MATCH(229,$B$4:$B$1003,0),"")</f>
        <v/>
      </c>
    </row>
    <row r="233">
      <c r="A233">
        <f>IF(AND(LEN('Our policies'!A233)&gt;0,ISNUMBER('Our policies'!J233)),'Our policies'!J233+230/100000,"")</f>
        <v/>
      </c>
      <c r="B233">
        <f>IF(AND(LEN('Our policies'!A233)&gt;0,ISNUMBER('Our policies'!J233)),MAX($B$3:B232)+1,"")</f>
        <v/>
      </c>
      <c r="E233">
        <f>IFERROR(MATCH(230,$B$4:$B$1003,0),"")</f>
        <v/>
      </c>
    </row>
    <row r="234">
      <c r="A234">
        <f>IF(AND(LEN('Our policies'!A234)&gt;0,ISNUMBER('Our policies'!J234)),'Our policies'!J234+231/100000,"")</f>
        <v/>
      </c>
      <c r="B234">
        <f>IF(AND(LEN('Our policies'!A234)&gt;0,ISNUMBER('Our policies'!J234)),MAX($B$3:B233)+1,"")</f>
        <v/>
      </c>
      <c r="E234">
        <f>IFERROR(MATCH(231,$B$4:$B$1003,0),"")</f>
        <v/>
      </c>
    </row>
    <row r="235">
      <c r="A235">
        <f>IF(AND(LEN('Our policies'!A235)&gt;0,ISNUMBER('Our policies'!J235)),'Our policies'!J235+232/100000,"")</f>
        <v/>
      </c>
      <c r="B235">
        <f>IF(AND(LEN('Our policies'!A235)&gt;0,ISNUMBER('Our policies'!J235)),MAX($B$3:B234)+1,"")</f>
        <v/>
      </c>
      <c r="E235">
        <f>IFERROR(MATCH(232,$B$4:$B$1003,0),"")</f>
        <v/>
      </c>
    </row>
    <row r="236">
      <c r="A236">
        <f>IF(AND(LEN('Our policies'!A236)&gt;0,ISNUMBER('Our policies'!J236)),'Our policies'!J236+233/100000,"")</f>
        <v/>
      </c>
      <c r="B236">
        <f>IF(AND(LEN('Our policies'!A236)&gt;0,ISNUMBER('Our policies'!J236)),MAX($B$3:B235)+1,"")</f>
        <v/>
      </c>
      <c r="E236">
        <f>IFERROR(MATCH(233,$B$4:$B$1003,0),"")</f>
        <v/>
      </c>
    </row>
    <row r="237">
      <c r="A237">
        <f>IF(AND(LEN('Our policies'!A237)&gt;0,ISNUMBER('Our policies'!J237)),'Our policies'!J237+234/100000,"")</f>
        <v/>
      </c>
      <c r="B237">
        <f>IF(AND(LEN('Our policies'!A237)&gt;0,ISNUMBER('Our policies'!J237)),MAX($B$3:B236)+1,"")</f>
        <v/>
      </c>
      <c r="E237">
        <f>IFERROR(MATCH(234,$B$4:$B$1003,0),"")</f>
        <v/>
      </c>
    </row>
    <row r="238">
      <c r="A238">
        <f>IF(AND(LEN('Our policies'!A238)&gt;0,ISNUMBER('Our policies'!J238)),'Our policies'!J238+235/100000,"")</f>
        <v/>
      </c>
      <c r="B238">
        <f>IF(AND(LEN('Our policies'!A238)&gt;0,ISNUMBER('Our policies'!J238)),MAX($B$3:B237)+1,"")</f>
        <v/>
      </c>
      <c r="E238">
        <f>IFERROR(MATCH(235,$B$4:$B$1003,0),"")</f>
        <v/>
      </c>
    </row>
    <row r="239">
      <c r="A239">
        <f>IF(AND(LEN('Our policies'!A239)&gt;0,ISNUMBER('Our policies'!J239)),'Our policies'!J239+236/100000,"")</f>
        <v/>
      </c>
      <c r="B239">
        <f>IF(AND(LEN('Our policies'!A239)&gt;0,ISNUMBER('Our policies'!J239)),MAX($B$3:B238)+1,"")</f>
        <v/>
      </c>
      <c r="E239">
        <f>IFERROR(MATCH(236,$B$4:$B$1003,0),"")</f>
        <v/>
      </c>
    </row>
    <row r="240">
      <c r="A240">
        <f>IF(AND(LEN('Our policies'!A240)&gt;0,ISNUMBER('Our policies'!J240)),'Our policies'!J240+237/100000,"")</f>
        <v/>
      </c>
      <c r="B240">
        <f>IF(AND(LEN('Our policies'!A240)&gt;0,ISNUMBER('Our policies'!J240)),MAX($B$3:B239)+1,"")</f>
        <v/>
      </c>
      <c r="E240">
        <f>IFERROR(MATCH(237,$B$4:$B$1003,0),"")</f>
        <v/>
      </c>
    </row>
    <row r="241">
      <c r="A241">
        <f>IF(AND(LEN('Our policies'!A241)&gt;0,ISNUMBER('Our policies'!J241)),'Our policies'!J241+238/100000,"")</f>
        <v/>
      </c>
      <c r="B241">
        <f>IF(AND(LEN('Our policies'!A241)&gt;0,ISNUMBER('Our policies'!J241)),MAX($B$3:B240)+1,"")</f>
        <v/>
      </c>
      <c r="E241">
        <f>IFERROR(MATCH(238,$B$4:$B$1003,0),"")</f>
        <v/>
      </c>
    </row>
    <row r="242">
      <c r="A242">
        <f>IF(AND(LEN('Our policies'!A242)&gt;0,ISNUMBER('Our policies'!J242)),'Our policies'!J242+239/100000,"")</f>
        <v/>
      </c>
      <c r="B242">
        <f>IF(AND(LEN('Our policies'!A242)&gt;0,ISNUMBER('Our policies'!J242)),MAX($B$3:B241)+1,"")</f>
        <v/>
      </c>
      <c r="E242">
        <f>IFERROR(MATCH(239,$B$4:$B$1003,0),"")</f>
        <v/>
      </c>
    </row>
    <row r="243">
      <c r="A243">
        <f>IF(AND(LEN('Our policies'!A243)&gt;0,ISNUMBER('Our policies'!J243)),'Our policies'!J243+240/100000,"")</f>
        <v/>
      </c>
      <c r="B243">
        <f>IF(AND(LEN('Our policies'!A243)&gt;0,ISNUMBER('Our policies'!J243)),MAX($B$3:B242)+1,"")</f>
        <v/>
      </c>
      <c r="E243">
        <f>IFERROR(MATCH(240,$B$4:$B$1003,0),"")</f>
        <v/>
      </c>
    </row>
    <row r="244">
      <c r="A244">
        <f>IF(AND(LEN('Our policies'!A244)&gt;0,ISNUMBER('Our policies'!J244)),'Our policies'!J244+241/100000,"")</f>
        <v/>
      </c>
      <c r="B244">
        <f>IF(AND(LEN('Our policies'!A244)&gt;0,ISNUMBER('Our policies'!J244)),MAX($B$3:B243)+1,"")</f>
        <v/>
      </c>
      <c r="E244">
        <f>IFERROR(MATCH(241,$B$4:$B$1003,0),"")</f>
        <v/>
      </c>
    </row>
    <row r="245">
      <c r="A245">
        <f>IF(AND(LEN('Our policies'!A245)&gt;0,ISNUMBER('Our policies'!J245)),'Our policies'!J245+242/100000,"")</f>
        <v/>
      </c>
      <c r="B245">
        <f>IF(AND(LEN('Our policies'!A245)&gt;0,ISNUMBER('Our policies'!J245)),MAX($B$3:B244)+1,"")</f>
        <v/>
      </c>
      <c r="E245">
        <f>IFERROR(MATCH(242,$B$4:$B$1003,0),"")</f>
        <v/>
      </c>
    </row>
    <row r="246">
      <c r="A246">
        <f>IF(AND(LEN('Our policies'!A246)&gt;0,ISNUMBER('Our policies'!J246)),'Our policies'!J246+243/100000,"")</f>
        <v/>
      </c>
      <c r="B246">
        <f>IF(AND(LEN('Our policies'!A246)&gt;0,ISNUMBER('Our policies'!J246)),MAX($B$3:B245)+1,"")</f>
        <v/>
      </c>
      <c r="E246">
        <f>IFERROR(MATCH(243,$B$4:$B$1003,0),"")</f>
        <v/>
      </c>
    </row>
    <row r="247">
      <c r="A247">
        <f>IF(AND(LEN('Our policies'!A247)&gt;0,ISNUMBER('Our policies'!J247)),'Our policies'!J247+244/100000,"")</f>
        <v/>
      </c>
      <c r="B247">
        <f>IF(AND(LEN('Our policies'!A247)&gt;0,ISNUMBER('Our policies'!J247)),MAX($B$3:B246)+1,"")</f>
        <v/>
      </c>
      <c r="E247">
        <f>IFERROR(MATCH(244,$B$4:$B$1003,0),"")</f>
        <v/>
      </c>
    </row>
    <row r="248">
      <c r="A248">
        <f>IF(AND(LEN('Our policies'!A248)&gt;0,ISNUMBER('Our policies'!J248)),'Our policies'!J248+245/100000,"")</f>
        <v/>
      </c>
      <c r="B248">
        <f>IF(AND(LEN('Our policies'!A248)&gt;0,ISNUMBER('Our policies'!J248)),MAX($B$3:B247)+1,"")</f>
        <v/>
      </c>
      <c r="E248">
        <f>IFERROR(MATCH(245,$B$4:$B$1003,0),"")</f>
        <v/>
      </c>
    </row>
    <row r="249">
      <c r="A249">
        <f>IF(AND(LEN('Our policies'!A249)&gt;0,ISNUMBER('Our policies'!J249)),'Our policies'!J249+246/100000,"")</f>
        <v/>
      </c>
      <c r="B249">
        <f>IF(AND(LEN('Our policies'!A249)&gt;0,ISNUMBER('Our policies'!J249)),MAX($B$3:B248)+1,"")</f>
        <v/>
      </c>
      <c r="E249">
        <f>IFERROR(MATCH(246,$B$4:$B$1003,0),"")</f>
        <v/>
      </c>
    </row>
    <row r="250">
      <c r="A250">
        <f>IF(AND(LEN('Our policies'!A250)&gt;0,ISNUMBER('Our policies'!J250)),'Our policies'!J250+247/100000,"")</f>
        <v/>
      </c>
      <c r="B250">
        <f>IF(AND(LEN('Our policies'!A250)&gt;0,ISNUMBER('Our policies'!J250)),MAX($B$3:B249)+1,"")</f>
        <v/>
      </c>
      <c r="E250">
        <f>IFERROR(MATCH(247,$B$4:$B$1003,0),"")</f>
        <v/>
      </c>
    </row>
    <row r="251">
      <c r="A251">
        <f>IF(AND(LEN('Our policies'!A251)&gt;0,ISNUMBER('Our policies'!J251)),'Our policies'!J251+248/100000,"")</f>
        <v/>
      </c>
      <c r="B251">
        <f>IF(AND(LEN('Our policies'!A251)&gt;0,ISNUMBER('Our policies'!J251)),MAX($B$3:B250)+1,"")</f>
        <v/>
      </c>
      <c r="E251">
        <f>IFERROR(MATCH(248,$B$4:$B$1003,0),"")</f>
        <v/>
      </c>
    </row>
    <row r="252">
      <c r="A252">
        <f>IF(AND(LEN('Our policies'!A252)&gt;0,ISNUMBER('Our policies'!J252)),'Our policies'!J252+249/100000,"")</f>
        <v/>
      </c>
      <c r="B252">
        <f>IF(AND(LEN('Our policies'!A252)&gt;0,ISNUMBER('Our policies'!J252)),MAX($B$3:B251)+1,"")</f>
        <v/>
      </c>
      <c r="E252">
        <f>IFERROR(MATCH(249,$B$4:$B$1003,0),"")</f>
        <v/>
      </c>
    </row>
    <row r="253">
      <c r="A253">
        <f>IF(AND(LEN('Our policies'!A253)&gt;0,ISNUMBER('Our policies'!J253)),'Our policies'!J253+250/100000,"")</f>
        <v/>
      </c>
      <c r="B253">
        <f>IF(AND(LEN('Our policies'!A253)&gt;0,ISNUMBER('Our policies'!J253)),MAX($B$3:B252)+1,"")</f>
        <v/>
      </c>
      <c r="E253">
        <f>IFERROR(MATCH(250,$B$4:$B$1003,0),"")</f>
        <v/>
      </c>
    </row>
    <row r="254">
      <c r="A254">
        <f>IF(AND(LEN('Our policies'!A254)&gt;0,ISNUMBER('Our policies'!J254)),'Our policies'!J254+251/100000,"")</f>
        <v/>
      </c>
      <c r="B254">
        <f>IF(AND(LEN('Our policies'!A254)&gt;0,ISNUMBER('Our policies'!J254)),MAX($B$3:B253)+1,"")</f>
        <v/>
      </c>
      <c r="E254">
        <f>IFERROR(MATCH(251,$B$4:$B$1003,0),"")</f>
        <v/>
      </c>
    </row>
    <row r="255">
      <c r="A255">
        <f>IF(AND(LEN('Our policies'!A255)&gt;0,ISNUMBER('Our policies'!J255)),'Our policies'!J255+252/100000,"")</f>
        <v/>
      </c>
      <c r="B255">
        <f>IF(AND(LEN('Our policies'!A255)&gt;0,ISNUMBER('Our policies'!J255)),MAX($B$3:B254)+1,"")</f>
        <v/>
      </c>
      <c r="E255">
        <f>IFERROR(MATCH(252,$B$4:$B$1003,0),"")</f>
        <v/>
      </c>
    </row>
    <row r="256">
      <c r="A256">
        <f>IF(AND(LEN('Our policies'!A256)&gt;0,ISNUMBER('Our policies'!J256)),'Our policies'!J256+253/100000,"")</f>
        <v/>
      </c>
      <c r="B256">
        <f>IF(AND(LEN('Our policies'!A256)&gt;0,ISNUMBER('Our policies'!J256)),MAX($B$3:B255)+1,"")</f>
        <v/>
      </c>
      <c r="E256">
        <f>IFERROR(MATCH(253,$B$4:$B$1003,0),"")</f>
        <v/>
      </c>
    </row>
    <row r="257">
      <c r="A257">
        <f>IF(AND(LEN('Our policies'!A257)&gt;0,ISNUMBER('Our policies'!J257)),'Our policies'!J257+254/100000,"")</f>
        <v/>
      </c>
      <c r="B257">
        <f>IF(AND(LEN('Our policies'!A257)&gt;0,ISNUMBER('Our policies'!J257)),MAX($B$3:B256)+1,"")</f>
        <v/>
      </c>
      <c r="E257">
        <f>IFERROR(MATCH(254,$B$4:$B$1003,0),"")</f>
        <v/>
      </c>
    </row>
    <row r="258">
      <c r="A258">
        <f>IF(AND(LEN('Our policies'!A258)&gt;0,ISNUMBER('Our policies'!J258)),'Our policies'!J258+255/100000,"")</f>
        <v/>
      </c>
      <c r="B258">
        <f>IF(AND(LEN('Our policies'!A258)&gt;0,ISNUMBER('Our policies'!J258)),MAX($B$3:B257)+1,"")</f>
        <v/>
      </c>
      <c r="E258">
        <f>IFERROR(MATCH(255,$B$4:$B$1003,0),"")</f>
        <v/>
      </c>
    </row>
    <row r="259">
      <c r="A259">
        <f>IF(AND(LEN('Our policies'!A259)&gt;0,ISNUMBER('Our policies'!J259)),'Our policies'!J259+256/100000,"")</f>
        <v/>
      </c>
      <c r="B259">
        <f>IF(AND(LEN('Our policies'!A259)&gt;0,ISNUMBER('Our policies'!J259)),MAX($B$3:B258)+1,"")</f>
        <v/>
      </c>
      <c r="E259">
        <f>IFERROR(MATCH(256,$B$4:$B$1003,0),"")</f>
        <v/>
      </c>
    </row>
    <row r="260">
      <c r="A260">
        <f>IF(AND(LEN('Our policies'!A260)&gt;0,ISNUMBER('Our policies'!J260)),'Our policies'!J260+257/100000,"")</f>
        <v/>
      </c>
      <c r="B260">
        <f>IF(AND(LEN('Our policies'!A260)&gt;0,ISNUMBER('Our policies'!J260)),MAX($B$3:B259)+1,"")</f>
        <v/>
      </c>
      <c r="E260">
        <f>IFERROR(MATCH(257,$B$4:$B$1003,0),"")</f>
        <v/>
      </c>
    </row>
    <row r="261">
      <c r="A261">
        <f>IF(AND(LEN('Our policies'!A261)&gt;0,ISNUMBER('Our policies'!J261)),'Our policies'!J261+258/100000,"")</f>
        <v/>
      </c>
      <c r="B261">
        <f>IF(AND(LEN('Our policies'!A261)&gt;0,ISNUMBER('Our policies'!J261)),MAX($B$3:B260)+1,"")</f>
        <v/>
      </c>
      <c r="E261">
        <f>IFERROR(MATCH(258,$B$4:$B$1003,0),"")</f>
        <v/>
      </c>
    </row>
    <row r="262">
      <c r="A262">
        <f>IF(AND(LEN('Our policies'!A262)&gt;0,ISNUMBER('Our policies'!J262)),'Our policies'!J262+259/100000,"")</f>
        <v/>
      </c>
      <c r="B262">
        <f>IF(AND(LEN('Our policies'!A262)&gt;0,ISNUMBER('Our policies'!J262)),MAX($B$3:B261)+1,"")</f>
        <v/>
      </c>
      <c r="E262">
        <f>IFERROR(MATCH(259,$B$4:$B$1003,0),"")</f>
        <v/>
      </c>
    </row>
    <row r="263">
      <c r="A263">
        <f>IF(AND(LEN('Our policies'!A263)&gt;0,ISNUMBER('Our policies'!J263)),'Our policies'!J263+260/100000,"")</f>
        <v/>
      </c>
      <c r="B263">
        <f>IF(AND(LEN('Our policies'!A263)&gt;0,ISNUMBER('Our policies'!J263)),MAX($B$3:B262)+1,"")</f>
        <v/>
      </c>
      <c r="E263">
        <f>IFERROR(MATCH(260,$B$4:$B$1003,0),"")</f>
        <v/>
      </c>
    </row>
    <row r="264">
      <c r="A264">
        <f>IF(AND(LEN('Our policies'!A264)&gt;0,ISNUMBER('Our policies'!J264)),'Our policies'!J264+261/100000,"")</f>
        <v/>
      </c>
      <c r="B264">
        <f>IF(AND(LEN('Our policies'!A264)&gt;0,ISNUMBER('Our policies'!J264)),MAX($B$3:B263)+1,"")</f>
        <v/>
      </c>
      <c r="E264">
        <f>IFERROR(MATCH(261,$B$4:$B$1003,0),"")</f>
        <v/>
      </c>
    </row>
    <row r="265">
      <c r="A265">
        <f>IF(AND(LEN('Our policies'!A265)&gt;0,ISNUMBER('Our policies'!J265)),'Our policies'!J265+262/100000,"")</f>
        <v/>
      </c>
      <c r="B265">
        <f>IF(AND(LEN('Our policies'!A265)&gt;0,ISNUMBER('Our policies'!J265)),MAX($B$3:B264)+1,"")</f>
        <v/>
      </c>
      <c r="E265">
        <f>IFERROR(MATCH(262,$B$4:$B$1003,0),"")</f>
        <v/>
      </c>
    </row>
    <row r="266">
      <c r="A266">
        <f>IF(AND(LEN('Our policies'!A266)&gt;0,ISNUMBER('Our policies'!J266)),'Our policies'!J266+263/100000,"")</f>
        <v/>
      </c>
      <c r="B266">
        <f>IF(AND(LEN('Our policies'!A266)&gt;0,ISNUMBER('Our policies'!J266)),MAX($B$3:B265)+1,"")</f>
        <v/>
      </c>
      <c r="E266">
        <f>IFERROR(MATCH(263,$B$4:$B$1003,0),"")</f>
        <v/>
      </c>
    </row>
    <row r="267">
      <c r="A267">
        <f>IF(AND(LEN('Our policies'!A267)&gt;0,ISNUMBER('Our policies'!J267)),'Our policies'!J267+264/100000,"")</f>
        <v/>
      </c>
      <c r="B267">
        <f>IF(AND(LEN('Our policies'!A267)&gt;0,ISNUMBER('Our policies'!J267)),MAX($B$3:B266)+1,"")</f>
        <v/>
      </c>
      <c r="E267">
        <f>IFERROR(MATCH(264,$B$4:$B$1003,0),"")</f>
        <v/>
      </c>
    </row>
    <row r="268">
      <c r="A268">
        <f>IF(AND(LEN('Our policies'!A268)&gt;0,ISNUMBER('Our policies'!J268)),'Our policies'!J268+265/100000,"")</f>
        <v/>
      </c>
      <c r="B268">
        <f>IF(AND(LEN('Our policies'!A268)&gt;0,ISNUMBER('Our policies'!J268)),MAX($B$3:B267)+1,"")</f>
        <v/>
      </c>
      <c r="E268">
        <f>IFERROR(MATCH(265,$B$4:$B$1003,0),"")</f>
        <v/>
      </c>
    </row>
    <row r="269">
      <c r="A269">
        <f>IF(AND(LEN('Our policies'!A269)&gt;0,ISNUMBER('Our policies'!J269)),'Our policies'!J269+266/100000,"")</f>
        <v/>
      </c>
      <c r="B269">
        <f>IF(AND(LEN('Our policies'!A269)&gt;0,ISNUMBER('Our policies'!J269)),MAX($B$3:B268)+1,"")</f>
        <v/>
      </c>
      <c r="E269">
        <f>IFERROR(MATCH(266,$B$4:$B$1003,0),"")</f>
        <v/>
      </c>
    </row>
    <row r="270">
      <c r="A270">
        <f>IF(AND(LEN('Our policies'!A270)&gt;0,ISNUMBER('Our policies'!J270)),'Our policies'!J270+267/100000,"")</f>
        <v/>
      </c>
      <c r="B270">
        <f>IF(AND(LEN('Our policies'!A270)&gt;0,ISNUMBER('Our policies'!J270)),MAX($B$3:B269)+1,"")</f>
        <v/>
      </c>
      <c r="E270">
        <f>IFERROR(MATCH(267,$B$4:$B$1003,0),"")</f>
        <v/>
      </c>
    </row>
    <row r="271">
      <c r="A271">
        <f>IF(AND(LEN('Our policies'!A271)&gt;0,ISNUMBER('Our policies'!J271)),'Our policies'!J271+268/100000,"")</f>
        <v/>
      </c>
      <c r="B271">
        <f>IF(AND(LEN('Our policies'!A271)&gt;0,ISNUMBER('Our policies'!J271)),MAX($B$3:B270)+1,"")</f>
        <v/>
      </c>
      <c r="E271">
        <f>IFERROR(MATCH(268,$B$4:$B$1003,0),"")</f>
        <v/>
      </c>
    </row>
    <row r="272">
      <c r="A272">
        <f>IF(AND(LEN('Our policies'!A272)&gt;0,ISNUMBER('Our policies'!J272)),'Our policies'!J272+269/100000,"")</f>
        <v/>
      </c>
      <c r="B272">
        <f>IF(AND(LEN('Our policies'!A272)&gt;0,ISNUMBER('Our policies'!J272)),MAX($B$3:B271)+1,"")</f>
        <v/>
      </c>
      <c r="E272">
        <f>IFERROR(MATCH(269,$B$4:$B$1003,0),"")</f>
        <v/>
      </c>
    </row>
    <row r="273">
      <c r="A273">
        <f>IF(AND(LEN('Our policies'!A273)&gt;0,ISNUMBER('Our policies'!J273)),'Our policies'!J273+270/100000,"")</f>
        <v/>
      </c>
      <c r="B273">
        <f>IF(AND(LEN('Our policies'!A273)&gt;0,ISNUMBER('Our policies'!J273)),MAX($B$3:B272)+1,"")</f>
        <v/>
      </c>
      <c r="E273">
        <f>IFERROR(MATCH(270,$B$4:$B$1003,0),"")</f>
        <v/>
      </c>
    </row>
    <row r="274">
      <c r="A274">
        <f>IF(AND(LEN('Our policies'!A274)&gt;0,ISNUMBER('Our policies'!J274)),'Our policies'!J274+271/100000,"")</f>
        <v/>
      </c>
      <c r="B274">
        <f>IF(AND(LEN('Our policies'!A274)&gt;0,ISNUMBER('Our policies'!J274)),MAX($B$3:B273)+1,"")</f>
        <v/>
      </c>
      <c r="E274">
        <f>IFERROR(MATCH(271,$B$4:$B$1003,0),"")</f>
        <v/>
      </c>
    </row>
    <row r="275">
      <c r="A275">
        <f>IF(AND(LEN('Our policies'!A275)&gt;0,ISNUMBER('Our policies'!J275)),'Our policies'!J275+272/100000,"")</f>
        <v/>
      </c>
      <c r="B275">
        <f>IF(AND(LEN('Our policies'!A275)&gt;0,ISNUMBER('Our policies'!J275)),MAX($B$3:B274)+1,"")</f>
        <v/>
      </c>
      <c r="E275">
        <f>IFERROR(MATCH(272,$B$4:$B$1003,0),"")</f>
        <v/>
      </c>
    </row>
    <row r="276">
      <c r="A276">
        <f>IF(AND(LEN('Our policies'!A276)&gt;0,ISNUMBER('Our policies'!J276)),'Our policies'!J276+273/100000,"")</f>
        <v/>
      </c>
      <c r="B276">
        <f>IF(AND(LEN('Our policies'!A276)&gt;0,ISNUMBER('Our policies'!J276)),MAX($B$3:B275)+1,"")</f>
        <v/>
      </c>
      <c r="E276">
        <f>IFERROR(MATCH(273,$B$4:$B$1003,0),"")</f>
        <v/>
      </c>
    </row>
    <row r="277">
      <c r="A277">
        <f>IF(AND(LEN('Our policies'!A277)&gt;0,ISNUMBER('Our policies'!J277)),'Our policies'!J277+274/100000,"")</f>
        <v/>
      </c>
      <c r="B277">
        <f>IF(AND(LEN('Our policies'!A277)&gt;0,ISNUMBER('Our policies'!J277)),MAX($B$3:B276)+1,"")</f>
        <v/>
      </c>
      <c r="E277">
        <f>IFERROR(MATCH(274,$B$4:$B$1003,0),"")</f>
        <v/>
      </c>
    </row>
    <row r="278">
      <c r="A278">
        <f>IF(AND(LEN('Our policies'!A278)&gt;0,ISNUMBER('Our policies'!J278)),'Our policies'!J278+275/100000,"")</f>
        <v/>
      </c>
      <c r="B278">
        <f>IF(AND(LEN('Our policies'!A278)&gt;0,ISNUMBER('Our policies'!J278)),MAX($B$3:B277)+1,"")</f>
        <v/>
      </c>
      <c r="E278">
        <f>IFERROR(MATCH(275,$B$4:$B$1003,0),"")</f>
        <v/>
      </c>
    </row>
    <row r="279">
      <c r="A279">
        <f>IF(AND(LEN('Our policies'!A279)&gt;0,ISNUMBER('Our policies'!J279)),'Our policies'!J279+276/100000,"")</f>
        <v/>
      </c>
      <c r="B279">
        <f>IF(AND(LEN('Our policies'!A279)&gt;0,ISNUMBER('Our policies'!J279)),MAX($B$3:B278)+1,"")</f>
        <v/>
      </c>
      <c r="E279">
        <f>IFERROR(MATCH(276,$B$4:$B$1003,0),"")</f>
        <v/>
      </c>
    </row>
    <row r="280">
      <c r="A280">
        <f>IF(AND(LEN('Our policies'!A280)&gt;0,ISNUMBER('Our policies'!J280)),'Our policies'!J280+277/100000,"")</f>
        <v/>
      </c>
      <c r="B280">
        <f>IF(AND(LEN('Our policies'!A280)&gt;0,ISNUMBER('Our policies'!J280)),MAX($B$3:B279)+1,"")</f>
        <v/>
      </c>
      <c r="E280">
        <f>IFERROR(MATCH(277,$B$4:$B$1003,0),"")</f>
        <v/>
      </c>
    </row>
    <row r="281">
      <c r="A281">
        <f>IF(AND(LEN('Our policies'!A281)&gt;0,ISNUMBER('Our policies'!J281)),'Our policies'!J281+278/100000,"")</f>
        <v/>
      </c>
      <c r="B281">
        <f>IF(AND(LEN('Our policies'!A281)&gt;0,ISNUMBER('Our policies'!J281)),MAX($B$3:B280)+1,"")</f>
        <v/>
      </c>
      <c r="E281">
        <f>IFERROR(MATCH(278,$B$4:$B$1003,0),"")</f>
        <v/>
      </c>
    </row>
    <row r="282">
      <c r="A282">
        <f>IF(AND(LEN('Our policies'!A282)&gt;0,ISNUMBER('Our policies'!J282)),'Our policies'!J282+279/100000,"")</f>
        <v/>
      </c>
      <c r="B282">
        <f>IF(AND(LEN('Our policies'!A282)&gt;0,ISNUMBER('Our policies'!J282)),MAX($B$3:B281)+1,"")</f>
        <v/>
      </c>
      <c r="E282">
        <f>IFERROR(MATCH(279,$B$4:$B$1003,0),"")</f>
        <v/>
      </c>
    </row>
    <row r="283">
      <c r="A283">
        <f>IF(AND(LEN('Our policies'!A283)&gt;0,ISNUMBER('Our policies'!J283)),'Our policies'!J283+280/100000,"")</f>
        <v/>
      </c>
      <c r="B283">
        <f>IF(AND(LEN('Our policies'!A283)&gt;0,ISNUMBER('Our policies'!J283)),MAX($B$3:B282)+1,"")</f>
        <v/>
      </c>
      <c r="E283">
        <f>IFERROR(MATCH(280,$B$4:$B$1003,0),"")</f>
        <v/>
      </c>
    </row>
    <row r="284">
      <c r="A284">
        <f>IF(AND(LEN('Our policies'!A284)&gt;0,ISNUMBER('Our policies'!J284)),'Our policies'!J284+281/100000,"")</f>
        <v/>
      </c>
      <c r="B284">
        <f>IF(AND(LEN('Our policies'!A284)&gt;0,ISNUMBER('Our policies'!J284)),MAX($B$3:B283)+1,"")</f>
        <v/>
      </c>
      <c r="E284">
        <f>IFERROR(MATCH(281,$B$4:$B$1003,0),"")</f>
        <v/>
      </c>
    </row>
    <row r="285">
      <c r="A285">
        <f>IF(AND(LEN('Our policies'!A285)&gt;0,ISNUMBER('Our policies'!J285)),'Our policies'!J285+282/100000,"")</f>
        <v/>
      </c>
      <c r="B285">
        <f>IF(AND(LEN('Our policies'!A285)&gt;0,ISNUMBER('Our policies'!J285)),MAX($B$3:B284)+1,"")</f>
        <v/>
      </c>
      <c r="E285">
        <f>IFERROR(MATCH(282,$B$4:$B$1003,0),"")</f>
        <v/>
      </c>
    </row>
    <row r="286">
      <c r="A286">
        <f>IF(AND(LEN('Our policies'!A286)&gt;0,ISNUMBER('Our policies'!J286)),'Our policies'!J286+283/100000,"")</f>
        <v/>
      </c>
      <c r="B286">
        <f>IF(AND(LEN('Our policies'!A286)&gt;0,ISNUMBER('Our policies'!J286)),MAX($B$3:B285)+1,"")</f>
        <v/>
      </c>
      <c r="E286">
        <f>IFERROR(MATCH(283,$B$4:$B$1003,0),"")</f>
        <v/>
      </c>
    </row>
    <row r="287">
      <c r="A287">
        <f>IF(AND(LEN('Our policies'!A287)&gt;0,ISNUMBER('Our policies'!J287)),'Our policies'!J287+284/100000,"")</f>
        <v/>
      </c>
      <c r="B287">
        <f>IF(AND(LEN('Our policies'!A287)&gt;0,ISNUMBER('Our policies'!J287)),MAX($B$3:B286)+1,"")</f>
        <v/>
      </c>
      <c r="E287">
        <f>IFERROR(MATCH(284,$B$4:$B$1003,0),"")</f>
        <v/>
      </c>
    </row>
    <row r="288">
      <c r="A288">
        <f>IF(AND(LEN('Our policies'!A288)&gt;0,ISNUMBER('Our policies'!J288)),'Our policies'!J288+285/100000,"")</f>
        <v/>
      </c>
      <c r="B288">
        <f>IF(AND(LEN('Our policies'!A288)&gt;0,ISNUMBER('Our policies'!J288)),MAX($B$3:B287)+1,"")</f>
        <v/>
      </c>
      <c r="E288">
        <f>IFERROR(MATCH(285,$B$4:$B$1003,0),"")</f>
        <v/>
      </c>
    </row>
    <row r="289">
      <c r="A289">
        <f>IF(AND(LEN('Our policies'!A289)&gt;0,ISNUMBER('Our policies'!J289)),'Our policies'!J289+286/100000,"")</f>
        <v/>
      </c>
      <c r="B289">
        <f>IF(AND(LEN('Our policies'!A289)&gt;0,ISNUMBER('Our policies'!J289)),MAX($B$3:B288)+1,"")</f>
        <v/>
      </c>
      <c r="E289">
        <f>IFERROR(MATCH(286,$B$4:$B$1003,0),"")</f>
        <v/>
      </c>
    </row>
    <row r="290">
      <c r="A290">
        <f>IF(AND(LEN('Our policies'!A290)&gt;0,ISNUMBER('Our policies'!J290)),'Our policies'!J290+287/100000,"")</f>
        <v/>
      </c>
      <c r="B290">
        <f>IF(AND(LEN('Our policies'!A290)&gt;0,ISNUMBER('Our policies'!J290)),MAX($B$3:B289)+1,"")</f>
        <v/>
      </c>
      <c r="E290">
        <f>IFERROR(MATCH(287,$B$4:$B$1003,0),"")</f>
        <v/>
      </c>
    </row>
    <row r="291">
      <c r="A291">
        <f>IF(AND(LEN('Our policies'!A291)&gt;0,ISNUMBER('Our policies'!J291)),'Our policies'!J291+288/100000,"")</f>
        <v/>
      </c>
      <c r="B291">
        <f>IF(AND(LEN('Our policies'!A291)&gt;0,ISNUMBER('Our policies'!J291)),MAX($B$3:B290)+1,"")</f>
        <v/>
      </c>
      <c r="E291">
        <f>IFERROR(MATCH(288,$B$4:$B$1003,0),"")</f>
        <v/>
      </c>
    </row>
    <row r="292">
      <c r="A292">
        <f>IF(AND(LEN('Our policies'!A292)&gt;0,ISNUMBER('Our policies'!J292)),'Our policies'!J292+289/100000,"")</f>
        <v/>
      </c>
      <c r="B292">
        <f>IF(AND(LEN('Our policies'!A292)&gt;0,ISNUMBER('Our policies'!J292)),MAX($B$3:B291)+1,"")</f>
        <v/>
      </c>
      <c r="E292">
        <f>IFERROR(MATCH(289,$B$4:$B$1003,0),"")</f>
        <v/>
      </c>
    </row>
    <row r="293">
      <c r="A293">
        <f>IF(AND(LEN('Our policies'!A293)&gt;0,ISNUMBER('Our policies'!J293)),'Our policies'!J293+290/100000,"")</f>
        <v/>
      </c>
      <c r="B293">
        <f>IF(AND(LEN('Our policies'!A293)&gt;0,ISNUMBER('Our policies'!J293)),MAX($B$3:B292)+1,"")</f>
        <v/>
      </c>
      <c r="E293">
        <f>IFERROR(MATCH(290,$B$4:$B$1003,0),"")</f>
        <v/>
      </c>
    </row>
    <row r="294">
      <c r="A294">
        <f>IF(AND(LEN('Our policies'!A294)&gt;0,ISNUMBER('Our policies'!J294)),'Our policies'!J294+291/100000,"")</f>
        <v/>
      </c>
      <c r="B294">
        <f>IF(AND(LEN('Our policies'!A294)&gt;0,ISNUMBER('Our policies'!J294)),MAX($B$3:B293)+1,"")</f>
        <v/>
      </c>
      <c r="E294">
        <f>IFERROR(MATCH(291,$B$4:$B$1003,0),"")</f>
        <v/>
      </c>
    </row>
    <row r="295">
      <c r="A295">
        <f>IF(AND(LEN('Our policies'!A295)&gt;0,ISNUMBER('Our policies'!J295)),'Our policies'!J295+292/100000,"")</f>
        <v/>
      </c>
      <c r="B295">
        <f>IF(AND(LEN('Our policies'!A295)&gt;0,ISNUMBER('Our policies'!J295)),MAX($B$3:B294)+1,"")</f>
        <v/>
      </c>
      <c r="E295">
        <f>IFERROR(MATCH(292,$B$4:$B$1003,0),"")</f>
        <v/>
      </c>
    </row>
    <row r="296">
      <c r="A296">
        <f>IF(AND(LEN('Our policies'!A296)&gt;0,ISNUMBER('Our policies'!J296)),'Our policies'!J296+293/100000,"")</f>
        <v/>
      </c>
      <c r="B296">
        <f>IF(AND(LEN('Our policies'!A296)&gt;0,ISNUMBER('Our policies'!J296)),MAX($B$3:B295)+1,"")</f>
        <v/>
      </c>
      <c r="E296">
        <f>IFERROR(MATCH(293,$B$4:$B$1003,0),"")</f>
        <v/>
      </c>
    </row>
    <row r="297">
      <c r="A297">
        <f>IF(AND(LEN('Our policies'!A297)&gt;0,ISNUMBER('Our policies'!J297)),'Our policies'!J297+294/100000,"")</f>
        <v/>
      </c>
      <c r="B297">
        <f>IF(AND(LEN('Our policies'!A297)&gt;0,ISNUMBER('Our policies'!J297)),MAX($B$3:B296)+1,"")</f>
        <v/>
      </c>
      <c r="E297">
        <f>IFERROR(MATCH(294,$B$4:$B$1003,0),"")</f>
        <v/>
      </c>
    </row>
    <row r="298">
      <c r="A298">
        <f>IF(AND(LEN('Our policies'!A298)&gt;0,ISNUMBER('Our policies'!J298)),'Our policies'!J298+295/100000,"")</f>
        <v/>
      </c>
      <c r="B298">
        <f>IF(AND(LEN('Our policies'!A298)&gt;0,ISNUMBER('Our policies'!J298)),MAX($B$3:B297)+1,"")</f>
        <v/>
      </c>
      <c r="E298">
        <f>IFERROR(MATCH(295,$B$4:$B$1003,0),"")</f>
        <v/>
      </c>
    </row>
    <row r="299">
      <c r="A299">
        <f>IF(AND(LEN('Our policies'!A299)&gt;0,ISNUMBER('Our policies'!J299)),'Our policies'!J299+296/100000,"")</f>
        <v/>
      </c>
      <c r="B299">
        <f>IF(AND(LEN('Our policies'!A299)&gt;0,ISNUMBER('Our policies'!J299)),MAX($B$3:B298)+1,"")</f>
        <v/>
      </c>
      <c r="E299">
        <f>IFERROR(MATCH(296,$B$4:$B$1003,0),"")</f>
        <v/>
      </c>
    </row>
    <row r="300">
      <c r="A300">
        <f>IF(AND(LEN('Our policies'!A300)&gt;0,ISNUMBER('Our policies'!J300)),'Our policies'!J300+297/100000,"")</f>
        <v/>
      </c>
      <c r="B300">
        <f>IF(AND(LEN('Our policies'!A300)&gt;0,ISNUMBER('Our policies'!J300)),MAX($B$3:B299)+1,"")</f>
        <v/>
      </c>
      <c r="E300">
        <f>IFERROR(MATCH(297,$B$4:$B$1003,0),"")</f>
        <v/>
      </c>
    </row>
    <row r="301">
      <c r="A301">
        <f>IF(AND(LEN('Our policies'!A301)&gt;0,ISNUMBER('Our policies'!J301)),'Our policies'!J301+298/100000,"")</f>
        <v/>
      </c>
      <c r="B301">
        <f>IF(AND(LEN('Our policies'!A301)&gt;0,ISNUMBER('Our policies'!J301)),MAX($B$3:B300)+1,"")</f>
        <v/>
      </c>
      <c r="E301">
        <f>IFERROR(MATCH(298,$B$4:$B$1003,0),"")</f>
        <v/>
      </c>
    </row>
    <row r="302">
      <c r="A302">
        <f>IF(AND(LEN('Our policies'!A302)&gt;0,ISNUMBER('Our policies'!J302)),'Our policies'!J302+299/100000,"")</f>
        <v/>
      </c>
      <c r="B302">
        <f>IF(AND(LEN('Our policies'!A302)&gt;0,ISNUMBER('Our policies'!J302)),MAX($B$3:B301)+1,"")</f>
        <v/>
      </c>
      <c r="E302">
        <f>IFERROR(MATCH(299,$B$4:$B$1003,0),"")</f>
        <v/>
      </c>
    </row>
    <row r="303">
      <c r="A303">
        <f>IF(AND(LEN('Our policies'!A303)&gt;0,ISNUMBER('Our policies'!J303)),'Our policies'!J303+300/100000,"")</f>
        <v/>
      </c>
      <c r="B303">
        <f>IF(AND(LEN('Our policies'!A303)&gt;0,ISNUMBER('Our policies'!J303)),MAX($B$3:B302)+1,"")</f>
        <v/>
      </c>
      <c r="E303">
        <f>IFERROR(MATCH(300,$B$4:$B$1003,0),"")</f>
        <v/>
      </c>
    </row>
    <row r="304">
      <c r="A304">
        <f>IF(AND(LEN('Our policies'!A304)&gt;0,ISNUMBER('Our policies'!J304)),'Our policies'!J304+301/100000,"")</f>
        <v/>
      </c>
      <c r="B304">
        <f>IF(AND(LEN('Our policies'!A304)&gt;0,ISNUMBER('Our policies'!J304)),MAX($B$3:B303)+1,"")</f>
        <v/>
      </c>
      <c r="E304">
        <f>IFERROR(MATCH(301,$B$4:$B$1003,0),"")</f>
        <v/>
      </c>
    </row>
    <row r="305">
      <c r="A305">
        <f>IF(AND(LEN('Our policies'!A305)&gt;0,ISNUMBER('Our policies'!J305)),'Our policies'!J305+302/100000,"")</f>
        <v/>
      </c>
      <c r="B305">
        <f>IF(AND(LEN('Our policies'!A305)&gt;0,ISNUMBER('Our policies'!J305)),MAX($B$3:B304)+1,"")</f>
        <v/>
      </c>
      <c r="E305">
        <f>IFERROR(MATCH(302,$B$4:$B$1003,0),"")</f>
        <v/>
      </c>
    </row>
    <row r="306">
      <c r="A306">
        <f>IF(AND(LEN('Our policies'!A306)&gt;0,ISNUMBER('Our policies'!J306)),'Our policies'!J306+303/100000,"")</f>
        <v/>
      </c>
      <c r="B306">
        <f>IF(AND(LEN('Our policies'!A306)&gt;0,ISNUMBER('Our policies'!J306)),MAX($B$3:B305)+1,"")</f>
        <v/>
      </c>
      <c r="E306">
        <f>IFERROR(MATCH(303,$B$4:$B$1003,0),"")</f>
        <v/>
      </c>
    </row>
    <row r="307">
      <c r="A307">
        <f>IF(AND(LEN('Our policies'!A307)&gt;0,ISNUMBER('Our policies'!J307)),'Our policies'!J307+304/100000,"")</f>
        <v/>
      </c>
      <c r="B307">
        <f>IF(AND(LEN('Our policies'!A307)&gt;0,ISNUMBER('Our policies'!J307)),MAX($B$3:B306)+1,"")</f>
        <v/>
      </c>
      <c r="E307">
        <f>IFERROR(MATCH(304,$B$4:$B$1003,0),"")</f>
        <v/>
      </c>
    </row>
    <row r="308">
      <c r="A308">
        <f>IF(AND(LEN('Our policies'!A308)&gt;0,ISNUMBER('Our policies'!J308)),'Our policies'!J308+305/100000,"")</f>
        <v/>
      </c>
      <c r="B308">
        <f>IF(AND(LEN('Our policies'!A308)&gt;0,ISNUMBER('Our policies'!J308)),MAX($B$3:B307)+1,"")</f>
        <v/>
      </c>
      <c r="E308">
        <f>IFERROR(MATCH(305,$B$4:$B$1003,0),"")</f>
        <v/>
      </c>
    </row>
    <row r="309">
      <c r="A309">
        <f>IF(AND(LEN('Our policies'!A309)&gt;0,ISNUMBER('Our policies'!J309)),'Our policies'!J309+306/100000,"")</f>
        <v/>
      </c>
      <c r="B309">
        <f>IF(AND(LEN('Our policies'!A309)&gt;0,ISNUMBER('Our policies'!J309)),MAX($B$3:B308)+1,"")</f>
        <v/>
      </c>
      <c r="E309">
        <f>IFERROR(MATCH(306,$B$4:$B$1003,0),"")</f>
        <v/>
      </c>
    </row>
    <row r="310">
      <c r="A310">
        <f>IF(AND(LEN('Our policies'!A310)&gt;0,ISNUMBER('Our policies'!J310)),'Our policies'!J310+307/100000,"")</f>
        <v/>
      </c>
      <c r="B310">
        <f>IF(AND(LEN('Our policies'!A310)&gt;0,ISNUMBER('Our policies'!J310)),MAX($B$3:B309)+1,"")</f>
        <v/>
      </c>
      <c r="E310">
        <f>IFERROR(MATCH(307,$B$4:$B$1003,0),"")</f>
        <v/>
      </c>
    </row>
    <row r="311">
      <c r="A311">
        <f>IF(AND(LEN('Our policies'!A311)&gt;0,ISNUMBER('Our policies'!J311)),'Our policies'!J311+308/100000,"")</f>
        <v/>
      </c>
      <c r="B311">
        <f>IF(AND(LEN('Our policies'!A311)&gt;0,ISNUMBER('Our policies'!J311)),MAX($B$3:B310)+1,"")</f>
        <v/>
      </c>
      <c r="E311">
        <f>IFERROR(MATCH(308,$B$4:$B$1003,0),"")</f>
        <v/>
      </c>
    </row>
    <row r="312">
      <c r="A312">
        <f>IF(AND(LEN('Our policies'!A312)&gt;0,ISNUMBER('Our policies'!J312)),'Our policies'!J312+309/100000,"")</f>
        <v/>
      </c>
      <c r="B312">
        <f>IF(AND(LEN('Our policies'!A312)&gt;0,ISNUMBER('Our policies'!J312)),MAX($B$3:B311)+1,"")</f>
        <v/>
      </c>
      <c r="E312">
        <f>IFERROR(MATCH(309,$B$4:$B$1003,0),"")</f>
        <v/>
      </c>
    </row>
    <row r="313">
      <c r="A313">
        <f>IF(AND(LEN('Our policies'!A313)&gt;0,ISNUMBER('Our policies'!J313)),'Our policies'!J313+310/100000,"")</f>
        <v/>
      </c>
      <c r="B313">
        <f>IF(AND(LEN('Our policies'!A313)&gt;0,ISNUMBER('Our policies'!J313)),MAX($B$3:B312)+1,"")</f>
        <v/>
      </c>
      <c r="E313">
        <f>IFERROR(MATCH(310,$B$4:$B$1003,0),"")</f>
        <v/>
      </c>
    </row>
    <row r="314">
      <c r="A314">
        <f>IF(AND(LEN('Our policies'!A314)&gt;0,ISNUMBER('Our policies'!J314)),'Our policies'!J314+311/100000,"")</f>
        <v/>
      </c>
      <c r="B314">
        <f>IF(AND(LEN('Our policies'!A314)&gt;0,ISNUMBER('Our policies'!J314)),MAX($B$3:B313)+1,"")</f>
        <v/>
      </c>
      <c r="E314">
        <f>IFERROR(MATCH(311,$B$4:$B$1003,0),"")</f>
        <v/>
      </c>
    </row>
    <row r="315">
      <c r="A315">
        <f>IF(AND(LEN('Our policies'!A315)&gt;0,ISNUMBER('Our policies'!J315)),'Our policies'!J315+312/100000,"")</f>
        <v/>
      </c>
      <c r="B315">
        <f>IF(AND(LEN('Our policies'!A315)&gt;0,ISNUMBER('Our policies'!J315)),MAX($B$3:B314)+1,"")</f>
        <v/>
      </c>
      <c r="E315">
        <f>IFERROR(MATCH(312,$B$4:$B$1003,0),"")</f>
        <v/>
      </c>
    </row>
    <row r="316">
      <c r="A316">
        <f>IF(AND(LEN('Our policies'!A316)&gt;0,ISNUMBER('Our policies'!J316)),'Our policies'!J316+313/100000,"")</f>
        <v/>
      </c>
      <c r="B316">
        <f>IF(AND(LEN('Our policies'!A316)&gt;0,ISNUMBER('Our policies'!J316)),MAX($B$3:B315)+1,"")</f>
        <v/>
      </c>
      <c r="E316">
        <f>IFERROR(MATCH(313,$B$4:$B$1003,0),"")</f>
        <v/>
      </c>
    </row>
    <row r="317">
      <c r="A317">
        <f>IF(AND(LEN('Our policies'!A317)&gt;0,ISNUMBER('Our policies'!J317)),'Our policies'!J317+314/100000,"")</f>
        <v/>
      </c>
      <c r="B317">
        <f>IF(AND(LEN('Our policies'!A317)&gt;0,ISNUMBER('Our policies'!J317)),MAX($B$3:B316)+1,"")</f>
        <v/>
      </c>
      <c r="E317">
        <f>IFERROR(MATCH(314,$B$4:$B$1003,0),"")</f>
        <v/>
      </c>
    </row>
    <row r="318">
      <c r="A318">
        <f>IF(AND(LEN('Our policies'!A318)&gt;0,ISNUMBER('Our policies'!J318)),'Our policies'!J318+315/100000,"")</f>
        <v/>
      </c>
      <c r="B318">
        <f>IF(AND(LEN('Our policies'!A318)&gt;0,ISNUMBER('Our policies'!J318)),MAX($B$3:B317)+1,"")</f>
        <v/>
      </c>
      <c r="E318">
        <f>IFERROR(MATCH(315,$B$4:$B$1003,0),"")</f>
        <v/>
      </c>
    </row>
    <row r="319">
      <c r="A319">
        <f>IF(AND(LEN('Our policies'!A319)&gt;0,ISNUMBER('Our policies'!J319)),'Our policies'!J319+316/100000,"")</f>
        <v/>
      </c>
      <c r="B319">
        <f>IF(AND(LEN('Our policies'!A319)&gt;0,ISNUMBER('Our policies'!J319)),MAX($B$3:B318)+1,"")</f>
        <v/>
      </c>
      <c r="E319">
        <f>IFERROR(MATCH(316,$B$4:$B$1003,0),"")</f>
        <v/>
      </c>
    </row>
    <row r="320">
      <c r="A320">
        <f>IF(AND(LEN('Our policies'!A320)&gt;0,ISNUMBER('Our policies'!J320)),'Our policies'!J320+317/100000,"")</f>
        <v/>
      </c>
      <c r="B320">
        <f>IF(AND(LEN('Our policies'!A320)&gt;0,ISNUMBER('Our policies'!J320)),MAX($B$3:B319)+1,"")</f>
        <v/>
      </c>
      <c r="E320">
        <f>IFERROR(MATCH(317,$B$4:$B$1003,0),"")</f>
        <v/>
      </c>
    </row>
    <row r="321">
      <c r="A321">
        <f>IF(AND(LEN('Our policies'!A321)&gt;0,ISNUMBER('Our policies'!J321)),'Our policies'!J321+318/100000,"")</f>
        <v/>
      </c>
      <c r="B321">
        <f>IF(AND(LEN('Our policies'!A321)&gt;0,ISNUMBER('Our policies'!J321)),MAX($B$3:B320)+1,"")</f>
        <v/>
      </c>
      <c r="E321">
        <f>IFERROR(MATCH(318,$B$4:$B$1003,0),"")</f>
        <v/>
      </c>
    </row>
    <row r="322">
      <c r="A322">
        <f>IF(AND(LEN('Our policies'!A322)&gt;0,ISNUMBER('Our policies'!J322)),'Our policies'!J322+319/100000,"")</f>
        <v/>
      </c>
      <c r="B322">
        <f>IF(AND(LEN('Our policies'!A322)&gt;0,ISNUMBER('Our policies'!J322)),MAX($B$3:B321)+1,"")</f>
        <v/>
      </c>
      <c r="E322">
        <f>IFERROR(MATCH(319,$B$4:$B$1003,0),"")</f>
        <v/>
      </c>
    </row>
    <row r="323">
      <c r="A323">
        <f>IF(AND(LEN('Our policies'!A323)&gt;0,ISNUMBER('Our policies'!J323)),'Our policies'!J323+320/100000,"")</f>
        <v/>
      </c>
      <c r="B323">
        <f>IF(AND(LEN('Our policies'!A323)&gt;0,ISNUMBER('Our policies'!J323)),MAX($B$3:B322)+1,"")</f>
        <v/>
      </c>
      <c r="E323">
        <f>IFERROR(MATCH(320,$B$4:$B$1003,0),"")</f>
        <v/>
      </c>
    </row>
    <row r="324">
      <c r="A324">
        <f>IF(AND(LEN('Our policies'!A324)&gt;0,ISNUMBER('Our policies'!J324)),'Our policies'!J324+321/100000,"")</f>
        <v/>
      </c>
      <c r="B324">
        <f>IF(AND(LEN('Our policies'!A324)&gt;0,ISNUMBER('Our policies'!J324)),MAX($B$3:B323)+1,"")</f>
        <v/>
      </c>
      <c r="E324">
        <f>IFERROR(MATCH(321,$B$4:$B$1003,0),"")</f>
        <v/>
      </c>
    </row>
    <row r="325">
      <c r="A325">
        <f>IF(AND(LEN('Our policies'!A325)&gt;0,ISNUMBER('Our policies'!J325)),'Our policies'!J325+322/100000,"")</f>
        <v/>
      </c>
      <c r="B325">
        <f>IF(AND(LEN('Our policies'!A325)&gt;0,ISNUMBER('Our policies'!J325)),MAX($B$3:B324)+1,"")</f>
        <v/>
      </c>
      <c r="E325">
        <f>IFERROR(MATCH(322,$B$4:$B$1003,0),"")</f>
        <v/>
      </c>
    </row>
    <row r="326">
      <c r="A326">
        <f>IF(AND(LEN('Our policies'!A326)&gt;0,ISNUMBER('Our policies'!J326)),'Our policies'!J326+323/100000,"")</f>
        <v/>
      </c>
      <c r="B326">
        <f>IF(AND(LEN('Our policies'!A326)&gt;0,ISNUMBER('Our policies'!J326)),MAX($B$3:B325)+1,"")</f>
        <v/>
      </c>
      <c r="E326">
        <f>IFERROR(MATCH(323,$B$4:$B$1003,0),"")</f>
        <v/>
      </c>
    </row>
    <row r="327">
      <c r="A327">
        <f>IF(AND(LEN('Our policies'!A327)&gt;0,ISNUMBER('Our policies'!J327)),'Our policies'!J327+324/100000,"")</f>
        <v/>
      </c>
      <c r="B327">
        <f>IF(AND(LEN('Our policies'!A327)&gt;0,ISNUMBER('Our policies'!J327)),MAX($B$3:B326)+1,"")</f>
        <v/>
      </c>
      <c r="E327">
        <f>IFERROR(MATCH(324,$B$4:$B$1003,0),"")</f>
        <v/>
      </c>
    </row>
    <row r="328">
      <c r="A328">
        <f>IF(AND(LEN('Our policies'!A328)&gt;0,ISNUMBER('Our policies'!J328)),'Our policies'!J328+325/100000,"")</f>
        <v/>
      </c>
      <c r="B328">
        <f>IF(AND(LEN('Our policies'!A328)&gt;0,ISNUMBER('Our policies'!J328)),MAX($B$3:B327)+1,"")</f>
        <v/>
      </c>
      <c r="E328">
        <f>IFERROR(MATCH(325,$B$4:$B$1003,0),"")</f>
        <v/>
      </c>
    </row>
    <row r="329">
      <c r="A329">
        <f>IF(AND(LEN('Our policies'!A329)&gt;0,ISNUMBER('Our policies'!J329)),'Our policies'!J329+326/100000,"")</f>
        <v/>
      </c>
      <c r="B329">
        <f>IF(AND(LEN('Our policies'!A329)&gt;0,ISNUMBER('Our policies'!J329)),MAX($B$3:B328)+1,"")</f>
        <v/>
      </c>
      <c r="E329">
        <f>IFERROR(MATCH(326,$B$4:$B$1003,0),"")</f>
        <v/>
      </c>
    </row>
    <row r="330">
      <c r="A330">
        <f>IF(AND(LEN('Our policies'!A330)&gt;0,ISNUMBER('Our policies'!J330)),'Our policies'!J330+327/100000,"")</f>
        <v/>
      </c>
      <c r="B330">
        <f>IF(AND(LEN('Our policies'!A330)&gt;0,ISNUMBER('Our policies'!J330)),MAX($B$3:B329)+1,"")</f>
        <v/>
      </c>
      <c r="E330">
        <f>IFERROR(MATCH(327,$B$4:$B$1003,0),"")</f>
        <v/>
      </c>
    </row>
    <row r="331">
      <c r="A331">
        <f>IF(AND(LEN('Our policies'!A331)&gt;0,ISNUMBER('Our policies'!J331)),'Our policies'!J331+328/100000,"")</f>
        <v/>
      </c>
      <c r="B331">
        <f>IF(AND(LEN('Our policies'!A331)&gt;0,ISNUMBER('Our policies'!J331)),MAX($B$3:B330)+1,"")</f>
        <v/>
      </c>
      <c r="E331">
        <f>IFERROR(MATCH(328,$B$4:$B$1003,0),"")</f>
        <v/>
      </c>
    </row>
    <row r="332">
      <c r="A332">
        <f>IF(AND(LEN('Our policies'!A332)&gt;0,ISNUMBER('Our policies'!J332)),'Our policies'!J332+329/100000,"")</f>
        <v/>
      </c>
      <c r="B332">
        <f>IF(AND(LEN('Our policies'!A332)&gt;0,ISNUMBER('Our policies'!J332)),MAX($B$3:B331)+1,"")</f>
        <v/>
      </c>
      <c r="E332">
        <f>IFERROR(MATCH(329,$B$4:$B$1003,0),"")</f>
        <v/>
      </c>
    </row>
    <row r="333">
      <c r="A333">
        <f>IF(AND(LEN('Our policies'!A333)&gt;0,ISNUMBER('Our policies'!J333)),'Our policies'!J333+330/100000,"")</f>
        <v/>
      </c>
      <c r="B333">
        <f>IF(AND(LEN('Our policies'!A333)&gt;0,ISNUMBER('Our policies'!J333)),MAX($B$3:B332)+1,"")</f>
        <v/>
      </c>
      <c r="E333">
        <f>IFERROR(MATCH(330,$B$4:$B$1003,0),"")</f>
        <v/>
      </c>
    </row>
    <row r="334">
      <c r="A334">
        <f>IF(AND(LEN('Our policies'!A334)&gt;0,ISNUMBER('Our policies'!J334)),'Our policies'!J334+331/100000,"")</f>
        <v/>
      </c>
      <c r="B334">
        <f>IF(AND(LEN('Our policies'!A334)&gt;0,ISNUMBER('Our policies'!J334)),MAX($B$3:B333)+1,"")</f>
        <v/>
      </c>
      <c r="E334">
        <f>IFERROR(MATCH(331,$B$4:$B$1003,0),"")</f>
        <v/>
      </c>
    </row>
    <row r="335">
      <c r="A335">
        <f>IF(AND(LEN('Our policies'!A335)&gt;0,ISNUMBER('Our policies'!J335)),'Our policies'!J335+332/100000,"")</f>
        <v/>
      </c>
      <c r="B335">
        <f>IF(AND(LEN('Our policies'!A335)&gt;0,ISNUMBER('Our policies'!J335)),MAX($B$3:B334)+1,"")</f>
        <v/>
      </c>
      <c r="E335">
        <f>IFERROR(MATCH(332,$B$4:$B$1003,0),"")</f>
        <v/>
      </c>
    </row>
    <row r="336">
      <c r="A336">
        <f>IF(AND(LEN('Our policies'!A336)&gt;0,ISNUMBER('Our policies'!J336)),'Our policies'!J336+333/100000,"")</f>
        <v/>
      </c>
      <c r="B336">
        <f>IF(AND(LEN('Our policies'!A336)&gt;0,ISNUMBER('Our policies'!J336)),MAX($B$3:B335)+1,"")</f>
        <v/>
      </c>
      <c r="E336">
        <f>IFERROR(MATCH(333,$B$4:$B$1003,0),"")</f>
        <v/>
      </c>
    </row>
    <row r="337">
      <c r="A337">
        <f>IF(AND(LEN('Our policies'!A337)&gt;0,ISNUMBER('Our policies'!J337)),'Our policies'!J337+334/100000,"")</f>
        <v/>
      </c>
      <c r="B337">
        <f>IF(AND(LEN('Our policies'!A337)&gt;0,ISNUMBER('Our policies'!J337)),MAX($B$3:B336)+1,"")</f>
        <v/>
      </c>
      <c r="E337">
        <f>IFERROR(MATCH(334,$B$4:$B$1003,0),"")</f>
        <v/>
      </c>
    </row>
    <row r="338">
      <c r="A338">
        <f>IF(AND(LEN('Our policies'!A338)&gt;0,ISNUMBER('Our policies'!J338)),'Our policies'!J338+335/100000,"")</f>
        <v/>
      </c>
      <c r="B338">
        <f>IF(AND(LEN('Our policies'!A338)&gt;0,ISNUMBER('Our policies'!J338)),MAX($B$3:B337)+1,"")</f>
        <v/>
      </c>
      <c r="E338">
        <f>IFERROR(MATCH(335,$B$4:$B$1003,0),"")</f>
        <v/>
      </c>
    </row>
    <row r="339">
      <c r="A339">
        <f>IF(AND(LEN('Our policies'!A339)&gt;0,ISNUMBER('Our policies'!J339)),'Our policies'!J339+336/100000,"")</f>
        <v/>
      </c>
      <c r="B339">
        <f>IF(AND(LEN('Our policies'!A339)&gt;0,ISNUMBER('Our policies'!J339)),MAX($B$3:B338)+1,"")</f>
        <v/>
      </c>
      <c r="E339">
        <f>IFERROR(MATCH(336,$B$4:$B$1003,0),"")</f>
        <v/>
      </c>
    </row>
    <row r="340">
      <c r="A340">
        <f>IF(AND(LEN('Our policies'!A340)&gt;0,ISNUMBER('Our policies'!J340)),'Our policies'!J340+337/100000,"")</f>
        <v/>
      </c>
      <c r="B340">
        <f>IF(AND(LEN('Our policies'!A340)&gt;0,ISNUMBER('Our policies'!J340)),MAX($B$3:B339)+1,"")</f>
        <v/>
      </c>
      <c r="E340">
        <f>IFERROR(MATCH(337,$B$4:$B$1003,0),"")</f>
        <v/>
      </c>
    </row>
    <row r="341">
      <c r="A341">
        <f>IF(AND(LEN('Our policies'!A341)&gt;0,ISNUMBER('Our policies'!J341)),'Our policies'!J341+338/100000,"")</f>
        <v/>
      </c>
      <c r="B341">
        <f>IF(AND(LEN('Our policies'!A341)&gt;0,ISNUMBER('Our policies'!J341)),MAX($B$3:B340)+1,"")</f>
        <v/>
      </c>
      <c r="E341">
        <f>IFERROR(MATCH(338,$B$4:$B$1003,0),"")</f>
        <v/>
      </c>
    </row>
    <row r="342">
      <c r="A342">
        <f>IF(AND(LEN('Our policies'!A342)&gt;0,ISNUMBER('Our policies'!J342)),'Our policies'!J342+339/100000,"")</f>
        <v/>
      </c>
      <c r="B342">
        <f>IF(AND(LEN('Our policies'!A342)&gt;0,ISNUMBER('Our policies'!J342)),MAX($B$3:B341)+1,"")</f>
        <v/>
      </c>
      <c r="E342">
        <f>IFERROR(MATCH(339,$B$4:$B$1003,0),"")</f>
        <v/>
      </c>
    </row>
    <row r="343">
      <c r="A343">
        <f>IF(AND(LEN('Our policies'!A343)&gt;0,ISNUMBER('Our policies'!J343)),'Our policies'!J343+340/100000,"")</f>
        <v/>
      </c>
      <c r="B343">
        <f>IF(AND(LEN('Our policies'!A343)&gt;0,ISNUMBER('Our policies'!J343)),MAX($B$3:B342)+1,"")</f>
        <v/>
      </c>
      <c r="E343">
        <f>IFERROR(MATCH(340,$B$4:$B$1003,0),"")</f>
        <v/>
      </c>
    </row>
    <row r="344">
      <c r="A344">
        <f>IF(AND(LEN('Our policies'!A344)&gt;0,ISNUMBER('Our policies'!J344)),'Our policies'!J344+341/100000,"")</f>
        <v/>
      </c>
      <c r="B344">
        <f>IF(AND(LEN('Our policies'!A344)&gt;0,ISNUMBER('Our policies'!J344)),MAX($B$3:B343)+1,"")</f>
        <v/>
      </c>
      <c r="E344">
        <f>IFERROR(MATCH(341,$B$4:$B$1003,0),"")</f>
        <v/>
      </c>
    </row>
    <row r="345">
      <c r="A345">
        <f>IF(AND(LEN('Our policies'!A345)&gt;0,ISNUMBER('Our policies'!J345)),'Our policies'!J345+342/100000,"")</f>
        <v/>
      </c>
      <c r="B345">
        <f>IF(AND(LEN('Our policies'!A345)&gt;0,ISNUMBER('Our policies'!J345)),MAX($B$3:B344)+1,"")</f>
        <v/>
      </c>
      <c r="E345">
        <f>IFERROR(MATCH(342,$B$4:$B$1003,0),"")</f>
        <v/>
      </c>
    </row>
    <row r="346">
      <c r="A346">
        <f>IF(AND(LEN('Our policies'!A346)&gt;0,ISNUMBER('Our policies'!J346)),'Our policies'!J346+343/100000,"")</f>
        <v/>
      </c>
      <c r="B346">
        <f>IF(AND(LEN('Our policies'!A346)&gt;0,ISNUMBER('Our policies'!J346)),MAX($B$3:B345)+1,"")</f>
        <v/>
      </c>
      <c r="E346">
        <f>IFERROR(MATCH(343,$B$4:$B$1003,0),"")</f>
        <v/>
      </c>
    </row>
    <row r="347">
      <c r="A347">
        <f>IF(AND(LEN('Our policies'!A347)&gt;0,ISNUMBER('Our policies'!J347)),'Our policies'!J347+344/100000,"")</f>
        <v/>
      </c>
      <c r="B347">
        <f>IF(AND(LEN('Our policies'!A347)&gt;0,ISNUMBER('Our policies'!J347)),MAX($B$3:B346)+1,"")</f>
        <v/>
      </c>
      <c r="E347">
        <f>IFERROR(MATCH(344,$B$4:$B$1003,0),"")</f>
        <v/>
      </c>
    </row>
    <row r="348">
      <c r="A348">
        <f>IF(AND(LEN('Our policies'!A348)&gt;0,ISNUMBER('Our policies'!J348)),'Our policies'!J348+345/100000,"")</f>
        <v/>
      </c>
      <c r="B348">
        <f>IF(AND(LEN('Our policies'!A348)&gt;0,ISNUMBER('Our policies'!J348)),MAX($B$3:B347)+1,"")</f>
        <v/>
      </c>
      <c r="E348">
        <f>IFERROR(MATCH(345,$B$4:$B$1003,0),"")</f>
        <v/>
      </c>
    </row>
    <row r="349">
      <c r="A349">
        <f>IF(AND(LEN('Our policies'!A349)&gt;0,ISNUMBER('Our policies'!J349)),'Our policies'!J349+346/100000,"")</f>
        <v/>
      </c>
      <c r="B349">
        <f>IF(AND(LEN('Our policies'!A349)&gt;0,ISNUMBER('Our policies'!J349)),MAX($B$3:B348)+1,"")</f>
        <v/>
      </c>
      <c r="E349">
        <f>IFERROR(MATCH(346,$B$4:$B$1003,0),"")</f>
        <v/>
      </c>
    </row>
    <row r="350">
      <c r="A350">
        <f>IF(AND(LEN('Our policies'!A350)&gt;0,ISNUMBER('Our policies'!J350)),'Our policies'!J350+347/100000,"")</f>
        <v/>
      </c>
      <c r="B350">
        <f>IF(AND(LEN('Our policies'!A350)&gt;0,ISNUMBER('Our policies'!J350)),MAX($B$3:B349)+1,"")</f>
        <v/>
      </c>
      <c r="E350">
        <f>IFERROR(MATCH(347,$B$4:$B$1003,0),"")</f>
        <v/>
      </c>
    </row>
    <row r="351">
      <c r="A351">
        <f>IF(AND(LEN('Our policies'!A351)&gt;0,ISNUMBER('Our policies'!J351)),'Our policies'!J351+348/100000,"")</f>
        <v/>
      </c>
      <c r="B351">
        <f>IF(AND(LEN('Our policies'!A351)&gt;0,ISNUMBER('Our policies'!J351)),MAX($B$3:B350)+1,"")</f>
        <v/>
      </c>
      <c r="E351">
        <f>IFERROR(MATCH(348,$B$4:$B$1003,0),"")</f>
        <v/>
      </c>
    </row>
    <row r="352">
      <c r="A352">
        <f>IF(AND(LEN('Our policies'!A352)&gt;0,ISNUMBER('Our policies'!J352)),'Our policies'!J352+349/100000,"")</f>
        <v/>
      </c>
      <c r="B352">
        <f>IF(AND(LEN('Our policies'!A352)&gt;0,ISNUMBER('Our policies'!J352)),MAX($B$3:B351)+1,"")</f>
        <v/>
      </c>
      <c r="E352">
        <f>IFERROR(MATCH(349,$B$4:$B$1003,0),"")</f>
        <v/>
      </c>
    </row>
    <row r="353">
      <c r="A353">
        <f>IF(AND(LEN('Our policies'!A353)&gt;0,ISNUMBER('Our policies'!J353)),'Our policies'!J353+350/100000,"")</f>
        <v/>
      </c>
      <c r="B353">
        <f>IF(AND(LEN('Our policies'!A353)&gt;0,ISNUMBER('Our policies'!J353)),MAX($B$3:B352)+1,"")</f>
        <v/>
      </c>
      <c r="E353">
        <f>IFERROR(MATCH(350,$B$4:$B$1003,0),"")</f>
        <v/>
      </c>
    </row>
    <row r="354">
      <c r="A354">
        <f>IF(AND(LEN('Our policies'!A354)&gt;0,ISNUMBER('Our policies'!J354)),'Our policies'!J354+351/100000,"")</f>
        <v/>
      </c>
      <c r="B354">
        <f>IF(AND(LEN('Our policies'!A354)&gt;0,ISNUMBER('Our policies'!J354)),MAX($B$3:B353)+1,"")</f>
        <v/>
      </c>
      <c r="E354">
        <f>IFERROR(MATCH(351,$B$4:$B$1003,0),"")</f>
        <v/>
      </c>
    </row>
    <row r="355">
      <c r="A355">
        <f>IF(AND(LEN('Our policies'!A355)&gt;0,ISNUMBER('Our policies'!J355)),'Our policies'!J355+352/100000,"")</f>
        <v/>
      </c>
      <c r="B355">
        <f>IF(AND(LEN('Our policies'!A355)&gt;0,ISNUMBER('Our policies'!J355)),MAX($B$3:B354)+1,"")</f>
        <v/>
      </c>
      <c r="E355">
        <f>IFERROR(MATCH(352,$B$4:$B$1003,0),"")</f>
        <v/>
      </c>
    </row>
    <row r="356">
      <c r="A356">
        <f>IF(AND(LEN('Our policies'!A356)&gt;0,ISNUMBER('Our policies'!J356)),'Our policies'!J356+353/100000,"")</f>
        <v/>
      </c>
      <c r="B356">
        <f>IF(AND(LEN('Our policies'!A356)&gt;0,ISNUMBER('Our policies'!J356)),MAX($B$3:B355)+1,"")</f>
        <v/>
      </c>
      <c r="E356">
        <f>IFERROR(MATCH(353,$B$4:$B$1003,0),"")</f>
        <v/>
      </c>
    </row>
    <row r="357">
      <c r="A357">
        <f>IF(AND(LEN('Our policies'!A357)&gt;0,ISNUMBER('Our policies'!J357)),'Our policies'!J357+354/100000,"")</f>
        <v/>
      </c>
      <c r="B357">
        <f>IF(AND(LEN('Our policies'!A357)&gt;0,ISNUMBER('Our policies'!J357)),MAX($B$3:B356)+1,"")</f>
        <v/>
      </c>
      <c r="E357">
        <f>IFERROR(MATCH(354,$B$4:$B$1003,0),"")</f>
        <v/>
      </c>
    </row>
    <row r="358">
      <c r="A358">
        <f>IF(AND(LEN('Our policies'!A358)&gt;0,ISNUMBER('Our policies'!J358)),'Our policies'!J358+355/100000,"")</f>
        <v/>
      </c>
      <c r="B358">
        <f>IF(AND(LEN('Our policies'!A358)&gt;0,ISNUMBER('Our policies'!J358)),MAX($B$3:B357)+1,"")</f>
        <v/>
      </c>
      <c r="E358">
        <f>IFERROR(MATCH(355,$B$4:$B$1003,0),"")</f>
        <v/>
      </c>
    </row>
    <row r="359">
      <c r="A359">
        <f>IF(AND(LEN('Our policies'!A359)&gt;0,ISNUMBER('Our policies'!J359)),'Our policies'!J359+356/100000,"")</f>
        <v/>
      </c>
      <c r="B359">
        <f>IF(AND(LEN('Our policies'!A359)&gt;0,ISNUMBER('Our policies'!J359)),MAX($B$3:B358)+1,"")</f>
        <v/>
      </c>
      <c r="E359">
        <f>IFERROR(MATCH(356,$B$4:$B$1003,0),"")</f>
        <v/>
      </c>
    </row>
    <row r="360">
      <c r="A360">
        <f>IF(AND(LEN('Our policies'!A360)&gt;0,ISNUMBER('Our policies'!J360)),'Our policies'!J360+357/100000,"")</f>
        <v/>
      </c>
      <c r="B360">
        <f>IF(AND(LEN('Our policies'!A360)&gt;0,ISNUMBER('Our policies'!J360)),MAX($B$3:B359)+1,"")</f>
        <v/>
      </c>
      <c r="E360">
        <f>IFERROR(MATCH(357,$B$4:$B$1003,0),"")</f>
        <v/>
      </c>
    </row>
    <row r="361">
      <c r="A361">
        <f>IF(AND(LEN('Our policies'!A361)&gt;0,ISNUMBER('Our policies'!J361)),'Our policies'!J361+358/100000,"")</f>
        <v/>
      </c>
      <c r="B361">
        <f>IF(AND(LEN('Our policies'!A361)&gt;0,ISNUMBER('Our policies'!J361)),MAX($B$3:B360)+1,"")</f>
        <v/>
      </c>
      <c r="E361">
        <f>IFERROR(MATCH(358,$B$4:$B$1003,0),"")</f>
        <v/>
      </c>
    </row>
    <row r="362">
      <c r="A362">
        <f>IF(AND(LEN('Our policies'!A362)&gt;0,ISNUMBER('Our policies'!J362)),'Our policies'!J362+359/100000,"")</f>
        <v/>
      </c>
      <c r="B362">
        <f>IF(AND(LEN('Our policies'!A362)&gt;0,ISNUMBER('Our policies'!J362)),MAX($B$3:B361)+1,"")</f>
        <v/>
      </c>
      <c r="E362">
        <f>IFERROR(MATCH(359,$B$4:$B$1003,0),"")</f>
        <v/>
      </c>
    </row>
    <row r="363">
      <c r="A363">
        <f>IF(AND(LEN('Our policies'!A363)&gt;0,ISNUMBER('Our policies'!J363)),'Our policies'!J363+360/100000,"")</f>
        <v/>
      </c>
      <c r="B363">
        <f>IF(AND(LEN('Our policies'!A363)&gt;0,ISNUMBER('Our policies'!J363)),MAX($B$3:B362)+1,"")</f>
        <v/>
      </c>
      <c r="E363">
        <f>IFERROR(MATCH(360,$B$4:$B$1003,0),"")</f>
        <v/>
      </c>
    </row>
    <row r="364">
      <c r="A364">
        <f>IF(AND(LEN('Our policies'!A364)&gt;0,ISNUMBER('Our policies'!J364)),'Our policies'!J364+361/100000,"")</f>
        <v/>
      </c>
      <c r="B364">
        <f>IF(AND(LEN('Our policies'!A364)&gt;0,ISNUMBER('Our policies'!J364)),MAX($B$3:B363)+1,"")</f>
        <v/>
      </c>
      <c r="E364">
        <f>IFERROR(MATCH(361,$B$4:$B$1003,0),"")</f>
        <v/>
      </c>
    </row>
    <row r="365">
      <c r="A365">
        <f>IF(AND(LEN('Our policies'!A365)&gt;0,ISNUMBER('Our policies'!J365)),'Our policies'!J365+362/100000,"")</f>
        <v/>
      </c>
      <c r="B365">
        <f>IF(AND(LEN('Our policies'!A365)&gt;0,ISNUMBER('Our policies'!J365)),MAX($B$3:B364)+1,"")</f>
        <v/>
      </c>
      <c r="E365">
        <f>IFERROR(MATCH(362,$B$4:$B$1003,0),"")</f>
        <v/>
      </c>
    </row>
    <row r="366">
      <c r="A366">
        <f>IF(AND(LEN('Our policies'!A366)&gt;0,ISNUMBER('Our policies'!J366)),'Our policies'!J366+363/100000,"")</f>
        <v/>
      </c>
      <c r="B366">
        <f>IF(AND(LEN('Our policies'!A366)&gt;0,ISNUMBER('Our policies'!J366)),MAX($B$3:B365)+1,"")</f>
        <v/>
      </c>
      <c r="E366">
        <f>IFERROR(MATCH(363,$B$4:$B$1003,0),"")</f>
        <v/>
      </c>
    </row>
    <row r="367">
      <c r="A367">
        <f>IF(AND(LEN('Our policies'!A367)&gt;0,ISNUMBER('Our policies'!J367)),'Our policies'!J367+364/100000,"")</f>
        <v/>
      </c>
      <c r="B367">
        <f>IF(AND(LEN('Our policies'!A367)&gt;0,ISNUMBER('Our policies'!J367)),MAX($B$3:B366)+1,"")</f>
        <v/>
      </c>
      <c r="E367">
        <f>IFERROR(MATCH(364,$B$4:$B$1003,0),"")</f>
        <v/>
      </c>
    </row>
    <row r="368">
      <c r="A368">
        <f>IF(AND(LEN('Our policies'!A368)&gt;0,ISNUMBER('Our policies'!J368)),'Our policies'!J368+365/100000,"")</f>
        <v/>
      </c>
      <c r="B368">
        <f>IF(AND(LEN('Our policies'!A368)&gt;0,ISNUMBER('Our policies'!J368)),MAX($B$3:B367)+1,"")</f>
        <v/>
      </c>
      <c r="E368">
        <f>IFERROR(MATCH(365,$B$4:$B$1003,0),"")</f>
        <v/>
      </c>
    </row>
    <row r="369">
      <c r="A369">
        <f>IF(AND(LEN('Our policies'!A369)&gt;0,ISNUMBER('Our policies'!J369)),'Our policies'!J369+366/100000,"")</f>
        <v/>
      </c>
      <c r="B369">
        <f>IF(AND(LEN('Our policies'!A369)&gt;0,ISNUMBER('Our policies'!J369)),MAX($B$3:B368)+1,"")</f>
        <v/>
      </c>
      <c r="E369">
        <f>IFERROR(MATCH(366,$B$4:$B$1003,0),"")</f>
        <v/>
      </c>
    </row>
    <row r="370">
      <c r="A370">
        <f>IF(AND(LEN('Our policies'!A370)&gt;0,ISNUMBER('Our policies'!J370)),'Our policies'!J370+367/100000,"")</f>
        <v/>
      </c>
      <c r="B370">
        <f>IF(AND(LEN('Our policies'!A370)&gt;0,ISNUMBER('Our policies'!J370)),MAX($B$3:B369)+1,"")</f>
        <v/>
      </c>
      <c r="E370">
        <f>IFERROR(MATCH(367,$B$4:$B$1003,0),"")</f>
        <v/>
      </c>
    </row>
    <row r="371">
      <c r="A371">
        <f>IF(AND(LEN('Our policies'!A371)&gt;0,ISNUMBER('Our policies'!J371)),'Our policies'!J371+368/100000,"")</f>
        <v/>
      </c>
      <c r="B371">
        <f>IF(AND(LEN('Our policies'!A371)&gt;0,ISNUMBER('Our policies'!J371)),MAX($B$3:B370)+1,"")</f>
        <v/>
      </c>
      <c r="E371">
        <f>IFERROR(MATCH(368,$B$4:$B$1003,0),"")</f>
        <v/>
      </c>
    </row>
    <row r="372">
      <c r="A372">
        <f>IF(AND(LEN('Our policies'!A372)&gt;0,ISNUMBER('Our policies'!J372)),'Our policies'!J372+369/100000,"")</f>
        <v/>
      </c>
      <c r="B372">
        <f>IF(AND(LEN('Our policies'!A372)&gt;0,ISNUMBER('Our policies'!J372)),MAX($B$3:B371)+1,"")</f>
        <v/>
      </c>
      <c r="E372">
        <f>IFERROR(MATCH(369,$B$4:$B$1003,0),"")</f>
        <v/>
      </c>
    </row>
    <row r="373">
      <c r="A373">
        <f>IF(AND(LEN('Our policies'!A373)&gt;0,ISNUMBER('Our policies'!J373)),'Our policies'!J373+370/100000,"")</f>
        <v/>
      </c>
      <c r="B373">
        <f>IF(AND(LEN('Our policies'!A373)&gt;0,ISNUMBER('Our policies'!J373)),MAX($B$3:B372)+1,"")</f>
        <v/>
      </c>
      <c r="E373">
        <f>IFERROR(MATCH(370,$B$4:$B$1003,0),"")</f>
        <v/>
      </c>
    </row>
    <row r="374">
      <c r="A374">
        <f>IF(AND(LEN('Our policies'!A374)&gt;0,ISNUMBER('Our policies'!J374)),'Our policies'!J374+371/100000,"")</f>
        <v/>
      </c>
      <c r="B374">
        <f>IF(AND(LEN('Our policies'!A374)&gt;0,ISNUMBER('Our policies'!J374)),MAX($B$3:B373)+1,"")</f>
        <v/>
      </c>
      <c r="E374">
        <f>IFERROR(MATCH(371,$B$4:$B$1003,0),"")</f>
        <v/>
      </c>
    </row>
    <row r="375">
      <c r="A375">
        <f>IF(AND(LEN('Our policies'!A375)&gt;0,ISNUMBER('Our policies'!J375)),'Our policies'!J375+372/100000,"")</f>
        <v/>
      </c>
      <c r="B375">
        <f>IF(AND(LEN('Our policies'!A375)&gt;0,ISNUMBER('Our policies'!J375)),MAX($B$3:B374)+1,"")</f>
        <v/>
      </c>
      <c r="E375">
        <f>IFERROR(MATCH(372,$B$4:$B$1003,0),"")</f>
        <v/>
      </c>
    </row>
    <row r="376">
      <c r="A376">
        <f>IF(AND(LEN('Our policies'!A376)&gt;0,ISNUMBER('Our policies'!J376)),'Our policies'!J376+373/100000,"")</f>
        <v/>
      </c>
      <c r="B376">
        <f>IF(AND(LEN('Our policies'!A376)&gt;0,ISNUMBER('Our policies'!J376)),MAX($B$3:B375)+1,"")</f>
        <v/>
      </c>
      <c r="E376">
        <f>IFERROR(MATCH(373,$B$4:$B$1003,0),"")</f>
        <v/>
      </c>
    </row>
    <row r="377">
      <c r="A377">
        <f>IF(AND(LEN('Our policies'!A377)&gt;0,ISNUMBER('Our policies'!J377)),'Our policies'!J377+374/100000,"")</f>
        <v/>
      </c>
      <c r="B377">
        <f>IF(AND(LEN('Our policies'!A377)&gt;0,ISNUMBER('Our policies'!J377)),MAX($B$3:B376)+1,"")</f>
        <v/>
      </c>
      <c r="E377">
        <f>IFERROR(MATCH(374,$B$4:$B$1003,0),"")</f>
        <v/>
      </c>
    </row>
    <row r="378">
      <c r="A378">
        <f>IF(AND(LEN('Our policies'!A378)&gt;0,ISNUMBER('Our policies'!J378)),'Our policies'!J378+375/100000,"")</f>
        <v/>
      </c>
      <c r="B378">
        <f>IF(AND(LEN('Our policies'!A378)&gt;0,ISNUMBER('Our policies'!J378)),MAX($B$3:B377)+1,"")</f>
        <v/>
      </c>
      <c r="E378">
        <f>IFERROR(MATCH(375,$B$4:$B$1003,0),"")</f>
        <v/>
      </c>
    </row>
    <row r="379">
      <c r="A379">
        <f>IF(AND(LEN('Our policies'!A379)&gt;0,ISNUMBER('Our policies'!J379)),'Our policies'!J379+376/100000,"")</f>
        <v/>
      </c>
      <c r="B379">
        <f>IF(AND(LEN('Our policies'!A379)&gt;0,ISNUMBER('Our policies'!J379)),MAX($B$3:B378)+1,"")</f>
        <v/>
      </c>
      <c r="E379">
        <f>IFERROR(MATCH(376,$B$4:$B$1003,0),"")</f>
        <v/>
      </c>
    </row>
    <row r="380">
      <c r="A380">
        <f>IF(AND(LEN('Our policies'!A380)&gt;0,ISNUMBER('Our policies'!J380)),'Our policies'!J380+377/100000,"")</f>
        <v/>
      </c>
      <c r="B380">
        <f>IF(AND(LEN('Our policies'!A380)&gt;0,ISNUMBER('Our policies'!J380)),MAX($B$3:B379)+1,"")</f>
        <v/>
      </c>
      <c r="E380">
        <f>IFERROR(MATCH(377,$B$4:$B$1003,0),"")</f>
        <v/>
      </c>
    </row>
    <row r="381">
      <c r="A381">
        <f>IF(AND(LEN('Our policies'!A381)&gt;0,ISNUMBER('Our policies'!J381)),'Our policies'!J381+378/100000,"")</f>
        <v/>
      </c>
      <c r="B381">
        <f>IF(AND(LEN('Our policies'!A381)&gt;0,ISNUMBER('Our policies'!J381)),MAX($B$3:B380)+1,"")</f>
        <v/>
      </c>
      <c r="E381">
        <f>IFERROR(MATCH(378,$B$4:$B$1003,0),"")</f>
        <v/>
      </c>
    </row>
    <row r="382">
      <c r="A382">
        <f>IF(AND(LEN('Our policies'!A382)&gt;0,ISNUMBER('Our policies'!J382)),'Our policies'!J382+379/100000,"")</f>
        <v/>
      </c>
      <c r="B382">
        <f>IF(AND(LEN('Our policies'!A382)&gt;0,ISNUMBER('Our policies'!J382)),MAX($B$3:B381)+1,"")</f>
        <v/>
      </c>
      <c r="E382">
        <f>IFERROR(MATCH(379,$B$4:$B$1003,0),"")</f>
        <v/>
      </c>
    </row>
    <row r="383">
      <c r="A383">
        <f>IF(AND(LEN('Our policies'!A383)&gt;0,ISNUMBER('Our policies'!J383)),'Our policies'!J383+380/100000,"")</f>
        <v/>
      </c>
      <c r="B383">
        <f>IF(AND(LEN('Our policies'!A383)&gt;0,ISNUMBER('Our policies'!J383)),MAX($B$3:B382)+1,"")</f>
        <v/>
      </c>
      <c r="E383">
        <f>IFERROR(MATCH(380,$B$4:$B$1003,0),"")</f>
        <v/>
      </c>
    </row>
    <row r="384">
      <c r="A384">
        <f>IF(AND(LEN('Our policies'!A384)&gt;0,ISNUMBER('Our policies'!J384)),'Our policies'!J384+381/100000,"")</f>
        <v/>
      </c>
      <c r="B384">
        <f>IF(AND(LEN('Our policies'!A384)&gt;0,ISNUMBER('Our policies'!J384)),MAX($B$3:B383)+1,"")</f>
        <v/>
      </c>
      <c r="E384">
        <f>IFERROR(MATCH(381,$B$4:$B$1003,0),"")</f>
        <v/>
      </c>
    </row>
    <row r="385">
      <c r="A385">
        <f>IF(AND(LEN('Our policies'!A385)&gt;0,ISNUMBER('Our policies'!J385)),'Our policies'!J385+382/100000,"")</f>
        <v/>
      </c>
      <c r="B385">
        <f>IF(AND(LEN('Our policies'!A385)&gt;0,ISNUMBER('Our policies'!J385)),MAX($B$3:B384)+1,"")</f>
        <v/>
      </c>
      <c r="E385">
        <f>IFERROR(MATCH(382,$B$4:$B$1003,0),"")</f>
        <v/>
      </c>
    </row>
    <row r="386">
      <c r="A386">
        <f>IF(AND(LEN('Our policies'!A386)&gt;0,ISNUMBER('Our policies'!J386)),'Our policies'!J386+383/100000,"")</f>
        <v/>
      </c>
      <c r="B386">
        <f>IF(AND(LEN('Our policies'!A386)&gt;0,ISNUMBER('Our policies'!J386)),MAX($B$3:B385)+1,"")</f>
        <v/>
      </c>
      <c r="E386">
        <f>IFERROR(MATCH(383,$B$4:$B$1003,0),"")</f>
        <v/>
      </c>
    </row>
    <row r="387">
      <c r="A387">
        <f>IF(AND(LEN('Our policies'!A387)&gt;0,ISNUMBER('Our policies'!J387)),'Our policies'!J387+384/100000,"")</f>
        <v/>
      </c>
      <c r="B387">
        <f>IF(AND(LEN('Our policies'!A387)&gt;0,ISNUMBER('Our policies'!J387)),MAX($B$3:B386)+1,"")</f>
        <v/>
      </c>
      <c r="E387">
        <f>IFERROR(MATCH(384,$B$4:$B$1003,0),"")</f>
        <v/>
      </c>
    </row>
    <row r="388">
      <c r="A388">
        <f>IF(AND(LEN('Our policies'!A388)&gt;0,ISNUMBER('Our policies'!J388)),'Our policies'!J388+385/100000,"")</f>
        <v/>
      </c>
      <c r="B388">
        <f>IF(AND(LEN('Our policies'!A388)&gt;0,ISNUMBER('Our policies'!J388)),MAX($B$3:B387)+1,"")</f>
        <v/>
      </c>
      <c r="E388">
        <f>IFERROR(MATCH(385,$B$4:$B$1003,0),"")</f>
        <v/>
      </c>
    </row>
    <row r="389">
      <c r="A389">
        <f>IF(AND(LEN('Our policies'!A389)&gt;0,ISNUMBER('Our policies'!J389)),'Our policies'!J389+386/100000,"")</f>
        <v/>
      </c>
      <c r="B389">
        <f>IF(AND(LEN('Our policies'!A389)&gt;0,ISNUMBER('Our policies'!J389)),MAX($B$3:B388)+1,"")</f>
        <v/>
      </c>
      <c r="E389">
        <f>IFERROR(MATCH(386,$B$4:$B$1003,0),"")</f>
        <v/>
      </c>
    </row>
    <row r="390">
      <c r="A390">
        <f>IF(AND(LEN('Our policies'!A390)&gt;0,ISNUMBER('Our policies'!J390)),'Our policies'!J390+387/100000,"")</f>
        <v/>
      </c>
      <c r="B390">
        <f>IF(AND(LEN('Our policies'!A390)&gt;0,ISNUMBER('Our policies'!J390)),MAX($B$3:B389)+1,"")</f>
        <v/>
      </c>
      <c r="E390">
        <f>IFERROR(MATCH(387,$B$4:$B$1003,0),"")</f>
        <v/>
      </c>
    </row>
    <row r="391">
      <c r="A391">
        <f>IF(AND(LEN('Our policies'!A391)&gt;0,ISNUMBER('Our policies'!J391)),'Our policies'!J391+388/100000,"")</f>
        <v/>
      </c>
      <c r="B391">
        <f>IF(AND(LEN('Our policies'!A391)&gt;0,ISNUMBER('Our policies'!J391)),MAX($B$3:B390)+1,"")</f>
        <v/>
      </c>
      <c r="E391">
        <f>IFERROR(MATCH(388,$B$4:$B$1003,0),"")</f>
        <v/>
      </c>
    </row>
    <row r="392">
      <c r="A392">
        <f>IF(AND(LEN('Our policies'!A392)&gt;0,ISNUMBER('Our policies'!J392)),'Our policies'!J392+389/100000,"")</f>
        <v/>
      </c>
      <c r="B392">
        <f>IF(AND(LEN('Our policies'!A392)&gt;0,ISNUMBER('Our policies'!J392)),MAX($B$3:B391)+1,"")</f>
        <v/>
      </c>
      <c r="E392">
        <f>IFERROR(MATCH(389,$B$4:$B$1003,0),"")</f>
        <v/>
      </c>
    </row>
    <row r="393">
      <c r="A393">
        <f>IF(AND(LEN('Our policies'!A393)&gt;0,ISNUMBER('Our policies'!J393)),'Our policies'!J393+390/100000,"")</f>
        <v/>
      </c>
      <c r="B393">
        <f>IF(AND(LEN('Our policies'!A393)&gt;0,ISNUMBER('Our policies'!J393)),MAX($B$3:B392)+1,"")</f>
        <v/>
      </c>
      <c r="E393">
        <f>IFERROR(MATCH(390,$B$4:$B$1003,0),"")</f>
        <v/>
      </c>
    </row>
    <row r="394">
      <c r="A394">
        <f>IF(AND(LEN('Our policies'!A394)&gt;0,ISNUMBER('Our policies'!J394)),'Our policies'!J394+391/100000,"")</f>
        <v/>
      </c>
      <c r="B394">
        <f>IF(AND(LEN('Our policies'!A394)&gt;0,ISNUMBER('Our policies'!J394)),MAX($B$3:B393)+1,"")</f>
        <v/>
      </c>
      <c r="E394">
        <f>IFERROR(MATCH(391,$B$4:$B$1003,0),"")</f>
        <v/>
      </c>
    </row>
    <row r="395">
      <c r="A395">
        <f>IF(AND(LEN('Our policies'!A395)&gt;0,ISNUMBER('Our policies'!J395)),'Our policies'!J395+392/100000,"")</f>
        <v/>
      </c>
      <c r="B395">
        <f>IF(AND(LEN('Our policies'!A395)&gt;0,ISNUMBER('Our policies'!J395)),MAX($B$3:B394)+1,"")</f>
        <v/>
      </c>
      <c r="E395">
        <f>IFERROR(MATCH(392,$B$4:$B$1003,0),"")</f>
        <v/>
      </c>
    </row>
    <row r="396">
      <c r="A396">
        <f>IF(AND(LEN('Our policies'!A396)&gt;0,ISNUMBER('Our policies'!J396)),'Our policies'!J396+393/100000,"")</f>
        <v/>
      </c>
      <c r="B396">
        <f>IF(AND(LEN('Our policies'!A396)&gt;0,ISNUMBER('Our policies'!J396)),MAX($B$3:B395)+1,"")</f>
        <v/>
      </c>
      <c r="E396">
        <f>IFERROR(MATCH(393,$B$4:$B$1003,0),"")</f>
        <v/>
      </c>
    </row>
    <row r="397">
      <c r="A397">
        <f>IF(AND(LEN('Our policies'!A397)&gt;0,ISNUMBER('Our policies'!J397)),'Our policies'!J397+394/100000,"")</f>
        <v/>
      </c>
      <c r="B397">
        <f>IF(AND(LEN('Our policies'!A397)&gt;0,ISNUMBER('Our policies'!J397)),MAX($B$3:B396)+1,"")</f>
        <v/>
      </c>
      <c r="E397">
        <f>IFERROR(MATCH(394,$B$4:$B$1003,0),"")</f>
        <v/>
      </c>
    </row>
    <row r="398">
      <c r="A398">
        <f>IF(AND(LEN('Our policies'!A398)&gt;0,ISNUMBER('Our policies'!J398)),'Our policies'!J398+395/100000,"")</f>
        <v/>
      </c>
      <c r="B398">
        <f>IF(AND(LEN('Our policies'!A398)&gt;0,ISNUMBER('Our policies'!J398)),MAX($B$3:B397)+1,"")</f>
        <v/>
      </c>
      <c r="E398">
        <f>IFERROR(MATCH(395,$B$4:$B$1003,0),"")</f>
        <v/>
      </c>
    </row>
    <row r="399">
      <c r="A399">
        <f>IF(AND(LEN('Our policies'!A399)&gt;0,ISNUMBER('Our policies'!J399)),'Our policies'!J399+396/100000,"")</f>
        <v/>
      </c>
      <c r="B399">
        <f>IF(AND(LEN('Our policies'!A399)&gt;0,ISNUMBER('Our policies'!J399)),MAX($B$3:B398)+1,"")</f>
        <v/>
      </c>
      <c r="E399">
        <f>IFERROR(MATCH(396,$B$4:$B$1003,0),"")</f>
        <v/>
      </c>
    </row>
    <row r="400">
      <c r="A400">
        <f>IF(AND(LEN('Our policies'!A400)&gt;0,ISNUMBER('Our policies'!J400)),'Our policies'!J400+397/100000,"")</f>
        <v/>
      </c>
      <c r="B400">
        <f>IF(AND(LEN('Our policies'!A400)&gt;0,ISNUMBER('Our policies'!J400)),MAX($B$3:B399)+1,"")</f>
        <v/>
      </c>
      <c r="E400">
        <f>IFERROR(MATCH(397,$B$4:$B$1003,0),"")</f>
        <v/>
      </c>
    </row>
    <row r="401">
      <c r="A401">
        <f>IF(AND(LEN('Our policies'!A401)&gt;0,ISNUMBER('Our policies'!J401)),'Our policies'!J401+398/100000,"")</f>
        <v/>
      </c>
      <c r="B401">
        <f>IF(AND(LEN('Our policies'!A401)&gt;0,ISNUMBER('Our policies'!J401)),MAX($B$3:B400)+1,"")</f>
        <v/>
      </c>
      <c r="E401">
        <f>IFERROR(MATCH(398,$B$4:$B$1003,0),"")</f>
        <v/>
      </c>
    </row>
    <row r="402">
      <c r="A402">
        <f>IF(AND(LEN('Our policies'!A402)&gt;0,ISNUMBER('Our policies'!J402)),'Our policies'!J402+399/100000,"")</f>
        <v/>
      </c>
      <c r="B402">
        <f>IF(AND(LEN('Our policies'!A402)&gt;0,ISNUMBER('Our policies'!J402)),MAX($B$3:B401)+1,"")</f>
        <v/>
      </c>
      <c r="E402">
        <f>IFERROR(MATCH(399,$B$4:$B$1003,0),"")</f>
        <v/>
      </c>
    </row>
    <row r="403">
      <c r="A403">
        <f>IF(AND(LEN('Our policies'!A403)&gt;0,ISNUMBER('Our policies'!J403)),'Our policies'!J403+400/100000,"")</f>
        <v/>
      </c>
      <c r="B403">
        <f>IF(AND(LEN('Our policies'!A403)&gt;0,ISNUMBER('Our policies'!J403)),MAX($B$3:B402)+1,"")</f>
        <v/>
      </c>
      <c r="E403">
        <f>IFERROR(MATCH(400,$B$4:$B$1003,0),"")</f>
        <v/>
      </c>
    </row>
    <row r="404">
      <c r="A404">
        <f>IF(AND(LEN('Our policies'!A404)&gt;0,ISNUMBER('Our policies'!J404)),'Our policies'!J404+401/100000,"")</f>
        <v/>
      </c>
      <c r="B404">
        <f>IF(AND(LEN('Our policies'!A404)&gt;0,ISNUMBER('Our policies'!J404)),MAX($B$3:B403)+1,"")</f>
        <v/>
      </c>
      <c r="E404">
        <f>IFERROR(MATCH(401,$B$4:$B$1003,0),"")</f>
        <v/>
      </c>
    </row>
    <row r="405">
      <c r="A405">
        <f>IF(AND(LEN('Our policies'!A405)&gt;0,ISNUMBER('Our policies'!J405)),'Our policies'!J405+402/100000,"")</f>
        <v/>
      </c>
      <c r="B405">
        <f>IF(AND(LEN('Our policies'!A405)&gt;0,ISNUMBER('Our policies'!J405)),MAX($B$3:B404)+1,"")</f>
        <v/>
      </c>
      <c r="E405">
        <f>IFERROR(MATCH(402,$B$4:$B$1003,0),"")</f>
        <v/>
      </c>
    </row>
    <row r="406">
      <c r="A406">
        <f>IF(AND(LEN('Our policies'!A406)&gt;0,ISNUMBER('Our policies'!J406)),'Our policies'!J406+403/100000,"")</f>
        <v/>
      </c>
      <c r="B406">
        <f>IF(AND(LEN('Our policies'!A406)&gt;0,ISNUMBER('Our policies'!J406)),MAX($B$3:B405)+1,"")</f>
        <v/>
      </c>
      <c r="E406">
        <f>IFERROR(MATCH(403,$B$4:$B$1003,0),"")</f>
        <v/>
      </c>
    </row>
    <row r="407">
      <c r="A407">
        <f>IF(AND(LEN('Our policies'!A407)&gt;0,ISNUMBER('Our policies'!J407)),'Our policies'!J407+404/100000,"")</f>
        <v/>
      </c>
      <c r="B407">
        <f>IF(AND(LEN('Our policies'!A407)&gt;0,ISNUMBER('Our policies'!J407)),MAX($B$3:B406)+1,"")</f>
        <v/>
      </c>
      <c r="E407">
        <f>IFERROR(MATCH(404,$B$4:$B$1003,0),"")</f>
        <v/>
      </c>
    </row>
    <row r="408">
      <c r="A408">
        <f>IF(AND(LEN('Our policies'!A408)&gt;0,ISNUMBER('Our policies'!J408)),'Our policies'!J408+405/100000,"")</f>
        <v/>
      </c>
      <c r="B408">
        <f>IF(AND(LEN('Our policies'!A408)&gt;0,ISNUMBER('Our policies'!J408)),MAX($B$3:B407)+1,"")</f>
        <v/>
      </c>
      <c r="E408">
        <f>IFERROR(MATCH(405,$B$4:$B$1003,0),"")</f>
        <v/>
      </c>
    </row>
    <row r="409">
      <c r="A409">
        <f>IF(AND(LEN('Our policies'!A409)&gt;0,ISNUMBER('Our policies'!J409)),'Our policies'!J409+406/100000,"")</f>
        <v/>
      </c>
      <c r="B409">
        <f>IF(AND(LEN('Our policies'!A409)&gt;0,ISNUMBER('Our policies'!J409)),MAX($B$3:B408)+1,"")</f>
        <v/>
      </c>
      <c r="E409">
        <f>IFERROR(MATCH(406,$B$4:$B$1003,0),"")</f>
        <v/>
      </c>
    </row>
    <row r="410">
      <c r="A410">
        <f>IF(AND(LEN('Our policies'!A410)&gt;0,ISNUMBER('Our policies'!J410)),'Our policies'!J410+407/100000,"")</f>
        <v/>
      </c>
      <c r="B410">
        <f>IF(AND(LEN('Our policies'!A410)&gt;0,ISNUMBER('Our policies'!J410)),MAX($B$3:B409)+1,"")</f>
        <v/>
      </c>
      <c r="E410">
        <f>IFERROR(MATCH(407,$B$4:$B$1003,0),"")</f>
        <v/>
      </c>
    </row>
    <row r="411">
      <c r="A411">
        <f>IF(AND(LEN('Our policies'!A411)&gt;0,ISNUMBER('Our policies'!J411)),'Our policies'!J411+408/100000,"")</f>
        <v/>
      </c>
      <c r="B411">
        <f>IF(AND(LEN('Our policies'!A411)&gt;0,ISNUMBER('Our policies'!J411)),MAX($B$3:B410)+1,"")</f>
        <v/>
      </c>
      <c r="E411">
        <f>IFERROR(MATCH(408,$B$4:$B$1003,0),"")</f>
        <v/>
      </c>
    </row>
    <row r="412">
      <c r="A412">
        <f>IF(AND(LEN('Our policies'!A412)&gt;0,ISNUMBER('Our policies'!J412)),'Our policies'!J412+409/100000,"")</f>
        <v/>
      </c>
      <c r="B412">
        <f>IF(AND(LEN('Our policies'!A412)&gt;0,ISNUMBER('Our policies'!J412)),MAX($B$3:B411)+1,"")</f>
        <v/>
      </c>
      <c r="E412">
        <f>IFERROR(MATCH(409,$B$4:$B$1003,0),"")</f>
        <v/>
      </c>
    </row>
    <row r="413">
      <c r="A413">
        <f>IF(AND(LEN('Our policies'!A413)&gt;0,ISNUMBER('Our policies'!J413)),'Our policies'!J413+410/100000,"")</f>
        <v/>
      </c>
      <c r="B413">
        <f>IF(AND(LEN('Our policies'!A413)&gt;0,ISNUMBER('Our policies'!J413)),MAX($B$3:B412)+1,"")</f>
        <v/>
      </c>
      <c r="E413">
        <f>IFERROR(MATCH(410,$B$4:$B$1003,0),"")</f>
        <v/>
      </c>
    </row>
    <row r="414">
      <c r="A414">
        <f>IF(AND(LEN('Our policies'!A414)&gt;0,ISNUMBER('Our policies'!J414)),'Our policies'!J414+411/100000,"")</f>
        <v/>
      </c>
      <c r="B414">
        <f>IF(AND(LEN('Our policies'!A414)&gt;0,ISNUMBER('Our policies'!J414)),MAX($B$3:B413)+1,"")</f>
        <v/>
      </c>
      <c r="E414">
        <f>IFERROR(MATCH(411,$B$4:$B$1003,0),"")</f>
        <v/>
      </c>
    </row>
    <row r="415">
      <c r="A415">
        <f>IF(AND(LEN('Our policies'!A415)&gt;0,ISNUMBER('Our policies'!J415)),'Our policies'!J415+412/100000,"")</f>
        <v/>
      </c>
      <c r="B415">
        <f>IF(AND(LEN('Our policies'!A415)&gt;0,ISNUMBER('Our policies'!J415)),MAX($B$3:B414)+1,"")</f>
        <v/>
      </c>
      <c r="E415">
        <f>IFERROR(MATCH(412,$B$4:$B$1003,0),"")</f>
        <v/>
      </c>
    </row>
    <row r="416">
      <c r="A416">
        <f>IF(AND(LEN('Our policies'!A416)&gt;0,ISNUMBER('Our policies'!J416)),'Our policies'!J416+413/100000,"")</f>
        <v/>
      </c>
      <c r="B416">
        <f>IF(AND(LEN('Our policies'!A416)&gt;0,ISNUMBER('Our policies'!J416)),MAX($B$3:B415)+1,"")</f>
        <v/>
      </c>
      <c r="E416">
        <f>IFERROR(MATCH(413,$B$4:$B$1003,0),"")</f>
        <v/>
      </c>
    </row>
    <row r="417">
      <c r="A417">
        <f>IF(AND(LEN('Our policies'!A417)&gt;0,ISNUMBER('Our policies'!J417)),'Our policies'!J417+414/100000,"")</f>
        <v/>
      </c>
      <c r="B417">
        <f>IF(AND(LEN('Our policies'!A417)&gt;0,ISNUMBER('Our policies'!J417)),MAX($B$3:B416)+1,"")</f>
        <v/>
      </c>
      <c r="E417">
        <f>IFERROR(MATCH(414,$B$4:$B$1003,0),"")</f>
        <v/>
      </c>
    </row>
    <row r="418">
      <c r="A418">
        <f>IF(AND(LEN('Our policies'!A418)&gt;0,ISNUMBER('Our policies'!J418)),'Our policies'!J418+415/100000,"")</f>
        <v/>
      </c>
      <c r="B418">
        <f>IF(AND(LEN('Our policies'!A418)&gt;0,ISNUMBER('Our policies'!J418)),MAX($B$3:B417)+1,"")</f>
        <v/>
      </c>
      <c r="E418">
        <f>IFERROR(MATCH(415,$B$4:$B$1003,0),"")</f>
        <v/>
      </c>
    </row>
    <row r="419">
      <c r="A419">
        <f>IF(AND(LEN('Our policies'!A419)&gt;0,ISNUMBER('Our policies'!J419)),'Our policies'!J419+416/100000,"")</f>
        <v/>
      </c>
      <c r="B419">
        <f>IF(AND(LEN('Our policies'!A419)&gt;0,ISNUMBER('Our policies'!J419)),MAX($B$3:B418)+1,"")</f>
        <v/>
      </c>
      <c r="E419">
        <f>IFERROR(MATCH(416,$B$4:$B$1003,0),"")</f>
        <v/>
      </c>
    </row>
    <row r="420">
      <c r="A420">
        <f>IF(AND(LEN('Our policies'!A420)&gt;0,ISNUMBER('Our policies'!J420)),'Our policies'!J420+417/100000,"")</f>
        <v/>
      </c>
      <c r="B420">
        <f>IF(AND(LEN('Our policies'!A420)&gt;0,ISNUMBER('Our policies'!J420)),MAX($B$3:B419)+1,"")</f>
        <v/>
      </c>
      <c r="E420">
        <f>IFERROR(MATCH(417,$B$4:$B$1003,0),"")</f>
        <v/>
      </c>
    </row>
    <row r="421">
      <c r="A421">
        <f>IF(AND(LEN('Our policies'!A421)&gt;0,ISNUMBER('Our policies'!J421)),'Our policies'!J421+418/100000,"")</f>
        <v/>
      </c>
      <c r="B421">
        <f>IF(AND(LEN('Our policies'!A421)&gt;0,ISNUMBER('Our policies'!J421)),MAX($B$3:B420)+1,"")</f>
        <v/>
      </c>
      <c r="E421">
        <f>IFERROR(MATCH(418,$B$4:$B$1003,0),"")</f>
        <v/>
      </c>
    </row>
    <row r="422">
      <c r="A422">
        <f>IF(AND(LEN('Our policies'!A422)&gt;0,ISNUMBER('Our policies'!J422)),'Our policies'!J422+419/100000,"")</f>
        <v/>
      </c>
      <c r="B422">
        <f>IF(AND(LEN('Our policies'!A422)&gt;0,ISNUMBER('Our policies'!J422)),MAX($B$3:B421)+1,"")</f>
        <v/>
      </c>
      <c r="E422">
        <f>IFERROR(MATCH(419,$B$4:$B$1003,0),"")</f>
        <v/>
      </c>
    </row>
    <row r="423">
      <c r="A423">
        <f>IF(AND(LEN('Our policies'!A423)&gt;0,ISNUMBER('Our policies'!J423)),'Our policies'!J423+420/100000,"")</f>
        <v/>
      </c>
      <c r="B423">
        <f>IF(AND(LEN('Our policies'!A423)&gt;0,ISNUMBER('Our policies'!J423)),MAX($B$3:B422)+1,"")</f>
        <v/>
      </c>
      <c r="E423">
        <f>IFERROR(MATCH(420,$B$4:$B$1003,0),"")</f>
        <v/>
      </c>
    </row>
    <row r="424">
      <c r="A424">
        <f>IF(AND(LEN('Our policies'!A424)&gt;0,ISNUMBER('Our policies'!J424)),'Our policies'!J424+421/100000,"")</f>
        <v/>
      </c>
      <c r="B424">
        <f>IF(AND(LEN('Our policies'!A424)&gt;0,ISNUMBER('Our policies'!J424)),MAX($B$3:B423)+1,"")</f>
        <v/>
      </c>
      <c r="E424">
        <f>IFERROR(MATCH(421,$B$4:$B$1003,0),"")</f>
        <v/>
      </c>
    </row>
    <row r="425">
      <c r="A425">
        <f>IF(AND(LEN('Our policies'!A425)&gt;0,ISNUMBER('Our policies'!J425)),'Our policies'!J425+422/100000,"")</f>
        <v/>
      </c>
      <c r="B425">
        <f>IF(AND(LEN('Our policies'!A425)&gt;0,ISNUMBER('Our policies'!J425)),MAX($B$3:B424)+1,"")</f>
        <v/>
      </c>
      <c r="E425">
        <f>IFERROR(MATCH(422,$B$4:$B$1003,0),"")</f>
        <v/>
      </c>
    </row>
    <row r="426">
      <c r="A426">
        <f>IF(AND(LEN('Our policies'!A426)&gt;0,ISNUMBER('Our policies'!J426)),'Our policies'!J426+423/100000,"")</f>
        <v/>
      </c>
      <c r="B426">
        <f>IF(AND(LEN('Our policies'!A426)&gt;0,ISNUMBER('Our policies'!J426)),MAX($B$3:B425)+1,"")</f>
        <v/>
      </c>
      <c r="E426">
        <f>IFERROR(MATCH(423,$B$4:$B$1003,0),"")</f>
        <v/>
      </c>
    </row>
    <row r="427">
      <c r="A427">
        <f>IF(AND(LEN('Our policies'!A427)&gt;0,ISNUMBER('Our policies'!J427)),'Our policies'!J427+424/100000,"")</f>
        <v/>
      </c>
      <c r="B427">
        <f>IF(AND(LEN('Our policies'!A427)&gt;0,ISNUMBER('Our policies'!J427)),MAX($B$3:B426)+1,"")</f>
        <v/>
      </c>
      <c r="E427">
        <f>IFERROR(MATCH(424,$B$4:$B$1003,0),"")</f>
        <v/>
      </c>
    </row>
    <row r="428">
      <c r="A428">
        <f>IF(AND(LEN('Our policies'!A428)&gt;0,ISNUMBER('Our policies'!J428)),'Our policies'!J428+425/100000,"")</f>
        <v/>
      </c>
      <c r="B428">
        <f>IF(AND(LEN('Our policies'!A428)&gt;0,ISNUMBER('Our policies'!J428)),MAX($B$3:B427)+1,"")</f>
        <v/>
      </c>
      <c r="E428">
        <f>IFERROR(MATCH(425,$B$4:$B$1003,0),"")</f>
        <v/>
      </c>
    </row>
    <row r="429">
      <c r="A429">
        <f>IF(AND(LEN('Our policies'!A429)&gt;0,ISNUMBER('Our policies'!J429)),'Our policies'!J429+426/100000,"")</f>
        <v/>
      </c>
      <c r="B429">
        <f>IF(AND(LEN('Our policies'!A429)&gt;0,ISNUMBER('Our policies'!J429)),MAX($B$3:B428)+1,"")</f>
        <v/>
      </c>
      <c r="E429">
        <f>IFERROR(MATCH(426,$B$4:$B$1003,0),"")</f>
        <v/>
      </c>
    </row>
    <row r="430">
      <c r="A430">
        <f>IF(AND(LEN('Our policies'!A430)&gt;0,ISNUMBER('Our policies'!J430)),'Our policies'!J430+427/100000,"")</f>
        <v/>
      </c>
      <c r="B430">
        <f>IF(AND(LEN('Our policies'!A430)&gt;0,ISNUMBER('Our policies'!J430)),MAX($B$3:B429)+1,"")</f>
        <v/>
      </c>
      <c r="E430">
        <f>IFERROR(MATCH(427,$B$4:$B$1003,0),"")</f>
        <v/>
      </c>
    </row>
    <row r="431">
      <c r="A431">
        <f>IF(AND(LEN('Our policies'!A431)&gt;0,ISNUMBER('Our policies'!J431)),'Our policies'!J431+428/100000,"")</f>
        <v/>
      </c>
      <c r="B431">
        <f>IF(AND(LEN('Our policies'!A431)&gt;0,ISNUMBER('Our policies'!J431)),MAX($B$3:B430)+1,"")</f>
        <v/>
      </c>
      <c r="E431">
        <f>IFERROR(MATCH(428,$B$4:$B$1003,0),"")</f>
        <v/>
      </c>
    </row>
    <row r="432">
      <c r="A432">
        <f>IF(AND(LEN('Our policies'!A432)&gt;0,ISNUMBER('Our policies'!J432)),'Our policies'!J432+429/100000,"")</f>
        <v/>
      </c>
      <c r="B432">
        <f>IF(AND(LEN('Our policies'!A432)&gt;0,ISNUMBER('Our policies'!J432)),MAX($B$3:B431)+1,"")</f>
        <v/>
      </c>
      <c r="E432">
        <f>IFERROR(MATCH(429,$B$4:$B$1003,0),"")</f>
        <v/>
      </c>
    </row>
    <row r="433">
      <c r="A433">
        <f>IF(AND(LEN('Our policies'!A433)&gt;0,ISNUMBER('Our policies'!J433)),'Our policies'!J433+430/100000,"")</f>
        <v/>
      </c>
      <c r="B433">
        <f>IF(AND(LEN('Our policies'!A433)&gt;0,ISNUMBER('Our policies'!J433)),MAX($B$3:B432)+1,"")</f>
        <v/>
      </c>
      <c r="E433">
        <f>IFERROR(MATCH(430,$B$4:$B$1003,0),"")</f>
        <v/>
      </c>
    </row>
    <row r="434">
      <c r="A434">
        <f>IF(AND(LEN('Our policies'!A434)&gt;0,ISNUMBER('Our policies'!J434)),'Our policies'!J434+431/100000,"")</f>
        <v/>
      </c>
      <c r="B434">
        <f>IF(AND(LEN('Our policies'!A434)&gt;0,ISNUMBER('Our policies'!J434)),MAX($B$3:B433)+1,"")</f>
        <v/>
      </c>
      <c r="E434">
        <f>IFERROR(MATCH(431,$B$4:$B$1003,0),"")</f>
        <v/>
      </c>
    </row>
    <row r="435">
      <c r="A435">
        <f>IF(AND(LEN('Our policies'!A435)&gt;0,ISNUMBER('Our policies'!J435)),'Our policies'!J435+432/100000,"")</f>
        <v/>
      </c>
      <c r="B435">
        <f>IF(AND(LEN('Our policies'!A435)&gt;0,ISNUMBER('Our policies'!J435)),MAX($B$3:B434)+1,"")</f>
        <v/>
      </c>
      <c r="E435">
        <f>IFERROR(MATCH(432,$B$4:$B$1003,0),"")</f>
        <v/>
      </c>
    </row>
    <row r="436">
      <c r="A436">
        <f>IF(AND(LEN('Our policies'!A436)&gt;0,ISNUMBER('Our policies'!J436)),'Our policies'!J436+433/100000,"")</f>
        <v/>
      </c>
      <c r="B436">
        <f>IF(AND(LEN('Our policies'!A436)&gt;0,ISNUMBER('Our policies'!J436)),MAX($B$3:B435)+1,"")</f>
        <v/>
      </c>
      <c r="E436">
        <f>IFERROR(MATCH(433,$B$4:$B$1003,0),"")</f>
        <v/>
      </c>
    </row>
    <row r="437">
      <c r="A437">
        <f>IF(AND(LEN('Our policies'!A437)&gt;0,ISNUMBER('Our policies'!J437)),'Our policies'!J437+434/100000,"")</f>
        <v/>
      </c>
      <c r="B437">
        <f>IF(AND(LEN('Our policies'!A437)&gt;0,ISNUMBER('Our policies'!J437)),MAX($B$3:B436)+1,"")</f>
        <v/>
      </c>
      <c r="E437">
        <f>IFERROR(MATCH(434,$B$4:$B$1003,0),"")</f>
        <v/>
      </c>
    </row>
    <row r="438">
      <c r="A438">
        <f>IF(AND(LEN('Our policies'!A438)&gt;0,ISNUMBER('Our policies'!J438)),'Our policies'!J438+435/100000,"")</f>
        <v/>
      </c>
      <c r="B438">
        <f>IF(AND(LEN('Our policies'!A438)&gt;0,ISNUMBER('Our policies'!J438)),MAX($B$3:B437)+1,"")</f>
        <v/>
      </c>
      <c r="E438">
        <f>IFERROR(MATCH(435,$B$4:$B$1003,0),"")</f>
        <v/>
      </c>
    </row>
    <row r="439">
      <c r="A439">
        <f>IF(AND(LEN('Our policies'!A439)&gt;0,ISNUMBER('Our policies'!J439)),'Our policies'!J439+436/100000,"")</f>
        <v/>
      </c>
      <c r="B439">
        <f>IF(AND(LEN('Our policies'!A439)&gt;0,ISNUMBER('Our policies'!J439)),MAX($B$3:B438)+1,"")</f>
        <v/>
      </c>
      <c r="E439">
        <f>IFERROR(MATCH(436,$B$4:$B$1003,0),"")</f>
        <v/>
      </c>
    </row>
    <row r="440">
      <c r="A440">
        <f>IF(AND(LEN('Our policies'!A440)&gt;0,ISNUMBER('Our policies'!J440)),'Our policies'!J440+437/100000,"")</f>
        <v/>
      </c>
      <c r="B440">
        <f>IF(AND(LEN('Our policies'!A440)&gt;0,ISNUMBER('Our policies'!J440)),MAX($B$3:B439)+1,"")</f>
        <v/>
      </c>
      <c r="E440">
        <f>IFERROR(MATCH(437,$B$4:$B$1003,0),"")</f>
        <v/>
      </c>
    </row>
    <row r="441">
      <c r="A441">
        <f>IF(AND(LEN('Our policies'!A441)&gt;0,ISNUMBER('Our policies'!J441)),'Our policies'!J441+438/100000,"")</f>
        <v/>
      </c>
      <c r="B441">
        <f>IF(AND(LEN('Our policies'!A441)&gt;0,ISNUMBER('Our policies'!J441)),MAX($B$3:B440)+1,"")</f>
        <v/>
      </c>
      <c r="E441">
        <f>IFERROR(MATCH(438,$B$4:$B$1003,0),"")</f>
        <v/>
      </c>
    </row>
    <row r="442">
      <c r="A442">
        <f>IF(AND(LEN('Our policies'!A442)&gt;0,ISNUMBER('Our policies'!J442)),'Our policies'!J442+439/100000,"")</f>
        <v/>
      </c>
      <c r="B442">
        <f>IF(AND(LEN('Our policies'!A442)&gt;0,ISNUMBER('Our policies'!J442)),MAX($B$3:B441)+1,"")</f>
        <v/>
      </c>
      <c r="E442">
        <f>IFERROR(MATCH(439,$B$4:$B$1003,0),"")</f>
        <v/>
      </c>
    </row>
    <row r="443">
      <c r="A443">
        <f>IF(AND(LEN('Our policies'!A443)&gt;0,ISNUMBER('Our policies'!J443)),'Our policies'!J443+440/100000,"")</f>
        <v/>
      </c>
      <c r="B443">
        <f>IF(AND(LEN('Our policies'!A443)&gt;0,ISNUMBER('Our policies'!J443)),MAX($B$3:B442)+1,"")</f>
        <v/>
      </c>
      <c r="E443">
        <f>IFERROR(MATCH(440,$B$4:$B$1003,0),"")</f>
        <v/>
      </c>
    </row>
    <row r="444">
      <c r="A444">
        <f>IF(AND(LEN('Our policies'!A444)&gt;0,ISNUMBER('Our policies'!J444)),'Our policies'!J444+441/100000,"")</f>
        <v/>
      </c>
      <c r="B444">
        <f>IF(AND(LEN('Our policies'!A444)&gt;0,ISNUMBER('Our policies'!J444)),MAX($B$3:B443)+1,"")</f>
        <v/>
      </c>
      <c r="E444">
        <f>IFERROR(MATCH(441,$B$4:$B$1003,0),"")</f>
        <v/>
      </c>
    </row>
    <row r="445">
      <c r="A445">
        <f>IF(AND(LEN('Our policies'!A445)&gt;0,ISNUMBER('Our policies'!J445)),'Our policies'!J445+442/100000,"")</f>
        <v/>
      </c>
      <c r="B445">
        <f>IF(AND(LEN('Our policies'!A445)&gt;0,ISNUMBER('Our policies'!J445)),MAX($B$3:B444)+1,"")</f>
        <v/>
      </c>
      <c r="E445">
        <f>IFERROR(MATCH(442,$B$4:$B$1003,0),"")</f>
        <v/>
      </c>
    </row>
    <row r="446">
      <c r="A446">
        <f>IF(AND(LEN('Our policies'!A446)&gt;0,ISNUMBER('Our policies'!J446)),'Our policies'!J446+443/100000,"")</f>
        <v/>
      </c>
      <c r="B446">
        <f>IF(AND(LEN('Our policies'!A446)&gt;0,ISNUMBER('Our policies'!J446)),MAX($B$3:B445)+1,"")</f>
        <v/>
      </c>
      <c r="E446">
        <f>IFERROR(MATCH(443,$B$4:$B$1003,0),"")</f>
        <v/>
      </c>
    </row>
    <row r="447">
      <c r="A447">
        <f>IF(AND(LEN('Our policies'!A447)&gt;0,ISNUMBER('Our policies'!J447)),'Our policies'!J447+444/100000,"")</f>
        <v/>
      </c>
      <c r="B447">
        <f>IF(AND(LEN('Our policies'!A447)&gt;0,ISNUMBER('Our policies'!J447)),MAX($B$3:B446)+1,"")</f>
        <v/>
      </c>
      <c r="E447">
        <f>IFERROR(MATCH(444,$B$4:$B$1003,0),"")</f>
        <v/>
      </c>
    </row>
    <row r="448">
      <c r="A448">
        <f>IF(AND(LEN('Our policies'!A448)&gt;0,ISNUMBER('Our policies'!J448)),'Our policies'!J448+445/100000,"")</f>
        <v/>
      </c>
      <c r="B448">
        <f>IF(AND(LEN('Our policies'!A448)&gt;0,ISNUMBER('Our policies'!J448)),MAX($B$3:B447)+1,"")</f>
        <v/>
      </c>
      <c r="E448">
        <f>IFERROR(MATCH(445,$B$4:$B$1003,0),"")</f>
        <v/>
      </c>
    </row>
    <row r="449">
      <c r="A449">
        <f>IF(AND(LEN('Our policies'!A449)&gt;0,ISNUMBER('Our policies'!J449)),'Our policies'!J449+446/100000,"")</f>
        <v/>
      </c>
      <c r="B449">
        <f>IF(AND(LEN('Our policies'!A449)&gt;0,ISNUMBER('Our policies'!J449)),MAX($B$3:B448)+1,"")</f>
        <v/>
      </c>
      <c r="E449">
        <f>IFERROR(MATCH(446,$B$4:$B$1003,0),"")</f>
        <v/>
      </c>
    </row>
    <row r="450">
      <c r="A450">
        <f>IF(AND(LEN('Our policies'!A450)&gt;0,ISNUMBER('Our policies'!J450)),'Our policies'!J450+447/100000,"")</f>
        <v/>
      </c>
      <c r="B450">
        <f>IF(AND(LEN('Our policies'!A450)&gt;0,ISNUMBER('Our policies'!J450)),MAX($B$3:B449)+1,"")</f>
        <v/>
      </c>
      <c r="E450">
        <f>IFERROR(MATCH(447,$B$4:$B$1003,0),"")</f>
        <v/>
      </c>
    </row>
    <row r="451">
      <c r="A451">
        <f>IF(AND(LEN('Our policies'!A451)&gt;0,ISNUMBER('Our policies'!J451)),'Our policies'!J451+448/100000,"")</f>
        <v/>
      </c>
      <c r="B451">
        <f>IF(AND(LEN('Our policies'!A451)&gt;0,ISNUMBER('Our policies'!J451)),MAX($B$3:B450)+1,"")</f>
        <v/>
      </c>
      <c r="E451">
        <f>IFERROR(MATCH(448,$B$4:$B$1003,0),"")</f>
        <v/>
      </c>
    </row>
    <row r="452">
      <c r="A452">
        <f>IF(AND(LEN('Our policies'!A452)&gt;0,ISNUMBER('Our policies'!J452)),'Our policies'!J452+449/100000,"")</f>
        <v/>
      </c>
      <c r="B452">
        <f>IF(AND(LEN('Our policies'!A452)&gt;0,ISNUMBER('Our policies'!J452)),MAX($B$3:B451)+1,"")</f>
        <v/>
      </c>
      <c r="E452">
        <f>IFERROR(MATCH(449,$B$4:$B$1003,0),"")</f>
        <v/>
      </c>
    </row>
    <row r="453">
      <c r="A453">
        <f>IF(AND(LEN('Our policies'!A453)&gt;0,ISNUMBER('Our policies'!J453)),'Our policies'!J453+450/100000,"")</f>
        <v/>
      </c>
      <c r="B453">
        <f>IF(AND(LEN('Our policies'!A453)&gt;0,ISNUMBER('Our policies'!J453)),MAX($B$3:B452)+1,"")</f>
        <v/>
      </c>
      <c r="E453">
        <f>IFERROR(MATCH(450,$B$4:$B$1003,0),"")</f>
        <v/>
      </c>
    </row>
    <row r="454">
      <c r="A454">
        <f>IF(AND(LEN('Our policies'!A454)&gt;0,ISNUMBER('Our policies'!J454)),'Our policies'!J454+451/100000,"")</f>
        <v/>
      </c>
      <c r="B454">
        <f>IF(AND(LEN('Our policies'!A454)&gt;0,ISNUMBER('Our policies'!J454)),MAX($B$3:B453)+1,"")</f>
        <v/>
      </c>
      <c r="E454">
        <f>IFERROR(MATCH(451,$B$4:$B$1003,0),"")</f>
        <v/>
      </c>
    </row>
    <row r="455">
      <c r="A455">
        <f>IF(AND(LEN('Our policies'!A455)&gt;0,ISNUMBER('Our policies'!J455)),'Our policies'!J455+452/100000,"")</f>
        <v/>
      </c>
      <c r="B455">
        <f>IF(AND(LEN('Our policies'!A455)&gt;0,ISNUMBER('Our policies'!J455)),MAX($B$3:B454)+1,"")</f>
        <v/>
      </c>
      <c r="E455">
        <f>IFERROR(MATCH(452,$B$4:$B$1003,0),"")</f>
        <v/>
      </c>
    </row>
    <row r="456">
      <c r="A456">
        <f>IF(AND(LEN('Our policies'!A456)&gt;0,ISNUMBER('Our policies'!J456)),'Our policies'!J456+453/100000,"")</f>
        <v/>
      </c>
      <c r="B456">
        <f>IF(AND(LEN('Our policies'!A456)&gt;0,ISNUMBER('Our policies'!J456)),MAX($B$3:B455)+1,"")</f>
        <v/>
      </c>
      <c r="E456">
        <f>IFERROR(MATCH(453,$B$4:$B$1003,0),"")</f>
        <v/>
      </c>
    </row>
    <row r="457">
      <c r="A457">
        <f>IF(AND(LEN('Our policies'!A457)&gt;0,ISNUMBER('Our policies'!J457)),'Our policies'!J457+454/100000,"")</f>
        <v/>
      </c>
      <c r="B457">
        <f>IF(AND(LEN('Our policies'!A457)&gt;0,ISNUMBER('Our policies'!J457)),MAX($B$3:B456)+1,"")</f>
        <v/>
      </c>
      <c r="E457">
        <f>IFERROR(MATCH(454,$B$4:$B$1003,0),"")</f>
        <v/>
      </c>
    </row>
    <row r="458">
      <c r="A458">
        <f>IF(AND(LEN('Our policies'!A458)&gt;0,ISNUMBER('Our policies'!J458)),'Our policies'!J458+455/100000,"")</f>
        <v/>
      </c>
      <c r="B458">
        <f>IF(AND(LEN('Our policies'!A458)&gt;0,ISNUMBER('Our policies'!J458)),MAX($B$3:B457)+1,"")</f>
        <v/>
      </c>
      <c r="E458">
        <f>IFERROR(MATCH(455,$B$4:$B$1003,0),"")</f>
        <v/>
      </c>
    </row>
    <row r="459">
      <c r="A459">
        <f>IF(AND(LEN('Our policies'!A459)&gt;0,ISNUMBER('Our policies'!J459)),'Our policies'!J459+456/100000,"")</f>
        <v/>
      </c>
      <c r="B459">
        <f>IF(AND(LEN('Our policies'!A459)&gt;0,ISNUMBER('Our policies'!J459)),MAX($B$3:B458)+1,"")</f>
        <v/>
      </c>
      <c r="E459">
        <f>IFERROR(MATCH(456,$B$4:$B$1003,0),"")</f>
        <v/>
      </c>
    </row>
    <row r="460">
      <c r="A460">
        <f>IF(AND(LEN('Our policies'!A460)&gt;0,ISNUMBER('Our policies'!J460)),'Our policies'!J460+457/100000,"")</f>
        <v/>
      </c>
      <c r="B460">
        <f>IF(AND(LEN('Our policies'!A460)&gt;0,ISNUMBER('Our policies'!J460)),MAX($B$3:B459)+1,"")</f>
        <v/>
      </c>
      <c r="E460">
        <f>IFERROR(MATCH(457,$B$4:$B$1003,0),"")</f>
        <v/>
      </c>
    </row>
    <row r="461">
      <c r="A461">
        <f>IF(AND(LEN('Our policies'!A461)&gt;0,ISNUMBER('Our policies'!J461)),'Our policies'!J461+458/100000,"")</f>
        <v/>
      </c>
      <c r="B461">
        <f>IF(AND(LEN('Our policies'!A461)&gt;0,ISNUMBER('Our policies'!J461)),MAX($B$3:B460)+1,"")</f>
        <v/>
      </c>
      <c r="E461">
        <f>IFERROR(MATCH(458,$B$4:$B$1003,0),"")</f>
        <v/>
      </c>
    </row>
    <row r="462">
      <c r="A462">
        <f>IF(AND(LEN('Our policies'!A462)&gt;0,ISNUMBER('Our policies'!J462)),'Our policies'!J462+459/100000,"")</f>
        <v/>
      </c>
      <c r="B462">
        <f>IF(AND(LEN('Our policies'!A462)&gt;0,ISNUMBER('Our policies'!J462)),MAX($B$3:B461)+1,"")</f>
        <v/>
      </c>
      <c r="E462">
        <f>IFERROR(MATCH(459,$B$4:$B$1003,0),"")</f>
        <v/>
      </c>
    </row>
    <row r="463">
      <c r="A463">
        <f>IF(AND(LEN('Our policies'!A463)&gt;0,ISNUMBER('Our policies'!J463)),'Our policies'!J463+460/100000,"")</f>
        <v/>
      </c>
      <c r="B463">
        <f>IF(AND(LEN('Our policies'!A463)&gt;0,ISNUMBER('Our policies'!J463)),MAX($B$3:B462)+1,"")</f>
        <v/>
      </c>
      <c r="E463">
        <f>IFERROR(MATCH(460,$B$4:$B$1003,0),"")</f>
        <v/>
      </c>
    </row>
    <row r="464">
      <c r="A464">
        <f>IF(AND(LEN('Our policies'!A464)&gt;0,ISNUMBER('Our policies'!J464)),'Our policies'!J464+461/100000,"")</f>
        <v/>
      </c>
      <c r="B464">
        <f>IF(AND(LEN('Our policies'!A464)&gt;0,ISNUMBER('Our policies'!J464)),MAX($B$3:B463)+1,"")</f>
        <v/>
      </c>
      <c r="E464">
        <f>IFERROR(MATCH(461,$B$4:$B$1003,0),"")</f>
        <v/>
      </c>
    </row>
    <row r="465">
      <c r="A465">
        <f>IF(AND(LEN('Our policies'!A465)&gt;0,ISNUMBER('Our policies'!J465)),'Our policies'!J465+462/100000,"")</f>
        <v/>
      </c>
      <c r="B465">
        <f>IF(AND(LEN('Our policies'!A465)&gt;0,ISNUMBER('Our policies'!J465)),MAX($B$3:B464)+1,"")</f>
        <v/>
      </c>
      <c r="E465">
        <f>IFERROR(MATCH(462,$B$4:$B$1003,0),"")</f>
        <v/>
      </c>
    </row>
    <row r="466">
      <c r="A466">
        <f>IF(AND(LEN('Our policies'!A466)&gt;0,ISNUMBER('Our policies'!J466)),'Our policies'!J466+463/100000,"")</f>
        <v/>
      </c>
      <c r="B466">
        <f>IF(AND(LEN('Our policies'!A466)&gt;0,ISNUMBER('Our policies'!J466)),MAX($B$3:B465)+1,"")</f>
        <v/>
      </c>
      <c r="E466">
        <f>IFERROR(MATCH(463,$B$4:$B$1003,0),"")</f>
        <v/>
      </c>
    </row>
    <row r="467">
      <c r="A467">
        <f>IF(AND(LEN('Our policies'!A467)&gt;0,ISNUMBER('Our policies'!J467)),'Our policies'!J467+464/100000,"")</f>
        <v/>
      </c>
      <c r="B467">
        <f>IF(AND(LEN('Our policies'!A467)&gt;0,ISNUMBER('Our policies'!J467)),MAX($B$3:B466)+1,"")</f>
        <v/>
      </c>
      <c r="E467">
        <f>IFERROR(MATCH(464,$B$4:$B$1003,0),"")</f>
        <v/>
      </c>
    </row>
    <row r="468">
      <c r="A468">
        <f>IF(AND(LEN('Our policies'!A468)&gt;0,ISNUMBER('Our policies'!J468)),'Our policies'!J468+465/100000,"")</f>
        <v/>
      </c>
      <c r="B468">
        <f>IF(AND(LEN('Our policies'!A468)&gt;0,ISNUMBER('Our policies'!J468)),MAX($B$3:B467)+1,"")</f>
        <v/>
      </c>
      <c r="E468">
        <f>IFERROR(MATCH(465,$B$4:$B$1003,0),"")</f>
        <v/>
      </c>
    </row>
    <row r="469">
      <c r="A469">
        <f>IF(AND(LEN('Our policies'!A469)&gt;0,ISNUMBER('Our policies'!J469)),'Our policies'!J469+466/100000,"")</f>
        <v/>
      </c>
      <c r="B469">
        <f>IF(AND(LEN('Our policies'!A469)&gt;0,ISNUMBER('Our policies'!J469)),MAX($B$3:B468)+1,"")</f>
        <v/>
      </c>
      <c r="E469">
        <f>IFERROR(MATCH(466,$B$4:$B$1003,0),"")</f>
        <v/>
      </c>
    </row>
    <row r="470">
      <c r="A470">
        <f>IF(AND(LEN('Our policies'!A470)&gt;0,ISNUMBER('Our policies'!J470)),'Our policies'!J470+467/100000,"")</f>
        <v/>
      </c>
      <c r="B470">
        <f>IF(AND(LEN('Our policies'!A470)&gt;0,ISNUMBER('Our policies'!J470)),MAX($B$3:B469)+1,"")</f>
        <v/>
      </c>
      <c r="E470">
        <f>IFERROR(MATCH(467,$B$4:$B$1003,0),"")</f>
        <v/>
      </c>
    </row>
    <row r="471">
      <c r="A471">
        <f>IF(AND(LEN('Our policies'!A471)&gt;0,ISNUMBER('Our policies'!J471)),'Our policies'!J471+468/100000,"")</f>
        <v/>
      </c>
      <c r="B471">
        <f>IF(AND(LEN('Our policies'!A471)&gt;0,ISNUMBER('Our policies'!J471)),MAX($B$3:B470)+1,"")</f>
        <v/>
      </c>
      <c r="E471">
        <f>IFERROR(MATCH(468,$B$4:$B$1003,0),"")</f>
        <v/>
      </c>
    </row>
    <row r="472">
      <c r="A472">
        <f>IF(AND(LEN('Our policies'!A472)&gt;0,ISNUMBER('Our policies'!J472)),'Our policies'!J472+469/100000,"")</f>
        <v/>
      </c>
      <c r="B472">
        <f>IF(AND(LEN('Our policies'!A472)&gt;0,ISNUMBER('Our policies'!J472)),MAX($B$3:B471)+1,"")</f>
        <v/>
      </c>
      <c r="E472">
        <f>IFERROR(MATCH(469,$B$4:$B$1003,0),"")</f>
        <v/>
      </c>
    </row>
    <row r="473">
      <c r="A473">
        <f>IF(AND(LEN('Our policies'!A473)&gt;0,ISNUMBER('Our policies'!J473)),'Our policies'!J473+470/100000,"")</f>
        <v/>
      </c>
      <c r="B473">
        <f>IF(AND(LEN('Our policies'!A473)&gt;0,ISNUMBER('Our policies'!J473)),MAX($B$3:B472)+1,"")</f>
        <v/>
      </c>
      <c r="E473">
        <f>IFERROR(MATCH(470,$B$4:$B$1003,0),"")</f>
        <v/>
      </c>
    </row>
    <row r="474">
      <c r="A474">
        <f>IF(AND(LEN('Our policies'!A474)&gt;0,ISNUMBER('Our policies'!J474)),'Our policies'!J474+471/100000,"")</f>
        <v/>
      </c>
      <c r="B474">
        <f>IF(AND(LEN('Our policies'!A474)&gt;0,ISNUMBER('Our policies'!J474)),MAX($B$3:B473)+1,"")</f>
        <v/>
      </c>
      <c r="E474">
        <f>IFERROR(MATCH(471,$B$4:$B$1003,0),"")</f>
        <v/>
      </c>
    </row>
    <row r="475">
      <c r="A475">
        <f>IF(AND(LEN('Our policies'!A475)&gt;0,ISNUMBER('Our policies'!J475)),'Our policies'!J475+472/100000,"")</f>
        <v/>
      </c>
      <c r="B475">
        <f>IF(AND(LEN('Our policies'!A475)&gt;0,ISNUMBER('Our policies'!J475)),MAX($B$3:B474)+1,"")</f>
        <v/>
      </c>
      <c r="E475">
        <f>IFERROR(MATCH(472,$B$4:$B$1003,0),"")</f>
        <v/>
      </c>
    </row>
    <row r="476">
      <c r="A476">
        <f>IF(AND(LEN('Our policies'!A476)&gt;0,ISNUMBER('Our policies'!J476)),'Our policies'!J476+473/100000,"")</f>
        <v/>
      </c>
      <c r="B476">
        <f>IF(AND(LEN('Our policies'!A476)&gt;0,ISNUMBER('Our policies'!J476)),MAX($B$3:B475)+1,"")</f>
        <v/>
      </c>
      <c r="E476">
        <f>IFERROR(MATCH(473,$B$4:$B$1003,0),"")</f>
        <v/>
      </c>
    </row>
    <row r="477">
      <c r="A477">
        <f>IF(AND(LEN('Our policies'!A477)&gt;0,ISNUMBER('Our policies'!J477)),'Our policies'!J477+474/100000,"")</f>
        <v/>
      </c>
      <c r="B477">
        <f>IF(AND(LEN('Our policies'!A477)&gt;0,ISNUMBER('Our policies'!J477)),MAX($B$3:B476)+1,"")</f>
        <v/>
      </c>
      <c r="E477">
        <f>IFERROR(MATCH(474,$B$4:$B$1003,0),"")</f>
        <v/>
      </c>
    </row>
    <row r="478">
      <c r="A478">
        <f>IF(AND(LEN('Our policies'!A478)&gt;0,ISNUMBER('Our policies'!J478)),'Our policies'!J478+475/100000,"")</f>
        <v/>
      </c>
      <c r="B478">
        <f>IF(AND(LEN('Our policies'!A478)&gt;0,ISNUMBER('Our policies'!J478)),MAX($B$3:B477)+1,"")</f>
        <v/>
      </c>
      <c r="E478">
        <f>IFERROR(MATCH(475,$B$4:$B$1003,0),"")</f>
        <v/>
      </c>
    </row>
    <row r="479">
      <c r="A479">
        <f>IF(AND(LEN('Our policies'!A479)&gt;0,ISNUMBER('Our policies'!J479)),'Our policies'!J479+476/100000,"")</f>
        <v/>
      </c>
      <c r="B479">
        <f>IF(AND(LEN('Our policies'!A479)&gt;0,ISNUMBER('Our policies'!J479)),MAX($B$3:B478)+1,"")</f>
        <v/>
      </c>
      <c r="E479">
        <f>IFERROR(MATCH(476,$B$4:$B$1003,0),"")</f>
        <v/>
      </c>
    </row>
    <row r="480">
      <c r="A480">
        <f>IF(AND(LEN('Our policies'!A480)&gt;0,ISNUMBER('Our policies'!J480)),'Our policies'!J480+477/100000,"")</f>
        <v/>
      </c>
      <c r="B480">
        <f>IF(AND(LEN('Our policies'!A480)&gt;0,ISNUMBER('Our policies'!J480)),MAX($B$3:B479)+1,"")</f>
        <v/>
      </c>
      <c r="E480">
        <f>IFERROR(MATCH(477,$B$4:$B$1003,0),"")</f>
        <v/>
      </c>
    </row>
    <row r="481">
      <c r="A481">
        <f>IF(AND(LEN('Our policies'!A481)&gt;0,ISNUMBER('Our policies'!J481)),'Our policies'!J481+478/100000,"")</f>
        <v/>
      </c>
      <c r="B481">
        <f>IF(AND(LEN('Our policies'!A481)&gt;0,ISNUMBER('Our policies'!J481)),MAX($B$3:B480)+1,"")</f>
        <v/>
      </c>
      <c r="E481">
        <f>IFERROR(MATCH(478,$B$4:$B$1003,0),"")</f>
        <v/>
      </c>
    </row>
    <row r="482">
      <c r="A482">
        <f>IF(AND(LEN('Our policies'!A482)&gt;0,ISNUMBER('Our policies'!J482)),'Our policies'!J482+479/100000,"")</f>
        <v/>
      </c>
      <c r="B482">
        <f>IF(AND(LEN('Our policies'!A482)&gt;0,ISNUMBER('Our policies'!J482)),MAX($B$3:B481)+1,"")</f>
        <v/>
      </c>
      <c r="E482">
        <f>IFERROR(MATCH(479,$B$4:$B$1003,0),"")</f>
        <v/>
      </c>
    </row>
    <row r="483">
      <c r="A483">
        <f>IF(AND(LEN('Our policies'!A483)&gt;0,ISNUMBER('Our policies'!J483)),'Our policies'!J483+480/100000,"")</f>
        <v/>
      </c>
      <c r="B483">
        <f>IF(AND(LEN('Our policies'!A483)&gt;0,ISNUMBER('Our policies'!J483)),MAX($B$3:B482)+1,"")</f>
        <v/>
      </c>
      <c r="E483">
        <f>IFERROR(MATCH(480,$B$4:$B$1003,0),"")</f>
        <v/>
      </c>
    </row>
    <row r="484">
      <c r="A484">
        <f>IF(AND(LEN('Our policies'!A484)&gt;0,ISNUMBER('Our policies'!J484)),'Our policies'!J484+481/100000,"")</f>
        <v/>
      </c>
      <c r="B484">
        <f>IF(AND(LEN('Our policies'!A484)&gt;0,ISNUMBER('Our policies'!J484)),MAX($B$3:B483)+1,"")</f>
        <v/>
      </c>
      <c r="E484">
        <f>IFERROR(MATCH(481,$B$4:$B$1003,0),"")</f>
        <v/>
      </c>
    </row>
    <row r="485">
      <c r="A485">
        <f>IF(AND(LEN('Our policies'!A485)&gt;0,ISNUMBER('Our policies'!J485)),'Our policies'!J485+482/100000,"")</f>
        <v/>
      </c>
      <c r="B485">
        <f>IF(AND(LEN('Our policies'!A485)&gt;0,ISNUMBER('Our policies'!J485)),MAX($B$3:B484)+1,"")</f>
        <v/>
      </c>
      <c r="E485">
        <f>IFERROR(MATCH(482,$B$4:$B$1003,0),"")</f>
        <v/>
      </c>
    </row>
    <row r="486">
      <c r="A486">
        <f>IF(AND(LEN('Our policies'!A486)&gt;0,ISNUMBER('Our policies'!J486)),'Our policies'!J486+483/100000,"")</f>
        <v/>
      </c>
      <c r="B486">
        <f>IF(AND(LEN('Our policies'!A486)&gt;0,ISNUMBER('Our policies'!J486)),MAX($B$3:B485)+1,"")</f>
        <v/>
      </c>
      <c r="E486">
        <f>IFERROR(MATCH(483,$B$4:$B$1003,0),"")</f>
        <v/>
      </c>
    </row>
    <row r="487">
      <c r="A487">
        <f>IF(AND(LEN('Our policies'!A487)&gt;0,ISNUMBER('Our policies'!J487)),'Our policies'!J487+484/100000,"")</f>
        <v/>
      </c>
      <c r="B487">
        <f>IF(AND(LEN('Our policies'!A487)&gt;0,ISNUMBER('Our policies'!J487)),MAX($B$3:B486)+1,"")</f>
        <v/>
      </c>
      <c r="E487">
        <f>IFERROR(MATCH(484,$B$4:$B$1003,0),"")</f>
        <v/>
      </c>
    </row>
    <row r="488">
      <c r="A488">
        <f>IF(AND(LEN('Our policies'!A488)&gt;0,ISNUMBER('Our policies'!J488)),'Our policies'!J488+485/100000,"")</f>
        <v/>
      </c>
      <c r="B488">
        <f>IF(AND(LEN('Our policies'!A488)&gt;0,ISNUMBER('Our policies'!J488)),MAX($B$3:B487)+1,"")</f>
        <v/>
      </c>
      <c r="E488">
        <f>IFERROR(MATCH(485,$B$4:$B$1003,0),"")</f>
        <v/>
      </c>
    </row>
    <row r="489">
      <c r="A489">
        <f>IF(AND(LEN('Our policies'!A489)&gt;0,ISNUMBER('Our policies'!J489)),'Our policies'!J489+486/100000,"")</f>
        <v/>
      </c>
      <c r="B489">
        <f>IF(AND(LEN('Our policies'!A489)&gt;0,ISNUMBER('Our policies'!J489)),MAX($B$3:B488)+1,"")</f>
        <v/>
      </c>
      <c r="E489">
        <f>IFERROR(MATCH(486,$B$4:$B$1003,0),"")</f>
        <v/>
      </c>
    </row>
    <row r="490">
      <c r="A490">
        <f>IF(AND(LEN('Our policies'!A490)&gt;0,ISNUMBER('Our policies'!J490)),'Our policies'!J490+487/100000,"")</f>
        <v/>
      </c>
      <c r="B490">
        <f>IF(AND(LEN('Our policies'!A490)&gt;0,ISNUMBER('Our policies'!J490)),MAX($B$3:B489)+1,"")</f>
        <v/>
      </c>
      <c r="E490">
        <f>IFERROR(MATCH(487,$B$4:$B$1003,0),"")</f>
        <v/>
      </c>
    </row>
    <row r="491">
      <c r="A491">
        <f>IF(AND(LEN('Our policies'!A491)&gt;0,ISNUMBER('Our policies'!J491)),'Our policies'!J491+488/100000,"")</f>
        <v/>
      </c>
      <c r="B491">
        <f>IF(AND(LEN('Our policies'!A491)&gt;0,ISNUMBER('Our policies'!J491)),MAX($B$3:B490)+1,"")</f>
        <v/>
      </c>
      <c r="E491">
        <f>IFERROR(MATCH(488,$B$4:$B$1003,0),"")</f>
        <v/>
      </c>
    </row>
    <row r="492">
      <c r="A492">
        <f>IF(AND(LEN('Our policies'!A492)&gt;0,ISNUMBER('Our policies'!J492)),'Our policies'!J492+489/100000,"")</f>
        <v/>
      </c>
      <c r="B492">
        <f>IF(AND(LEN('Our policies'!A492)&gt;0,ISNUMBER('Our policies'!J492)),MAX($B$3:B491)+1,"")</f>
        <v/>
      </c>
      <c r="E492">
        <f>IFERROR(MATCH(489,$B$4:$B$1003,0),"")</f>
        <v/>
      </c>
    </row>
    <row r="493">
      <c r="A493">
        <f>IF(AND(LEN('Our policies'!A493)&gt;0,ISNUMBER('Our policies'!J493)),'Our policies'!J493+490/100000,"")</f>
        <v/>
      </c>
      <c r="B493">
        <f>IF(AND(LEN('Our policies'!A493)&gt;0,ISNUMBER('Our policies'!J493)),MAX($B$3:B492)+1,"")</f>
        <v/>
      </c>
      <c r="E493">
        <f>IFERROR(MATCH(490,$B$4:$B$1003,0),"")</f>
        <v/>
      </c>
    </row>
    <row r="494">
      <c r="A494">
        <f>IF(AND(LEN('Our policies'!A494)&gt;0,ISNUMBER('Our policies'!J494)),'Our policies'!J494+491/100000,"")</f>
        <v/>
      </c>
      <c r="B494">
        <f>IF(AND(LEN('Our policies'!A494)&gt;0,ISNUMBER('Our policies'!J494)),MAX($B$3:B493)+1,"")</f>
        <v/>
      </c>
      <c r="E494">
        <f>IFERROR(MATCH(491,$B$4:$B$1003,0),"")</f>
        <v/>
      </c>
    </row>
    <row r="495">
      <c r="A495">
        <f>IF(AND(LEN('Our policies'!A495)&gt;0,ISNUMBER('Our policies'!J495)),'Our policies'!J495+492/100000,"")</f>
        <v/>
      </c>
      <c r="B495">
        <f>IF(AND(LEN('Our policies'!A495)&gt;0,ISNUMBER('Our policies'!J495)),MAX($B$3:B494)+1,"")</f>
        <v/>
      </c>
      <c r="E495">
        <f>IFERROR(MATCH(492,$B$4:$B$1003,0),"")</f>
        <v/>
      </c>
    </row>
    <row r="496">
      <c r="A496">
        <f>IF(AND(LEN('Our policies'!A496)&gt;0,ISNUMBER('Our policies'!J496)),'Our policies'!J496+493/100000,"")</f>
        <v/>
      </c>
      <c r="B496">
        <f>IF(AND(LEN('Our policies'!A496)&gt;0,ISNUMBER('Our policies'!J496)),MAX($B$3:B495)+1,"")</f>
        <v/>
      </c>
      <c r="E496">
        <f>IFERROR(MATCH(493,$B$4:$B$1003,0),"")</f>
        <v/>
      </c>
    </row>
    <row r="497">
      <c r="A497">
        <f>IF(AND(LEN('Our policies'!A497)&gt;0,ISNUMBER('Our policies'!J497)),'Our policies'!J497+494/100000,"")</f>
        <v/>
      </c>
      <c r="B497">
        <f>IF(AND(LEN('Our policies'!A497)&gt;0,ISNUMBER('Our policies'!J497)),MAX($B$3:B496)+1,"")</f>
        <v/>
      </c>
      <c r="E497">
        <f>IFERROR(MATCH(494,$B$4:$B$1003,0),"")</f>
        <v/>
      </c>
    </row>
    <row r="498">
      <c r="A498">
        <f>IF(AND(LEN('Our policies'!A498)&gt;0,ISNUMBER('Our policies'!J498)),'Our policies'!J498+495/100000,"")</f>
        <v/>
      </c>
      <c r="B498">
        <f>IF(AND(LEN('Our policies'!A498)&gt;0,ISNUMBER('Our policies'!J498)),MAX($B$3:B497)+1,"")</f>
        <v/>
      </c>
      <c r="E498">
        <f>IFERROR(MATCH(495,$B$4:$B$1003,0),"")</f>
        <v/>
      </c>
    </row>
    <row r="499">
      <c r="A499">
        <f>IF(AND(LEN('Our policies'!A499)&gt;0,ISNUMBER('Our policies'!J499)),'Our policies'!J499+496/100000,"")</f>
        <v/>
      </c>
      <c r="B499">
        <f>IF(AND(LEN('Our policies'!A499)&gt;0,ISNUMBER('Our policies'!J499)),MAX($B$3:B498)+1,"")</f>
        <v/>
      </c>
      <c r="E499">
        <f>IFERROR(MATCH(496,$B$4:$B$1003,0),"")</f>
        <v/>
      </c>
    </row>
    <row r="500">
      <c r="A500">
        <f>IF(AND(LEN('Our policies'!A500)&gt;0,ISNUMBER('Our policies'!J500)),'Our policies'!J500+497/100000,"")</f>
        <v/>
      </c>
      <c r="B500">
        <f>IF(AND(LEN('Our policies'!A500)&gt;0,ISNUMBER('Our policies'!J500)),MAX($B$3:B499)+1,"")</f>
        <v/>
      </c>
      <c r="E500">
        <f>IFERROR(MATCH(497,$B$4:$B$1003,0),"")</f>
        <v/>
      </c>
    </row>
    <row r="501">
      <c r="A501">
        <f>IF(AND(LEN('Our policies'!A501)&gt;0,ISNUMBER('Our policies'!J501)),'Our policies'!J501+498/100000,"")</f>
        <v/>
      </c>
      <c r="B501">
        <f>IF(AND(LEN('Our policies'!A501)&gt;0,ISNUMBER('Our policies'!J501)),MAX($B$3:B500)+1,"")</f>
        <v/>
      </c>
      <c r="E501">
        <f>IFERROR(MATCH(498,$B$4:$B$1003,0),"")</f>
        <v/>
      </c>
    </row>
    <row r="502">
      <c r="A502">
        <f>IF(AND(LEN('Our policies'!A502)&gt;0,ISNUMBER('Our policies'!J502)),'Our policies'!J502+499/100000,"")</f>
        <v/>
      </c>
      <c r="B502">
        <f>IF(AND(LEN('Our policies'!A502)&gt;0,ISNUMBER('Our policies'!J502)),MAX($B$3:B501)+1,"")</f>
        <v/>
      </c>
      <c r="E502">
        <f>IFERROR(MATCH(499,$B$4:$B$1003,0),"")</f>
        <v/>
      </c>
    </row>
    <row r="503">
      <c r="A503">
        <f>IF(AND(LEN('Our policies'!A503)&gt;0,ISNUMBER('Our policies'!J503)),'Our policies'!J503+500/100000,"")</f>
        <v/>
      </c>
      <c r="B503">
        <f>IF(AND(LEN('Our policies'!A503)&gt;0,ISNUMBER('Our policies'!J503)),MAX($B$3:B502)+1,"")</f>
        <v/>
      </c>
      <c r="E503">
        <f>IFERROR(MATCH(500,$B$4:$B$1003,0),"")</f>
        <v/>
      </c>
    </row>
    <row r="504">
      <c r="A504">
        <f>IF(AND(LEN('Vendor COIs'!A4)&gt;0,ISNUMBER('Vendor COIs'!H4)),'Vendor COIs'!H4+501/100000,"")</f>
        <v/>
      </c>
      <c r="B504">
        <f>IF(AND(LEN('Vendor COIs'!A4)&gt;0,ISNUMBER('Vendor COIs'!H4)),MAX($B$3:B503)+1,"")</f>
        <v/>
      </c>
      <c r="E504">
        <f>IFERROR(MATCH(501,$B$4:$B$1003,0),"")</f>
        <v/>
      </c>
    </row>
    <row r="505">
      <c r="A505">
        <f>IF(AND(LEN('Vendor COIs'!A5)&gt;0,ISNUMBER('Vendor COIs'!H5)),'Vendor COIs'!H5+502/100000,"")</f>
        <v/>
      </c>
      <c r="B505">
        <f>IF(AND(LEN('Vendor COIs'!A5)&gt;0,ISNUMBER('Vendor COIs'!H5)),MAX($B$3:B504)+1,"")</f>
        <v/>
      </c>
      <c r="E505">
        <f>IFERROR(MATCH(502,$B$4:$B$1003,0),"")</f>
        <v/>
      </c>
    </row>
    <row r="506">
      <c r="A506">
        <f>IF(AND(LEN('Vendor COIs'!A6)&gt;0,ISNUMBER('Vendor COIs'!H6)),'Vendor COIs'!H6+503/100000,"")</f>
        <v/>
      </c>
      <c r="B506">
        <f>IF(AND(LEN('Vendor COIs'!A6)&gt;0,ISNUMBER('Vendor COIs'!H6)),MAX($B$3:B505)+1,"")</f>
        <v/>
      </c>
      <c r="E506">
        <f>IFERROR(MATCH(503,$B$4:$B$1003,0),"")</f>
        <v/>
      </c>
    </row>
    <row r="507">
      <c r="A507">
        <f>IF(AND(LEN('Vendor COIs'!A7)&gt;0,ISNUMBER('Vendor COIs'!H7)),'Vendor COIs'!H7+504/100000,"")</f>
        <v/>
      </c>
      <c r="B507">
        <f>IF(AND(LEN('Vendor COIs'!A7)&gt;0,ISNUMBER('Vendor COIs'!H7)),MAX($B$3:B506)+1,"")</f>
        <v/>
      </c>
      <c r="E507">
        <f>IFERROR(MATCH(504,$B$4:$B$1003,0),"")</f>
        <v/>
      </c>
    </row>
    <row r="508">
      <c r="A508">
        <f>IF(AND(LEN('Vendor COIs'!A8)&gt;0,ISNUMBER('Vendor COIs'!H8)),'Vendor COIs'!H8+505/100000,"")</f>
        <v/>
      </c>
      <c r="B508">
        <f>IF(AND(LEN('Vendor COIs'!A8)&gt;0,ISNUMBER('Vendor COIs'!H8)),MAX($B$3:B507)+1,"")</f>
        <v/>
      </c>
      <c r="E508">
        <f>IFERROR(MATCH(505,$B$4:$B$1003,0),"")</f>
        <v/>
      </c>
    </row>
    <row r="509">
      <c r="A509">
        <f>IF(AND(LEN('Vendor COIs'!A9)&gt;0,ISNUMBER('Vendor COIs'!H9)),'Vendor COIs'!H9+506/100000,"")</f>
        <v/>
      </c>
      <c r="B509">
        <f>IF(AND(LEN('Vendor COIs'!A9)&gt;0,ISNUMBER('Vendor COIs'!H9)),MAX($B$3:B508)+1,"")</f>
        <v/>
      </c>
      <c r="E509">
        <f>IFERROR(MATCH(506,$B$4:$B$1003,0),"")</f>
        <v/>
      </c>
    </row>
    <row r="510">
      <c r="A510">
        <f>IF(AND(LEN('Vendor COIs'!A10)&gt;0,ISNUMBER('Vendor COIs'!H10)),'Vendor COIs'!H10+507/100000,"")</f>
        <v/>
      </c>
      <c r="B510">
        <f>IF(AND(LEN('Vendor COIs'!A10)&gt;0,ISNUMBER('Vendor COIs'!H10)),MAX($B$3:B509)+1,"")</f>
        <v/>
      </c>
      <c r="E510">
        <f>IFERROR(MATCH(507,$B$4:$B$1003,0),"")</f>
        <v/>
      </c>
    </row>
    <row r="511">
      <c r="A511">
        <f>IF(AND(LEN('Vendor COIs'!A11)&gt;0,ISNUMBER('Vendor COIs'!H11)),'Vendor COIs'!H11+508/100000,"")</f>
        <v/>
      </c>
      <c r="B511">
        <f>IF(AND(LEN('Vendor COIs'!A11)&gt;0,ISNUMBER('Vendor COIs'!H11)),MAX($B$3:B510)+1,"")</f>
        <v/>
      </c>
      <c r="E511">
        <f>IFERROR(MATCH(508,$B$4:$B$1003,0),"")</f>
        <v/>
      </c>
    </row>
    <row r="512">
      <c r="A512">
        <f>IF(AND(LEN('Vendor COIs'!A12)&gt;0,ISNUMBER('Vendor COIs'!H12)),'Vendor COIs'!H12+509/100000,"")</f>
        <v/>
      </c>
      <c r="B512">
        <f>IF(AND(LEN('Vendor COIs'!A12)&gt;0,ISNUMBER('Vendor COIs'!H12)),MAX($B$3:B511)+1,"")</f>
        <v/>
      </c>
      <c r="E512">
        <f>IFERROR(MATCH(509,$B$4:$B$1003,0),"")</f>
        <v/>
      </c>
    </row>
    <row r="513">
      <c r="A513">
        <f>IF(AND(LEN('Vendor COIs'!A13)&gt;0,ISNUMBER('Vendor COIs'!H13)),'Vendor COIs'!H13+510/100000,"")</f>
        <v/>
      </c>
      <c r="B513">
        <f>IF(AND(LEN('Vendor COIs'!A13)&gt;0,ISNUMBER('Vendor COIs'!H13)),MAX($B$3:B512)+1,"")</f>
        <v/>
      </c>
      <c r="E513">
        <f>IFERROR(MATCH(510,$B$4:$B$1003,0),"")</f>
        <v/>
      </c>
    </row>
    <row r="514">
      <c r="A514">
        <f>IF(AND(LEN('Vendor COIs'!A14)&gt;0,ISNUMBER('Vendor COIs'!H14)),'Vendor COIs'!H14+511/100000,"")</f>
        <v/>
      </c>
      <c r="B514">
        <f>IF(AND(LEN('Vendor COIs'!A14)&gt;0,ISNUMBER('Vendor COIs'!H14)),MAX($B$3:B513)+1,"")</f>
        <v/>
      </c>
      <c r="E514">
        <f>IFERROR(MATCH(511,$B$4:$B$1003,0),"")</f>
        <v/>
      </c>
    </row>
    <row r="515">
      <c r="A515">
        <f>IF(AND(LEN('Vendor COIs'!A15)&gt;0,ISNUMBER('Vendor COIs'!H15)),'Vendor COIs'!H15+512/100000,"")</f>
        <v/>
      </c>
      <c r="B515">
        <f>IF(AND(LEN('Vendor COIs'!A15)&gt;0,ISNUMBER('Vendor COIs'!H15)),MAX($B$3:B514)+1,"")</f>
        <v/>
      </c>
      <c r="E515">
        <f>IFERROR(MATCH(512,$B$4:$B$1003,0),"")</f>
        <v/>
      </c>
    </row>
    <row r="516">
      <c r="A516">
        <f>IF(AND(LEN('Vendor COIs'!A16)&gt;0,ISNUMBER('Vendor COIs'!H16)),'Vendor COIs'!H16+513/100000,"")</f>
        <v/>
      </c>
      <c r="B516">
        <f>IF(AND(LEN('Vendor COIs'!A16)&gt;0,ISNUMBER('Vendor COIs'!H16)),MAX($B$3:B515)+1,"")</f>
        <v/>
      </c>
      <c r="E516">
        <f>IFERROR(MATCH(513,$B$4:$B$1003,0),"")</f>
        <v/>
      </c>
    </row>
    <row r="517">
      <c r="A517">
        <f>IF(AND(LEN('Vendor COIs'!A17)&gt;0,ISNUMBER('Vendor COIs'!H17)),'Vendor COIs'!H17+514/100000,"")</f>
        <v/>
      </c>
      <c r="B517">
        <f>IF(AND(LEN('Vendor COIs'!A17)&gt;0,ISNUMBER('Vendor COIs'!H17)),MAX($B$3:B516)+1,"")</f>
        <v/>
      </c>
      <c r="E517">
        <f>IFERROR(MATCH(514,$B$4:$B$1003,0),"")</f>
        <v/>
      </c>
    </row>
    <row r="518">
      <c r="A518">
        <f>IF(AND(LEN('Vendor COIs'!A18)&gt;0,ISNUMBER('Vendor COIs'!H18)),'Vendor COIs'!H18+515/100000,"")</f>
        <v/>
      </c>
      <c r="B518">
        <f>IF(AND(LEN('Vendor COIs'!A18)&gt;0,ISNUMBER('Vendor COIs'!H18)),MAX($B$3:B517)+1,"")</f>
        <v/>
      </c>
      <c r="E518">
        <f>IFERROR(MATCH(515,$B$4:$B$1003,0),"")</f>
        <v/>
      </c>
    </row>
    <row r="519">
      <c r="A519">
        <f>IF(AND(LEN('Vendor COIs'!A19)&gt;0,ISNUMBER('Vendor COIs'!H19)),'Vendor COIs'!H19+516/100000,"")</f>
        <v/>
      </c>
      <c r="B519">
        <f>IF(AND(LEN('Vendor COIs'!A19)&gt;0,ISNUMBER('Vendor COIs'!H19)),MAX($B$3:B518)+1,"")</f>
        <v/>
      </c>
      <c r="E519">
        <f>IFERROR(MATCH(516,$B$4:$B$1003,0),"")</f>
        <v/>
      </c>
    </row>
    <row r="520">
      <c r="A520">
        <f>IF(AND(LEN('Vendor COIs'!A20)&gt;0,ISNUMBER('Vendor COIs'!H20)),'Vendor COIs'!H20+517/100000,"")</f>
        <v/>
      </c>
      <c r="B520">
        <f>IF(AND(LEN('Vendor COIs'!A20)&gt;0,ISNUMBER('Vendor COIs'!H20)),MAX($B$3:B519)+1,"")</f>
        <v/>
      </c>
      <c r="E520">
        <f>IFERROR(MATCH(517,$B$4:$B$1003,0),"")</f>
        <v/>
      </c>
    </row>
    <row r="521">
      <c r="A521">
        <f>IF(AND(LEN('Vendor COIs'!A21)&gt;0,ISNUMBER('Vendor COIs'!H21)),'Vendor COIs'!H21+518/100000,"")</f>
        <v/>
      </c>
      <c r="B521">
        <f>IF(AND(LEN('Vendor COIs'!A21)&gt;0,ISNUMBER('Vendor COIs'!H21)),MAX($B$3:B520)+1,"")</f>
        <v/>
      </c>
      <c r="E521">
        <f>IFERROR(MATCH(518,$B$4:$B$1003,0),"")</f>
        <v/>
      </c>
    </row>
    <row r="522">
      <c r="A522">
        <f>IF(AND(LEN('Vendor COIs'!A22)&gt;0,ISNUMBER('Vendor COIs'!H22)),'Vendor COIs'!H22+519/100000,"")</f>
        <v/>
      </c>
      <c r="B522">
        <f>IF(AND(LEN('Vendor COIs'!A22)&gt;0,ISNUMBER('Vendor COIs'!H22)),MAX($B$3:B521)+1,"")</f>
        <v/>
      </c>
      <c r="E522">
        <f>IFERROR(MATCH(519,$B$4:$B$1003,0),"")</f>
        <v/>
      </c>
    </row>
    <row r="523">
      <c r="A523">
        <f>IF(AND(LEN('Vendor COIs'!A23)&gt;0,ISNUMBER('Vendor COIs'!H23)),'Vendor COIs'!H23+520/100000,"")</f>
        <v/>
      </c>
      <c r="B523">
        <f>IF(AND(LEN('Vendor COIs'!A23)&gt;0,ISNUMBER('Vendor COIs'!H23)),MAX($B$3:B522)+1,"")</f>
        <v/>
      </c>
      <c r="E523">
        <f>IFERROR(MATCH(520,$B$4:$B$1003,0),"")</f>
        <v/>
      </c>
    </row>
    <row r="524">
      <c r="A524">
        <f>IF(AND(LEN('Vendor COIs'!A24)&gt;0,ISNUMBER('Vendor COIs'!H24)),'Vendor COIs'!H24+521/100000,"")</f>
        <v/>
      </c>
      <c r="B524">
        <f>IF(AND(LEN('Vendor COIs'!A24)&gt;0,ISNUMBER('Vendor COIs'!H24)),MAX($B$3:B523)+1,"")</f>
        <v/>
      </c>
      <c r="E524">
        <f>IFERROR(MATCH(521,$B$4:$B$1003,0),"")</f>
        <v/>
      </c>
    </row>
    <row r="525">
      <c r="A525">
        <f>IF(AND(LEN('Vendor COIs'!A25)&gt;0,ISNUMBER('Vendor COIs'!H25)),'Vendor COIs'!H25+522/100000,"")</f>
        <v/>
      </c>
      <c r="B525">
        <f>IF(AND(LEN('Vendor COIs'!A25)&gt;0,ISNUMBER('Vendor COIs'!H25)),MAX($B$3:B524)+1,"")</f>
        <v/>
      </c>
      <c r="E525">
        <f>IFERROR(MATCH(522,$B$4:$B$1003,0),"")</f>
        <v/>
      </c>
    </row>
    <row r="526">
      <c r="A526">
        <f>IF(AND(LEN('Vendor COIs'!A26)&gt;0,ISNUMBER('Vendor COIs'!H26)),'Vendor COIs'!H26+523/100000,"")</f>
        <v/>
      </c>
      <c r="B526">
        <f>IF(AND(LEN('Vendor COIs'!A26)&gt;0,ISNUMBER('Vendor COIs'!H26)),MAX($B$3:B525)+1,"")</f>
        <v/>
      </c>
      <c r="E526">
        <f>IFERROR(MATCH(523,$B$4:$B$1003,0),"")</f>
        <v/>
      </c>
    </row>
    <row r="527">
      <c r="A527">
        <f>IF(AND(LEN('Vendor COIs'!A27)&gt;0,ISNUMBER('Vendor COIs'!H27)),'Vendor COIs'!H27+524/100000,"")</f>
        <v/>
      </c>
      <c r="B527">
        <f>IF(AND(LEN('Vendor COIs'!A27)&gt;0,ISNUMBER('Vendor COIs'!H27)),MAX($B$3:B526)+1,"")</f>
        <v/>
      </c>
      <c r="E527">
        <f>IFERROR(MATCH(524,$B$4:$B$1003,0),"")</f>
        <v/>
      </c>
    </row>
    <row r="528">
      <c r="A528">
        <f>IF(AND(LEN('Vendor COIs'!A28)&gt;0,ISNUMBER('Vendor COIs'!H28)),'Vendor COIs'!H28+525/100000,"")</f>
        <v/>
      </c>
      <c r="B528">
        <f>IF(AND(LEN('Vendor COIs'!A28)&gt;0,ISNUMBER('Vendor COIs'!H28)),MAX($B$3:B527)+1,"")</f>
        <v/>
      </c>
      <c r="E528">
        <f>IFERROR(MATCH(525,$B$4:$B$1003,0),"")</f>
        <v/>
      </c>
    </row>
    <row r="529">
      <c r="A529">
        <f>IF(AND(LEN('Vendor COIs'!A29)&gt;0,ISNUMBER('Vendor COIs'!H29)),'Vendor COIs'!H29+526/100000,"")</f>
        <v/>
      </c>
      <c r="B529">
        <f>IF(AND(LEN('Vendor COIs'!A29)&gt;0,ISNUMBER('Vendor COIs'!H29)),MAX($B$3:B528)+1,"")</f>
        <v/>
      </c>
      <c r="E529">
        <f>IFERROR(MATCH(526,$B$4:$B$1003,0),"")</f>
        <v/>
      </c>
    </row>
    <row r="530">
      <c r="A530">
        <f>IF(AND(LEN('Vendor COIs'!A30)&gt;0,ISNUMBER('Vendor COIs'!H30)),'Vendor COIs'!H30+527/100000,"")</f>
        <v/>
      </c>
      <c r="B530">
        <f>IF(AND(LEN('Vendor COIs'!A30)&gt;0,ISNUMBER('Vendor COIs'!H30)),MAX($B$3:B529)+1,"")</f>
        <v/>
      </c>
      <c r="E530">
        <f>IFERROR(MATCH(527,$B$4:$B$1003,0),"")</f>
        <v/>
      </c>
    </row>
    <row r="531">
      <c r="A531">
        <f>IF(AND(LEN('Vendor COIs'!A31)&gt;0,ISNUMBER('Vendor COIs'!H31)),'Vendor COIs'!H31+528/100000,"")</f>
        <v/>
      </c>
      <c r="B531">
        <f>IF(AND(LEN('Vendor COIs'!A31)&gt;0,ISNUMBER('Vendor COIs'!H31)),MAX($B$3:B530)+1,"")</f>
        <v/>
      </c>
      <c r="E531">
        <f>IFERROR(MATCH(528,$B$4:$B$1003,0),"")</f>
        <v/>
      </c>
    </row>
    <row r="532">
      <c r="A532">
        <f>IF(AND(LEN('Vendor COIs'!A32)&gt;0,ISNUMBER('Vendor COIs'!H32)),'Vendor COIs'!H32+529/100000,"")</f>
        <v/>
      </c>
      <c r="B532">
        <f>IF(AND(LEN('Vendor COIs'!A32)&gt;0,ISNUMBER('Vendor COIs'!H32)),MAX($B$3:B531)+1,"")</f>
        <v/>
      </c>
      <c r="E532">
        <f>IFERROR(MATCH(529,$B$4:$B$1003,0),"")</f>
        <v/>
      </c>
    </row>
    <row r="533">
      <c r="A533">
        <f>IF(AND(LEN('Vendor COIs'!A33)&gt;0,ISNUMBER('Vendor COIs'!H33)),'Vendor COIs'!H33+530/100000,"")</f>
        <v/>
      </c>
      <c r="B533">
        <f>IF(AND(LEN('Vendor COIs'!A33)&gt;0,ISNUMBER('Vendor COIs'!H33)),MAX($B$3:B532)+1,"")</f>
        <v/>
      </c>
      <c r="E533">
        <f>IFERROR(MATCH(530,$B$4:$B$1003,0),"")</f>
        <v/>
      </c>
    </row>
    <row r="534">
      <c r="A534">
        <f>IF(AND(LEN('Vendor COIs'!A34)&gt;0,ISNUMBER('Vendor COIs'!H34)),'Vendor COIs'!H34+531/100000,"")</f>
        <v/>
      </c>
      <c r="B534">
        <f>IF(AND(LEN('Vendor COIs'!A34)&gt;0,ISNUMBER('Vendor COIs'!H34)),MAX($B$3:B533)+1,"")</f>
        <v/>
      </c>
      <c r="E534">
        <f>IFERROR(MATCH(531,$B$4:$B$1003,0),"")</f>
        <v/>
      </c>
    </row>
    <row r="535">
      <c r="A535">
        <f>IF(AND(LEN('Vendor COIs'!A35)&gt;0,ISNUMBER('Vendor COIs'!H35)),'Vendor COIs'!H35+532/100000,"")</f>
        <v/>
      </c>
      <c r="B535">
        <f>IF(AND(LEN('Vendor COIs'!A35)&gt;0,ISNUMBER('Vendor COIs'!H35)),MAX($B$3:B534)+1,"")</f>
        <v/>
      </c>
      <c r="E535">
        <f>IFERROR(MATCH(532,$B$4:$B$1003,0),"")</f>
        <v/>
      </c>
    </row>
    <row r="536">
      <c r="A536">
        <f>IF(AND(LEN('Vendor COIs'!A36)&gt;0,ISNUMBER('Vendor COIs'!H36)),'Vendor COIs'!H36+533/100000,"")</f>
        <v/>
      </c>
      <c r="B536">
        <f>IF(AND(LEN('Vendor COIs'!A36)&gt;0,ISNUMBER('Vendor COIs'!H36)),MAX($B$3:B535)+1,"")</f>
        <v/>
      </c>
      <c r="E536">
        <f>IFERROR(MATCH(533,$B$4:$B$1003,0),"")</f>
        <v/>
      </c>
    </row>
    <row r="537">
      <c r="A537">
        <f>IF(AND(LEN('Vendor COIs'!A37)&gt;0,ISNUMBER('Vendor COIs'!H37)),'Vendor COIs'!H37+534/100000,"")</f>
        <v/>
      </c>
      <c r="B537">
        <f>IF(AND(LEN('Vendor COIs'!A37)&gt;0,ISNUMBER('Vendor COIs'!H37)),MAX($B$3:B536)+1,"")</f>
        <v/>
      </c>
      <c r="E537">
        <f>IFERROR(MATCH(534,$B$4:$B$1003,0),"")</f>
        <v/>
      </c>
    </row>
    <row r="538">
      <c r="A538">
        <f>IF(AND(LEN('Vendor COIs'!A38)&gt;0,ISNUMBER('Vendor COIs'!H38)),'Vendor COIs'!H38+535/100000,"")</f>
        <v/>
      </c>
      <c r="B538">
        <f>IF(AND(LEN('Vendor COIs'!A38)&gt;0,ISNUMBER('Vendor COIs'!H38)),MAX($B$3:B537)+1,"")</f>
        <v/>
      </c>
      <c r="E538">
        <f>IFERROR(MATCH(535,$B$4:$B$1003,0),"")</f>
        <v/>
      </c>
    </row>
    <row r="539">
      <c r="A539">
        <f>IF(AND(LEN('Vendor COIs'!A39)&gt;0,ISNUMBER('Vendor COIs'!H39)),'Vendor COIs'!H39+536/100000,"")</f>
        <v/>
      </c>
      <c r="B539">
        <f>IF(AND(LEN('Vendor COIs'!A39)&gt;0,ISNUMBER('Vendor COIs'!H39)),MAX($B$3:B538)+1,"")</f>
        <v/>
      </c>
      <c r="E539">
        <f>IFERROR(MATCH(536,$B$4:$B$1003,0),"")</f>
        <v/>
      </c>
    </row>
    <row r="540">
      <c r="A540">
        <f>IF(AND(LEN('Vendor COIs'!A40)&gt;0,ISNUMBER('Vendor COIs'!H40)),'Vendor COIs'!H40+537/100000,"")</f>
        <v/>
      </c>
      <c r="B540">
        <f>IF(AND(LEN('Vendor COIs'!A40)&gt;0,ISNUMBER('Vendor COIs'!H40)),MAX($B$3:B539)+1,"")</f>
        <v/>
      </c>
      <c r="E540">
        <f>IFERROR(MATCH(537,$B$4:$B$1003,0),"")</f>
        <v/>
      </c>
    </row>
    <row r="541">
      <c r="A541">
        <f>IF(AND(LEN('Vendor COIs'!A41)&gt;0,ISNUMBER('Vendor COIs'!H41)),'Vendor COIs'!H41+538/100000,"")</f>
        <v/>
      </c>
      <c r="B541">
        <f>IF(AND(LEN('Vendor COIs'!A41)&gt;0,ISNUMBER('Vendor COIs'!H41)),MAX($B$3:B540)+1,"")</f>
        <v/>
      </c>
      <c r="E541">
        <f>IFERROR(MATCH(538,$B$4:$B$1003,0),"")</f>
        <v/>
      </c>
    </row>
    <row r="542">
      <c r="A542">
        <f>IF(AND(LEN('Vendor COIs'!A42)&gt;0,ISNUMBER('Vendor COIs'!H42)),'Vendor COIs'!H42+539/100000,"")</f>
        <v/>
      </c>
      <c r="B542">
        <f>IF(AND(LEN('Vendor COIs'!A42)&gt;0,ISNUMBER('Vendor COIs'!H42)),MAX($B$3:B541)+1,"")</f>
        <v/>
      </c>
      <c r="E542">
        <f>IFERROR(MATCH(539,$B$4:$B$1003,0),"")</f>
        <v/>
      </c>
    </row>
    <row r="543">
      <c r="A543">
        <f>IF(AND(LEN('Vendor COIs'!A43)&gt;0,ISNUMBER('Vendor COIs'!H43)),'Vendor COIs'!H43+540/100000,"")</f>
        <v/>
      </c>
      <c r="B543">
        <f>IF(AND(LEN('Vendor COIs'!A43)&gt;0,ISNUMBER('Vendor COIs'!H43)),MAX($B$3:B542)+1,"")</f>
        <v/>
      </c>
      <c r="E543">
        <f>IFERROR(MATCH(540,$B$4:$B$1003,0),"")</f>
        <v/>
      </c>
    </row>
    <row r="544">
      <c r="A544">
        <f>IF(AND(LEN('Vendor COIs'!A44)&gt;0,ISNUMBER('Vendor COIs'!H44)),'Vendor COIs'!H44+541/100000,"")</f>
        <v/>
      </c>
      <c r="B544">
        <f>IF(AND(LEN('Vendor COIs'!A44)&gt;0,ISNUMBER('Vendor COIs'!H44)),MAX($B$3:B543)+1,"")</f>
        <v/>
      </c>
      <c r="E544">
        <f>IFERROR(MATCH(541,$B$4:$B$1003,0),"")</f>
        <v/>
      </c>
    </row>
    <row r="545">
      <c r="A545">
        <f>IF(AND(LEN('Vendor COIs'!A45)&gt;0,ISNUMBER('Vendor COIs'!H45)),'Vendor COIs'!H45+542/100000,"")</f>
        <v/>
      </c>
      <c r="B545">
        <f>IF(AND(LEN('Vendor COIs'!A45)&gt;0,ISNUMBER('Vendor COIs'!H45)),MAX($B$3:B544)+1,"")</f>
        <v/>
      </c>
      <c r="E545">
        <f>IFERROR(MATCH(542,$B$4:$B$1003,0),"")</f>
        <v/>
      </c>
    </row>
    <row r="546">
      <c r="A546">
        <f>IF(AND(LEN('Vendor COIs'!A46)&gt;0,ISNUMBER('Vendor COIs'!H46)),'Vendor COIs'!H46+543/100000,"")</f>
        <v/>
      </c>
      <c r="B546">
        <f>IF(AND(LEN('Vendor COIs'!A46)&gt;0,ISNUMBER('Vendor COIs'!H46)),MAX($B$3:B545)+1,"")</f>
        <v/>
      </c>
      <c r="E546">
        <f>IFERROR(MATCH(543,$B$4:$B$1003,0),"")</f>
        <v/>
      </c>
    </row>
    <row r="547">
      <c r="A547">
        <f>IF(AND(LEN('Vendor COIs'!A47)&gt;0,ISNUMBER('Vendor COIs'!H47)),'Vendor COIs'!H47+544/100000,"")</f>
        <v/>
      </c>
      <c r="B547">
        <f>IF(AND(LEN('Vendor COIs'!A47)&gt;0,ISNUMBER('Vendor COIs'!H47)),MAX($B$3:B546)+1,"")</f>
        <v/>
      </c>
      <c r="E547">
        <f>IFERROR(MATCH(544,$B$4:$B$1003,0),"")</f>
        <v/>
      </c>
    </row>
    <row r="548">
      <c r="A548">
        <f>IF(AND(LEN('Vendor COIs'!A48)&gt;0,ISNUMBER('Vendor COIs'!H48)),'Vendor COIs'!H48+545/100000,"")</f>
        <v/>
      </c>
      <c r="B548">
        <f>IF(AND(LEN('Vendor COIs'!A48)&gt;0,ISNUMBER('Vendor COIs'!H48)),MAX($B$3:B547)+1,"")</f>
        <v/>
      </c>
      <c r="E548">
        <f>IFERROR(MATCH(545,$B$4:$B$1003,0),"")</f>
        <v/>
      </c>
    </row>
    <row r="549">
      <c r="A549">
        <f>IF(AND(LEN('Vendor COIs'!A49)&gt;0,ISNUMBER('Vendor COIs'!H49)),'Vendor COIs'!H49+546/100000,"")</f>
        <v/>
      </c>
      <c r="B549">
        <f>IF(AND(LEN('Vendor COIs'!A49)&gt;0,ISNUMBER('Vendor COIs'!H49)),MAX($B$3:B548)+1,"")</f>
        <v/>
      </c>
      <c r="E549">
        <f>IFERROR(MATCH(546,$B$4:$B$1003,0),"")</f>
        <v/>
      </c>
    </row>
    <row r="550">
      <c r="A550">
        <f>IF(AND(LEN('Vendor COIs'!A50)&gt;0,ISNUMBER('Vendor COIs'!H50)),'Vendor COIs'!H50+547/100000,"")</f>
        <v/>
      </c>
      <c r="B550">
        <f>IF(AND(LEN('Vendor COIs'!A50)&gt;0,ISNUMBER('Vendor COIs'!H50)),MAX($B$3:B549)+1,"")</f>
        <v/>
      </c>
      <c r="E550">
        <f>IFERROR(MATCH(547,$B$4:$B$1003,0),"")</f>
        <v/>
      </c>
    </row>
    <row r="551">
      <c r="A551">
        <f>IF(AND(LEN('Vendor COIs'!A51)&gt;0,ISNUMBER('Vendor COIs'!H51)),'Vendor COIs'!H51+548/100000,"")</f>
        <v/>
      </c>
      <c r="B551">
        <f>IF(AND(LEN('Vendor COIs'!A51)&gt;0,ISNUMBER('Vendor COIs'!H51)),MAX($B$3:B550)+1,"")</f>
        <v/>
      </c>
      <c r="E551">
        <f>IFERROR(MATCH(548,$B$4:$B$1003,0),"")</f>
        <v/>
      </c>
    </row>
    <row r="552">
      <c r="A552">
        <f>IF(AND(LEN('Vendor COIs'!A52)&gt;0,ISNUMBER('Vendor COIs'!H52)),'Vendor COIs'!H52+549/100000,"")</f>
        <v/>
      </c>
      <c r="B552">
        <f>IF(AND(LEN('Vendor COIs'!A52)&gt;0,ISNUMBER('Vendor COIs'!H52)),MAX($B$3:B551)+1,"")</f>
        <v/>
      </c>
      <c r="E552">
        <f>IFERROR(MATCH(549,$B$4:$B$1003,0),"")</f>
        <v/>
      </c>
    </row>
    <row r="553">
      <c r="A553">
        <f>IF(AND(LEN('Vendor COIs'!A53)&gt;0,ISNUMBER('Vendor COIs'!H53)),'Vendor COIs'!H53+550/100000,"")</f>
        <v/>
      </c>
      <c r="B553">
        <f>IF(AND(LEN('Vendor COIs'!A53)&gt;0,ISNUMBER('Vendor COIs'!H53)),MAX($B$3:B552)+1,"")</f>
        <v/>
      </c>
      <c r="E553">
        <f>IFERROR(MATCH(550,$B$4:$B$1003,0),"")</f>
        <v/>
      </c>
    </row>
    <row r="554">
      <c r="A554">
        <f>IF(AND(LEN('Vendor COIs'!A54)&gt;0,ISNUMBER('Vendor COIs'!H54)),'Vendor COIs'!H54+551/100000,"")</f>
        <v/>
      </c>
      <c r="B554">
        <f>IF(AND(LEN('Vendor COIs'!A54)&gt;0,ISNUMBER('Vendor COIs'!H54)),MAX($B$3:B553)+1,"")</f>
        <v/>
      </c>
      <c r="E554">
        <f>IFERROR(MATCH(551,$B$4:$B$1003,0),"")</f>
        <v/>
      </c>
    </row>
    <row r="555">
      <c r="A555">
        <f>IF(AND(LEN('Vendor COIs'!A55)&gt;0,ISNUMBER('Vendor COIs'!H55)),'Vendor COIs'!H55+552/100000,"")</f>
        <v/>
      </c>
      <c r="B555">
        <f>IF(AND(LEN('Vendor COIs'!A55)&gt;0,ISNUMBER('Vendor COIs'!H55)),MAX($B$3:B554)+1,"")</f>
        <v/>
      </c>
      <c r="E555">
        <f>IFERROR(MATCH(552,$B$4:$B$1003,0),"")</f>
        <v/>
      </c>
    </row>
    <row r="556">
      <c r="A556">
        <f>IF(AND(LEN('Vendor COIs'!A56)&gt;0,ISNUMBER('Vendor COIs'!H56)),'Vendor COIs'!H56+553/100000,"")</f>
        <v/>
      </c>
      <c r="B556">
        <f>IF(AND(LEN('Vendor COIs'!A56)&gt;0,ISNUMBER('Vendor COIs'!H56)),MAX($B$3:B555)+1,"")</f>
        <v/>
      </c>
      <c r="E556">
        <f>IFERROR(MATCH(553,$B$4:$B$1003,0),"")</f>
        <v/>
      </c>
    </row>
    <row r="557">
      <c r="A557">
        <f>IF(AND(LEN('Vendor COIs'!A57)&gt;0,ISNUMBER('Vendor COIs'!H57)),'Vendor COIs'!H57+554/100000,"")</f>
        <v/>
      </c>
      <c r="B557">
        <f>IF(AND(LEN('Vendor COIs'!A57)&gt;0,ISNUMBER('Vendor COIs'!H57)),MAX($B$3:B556)+1,"")</f>
        <v/>
      </c>
      <c r="E557">
        <f>IFERROR(MATCH(554,$B$4:$B$1003,0),"")</f>
        <v/>
      </c>
    </row>
    <row r="558">
      <c r="A558">
        <f>IF(AND(LEN('Vendor COIs'!A58)&gt;0,ISNUMBER('Vendor COIs'!H58)),'Vendor COIs'!H58+555/100000,"")</f>
        <v/>
      </c>
      <c r="B558">
        <f>IF(AND(LEN('Vendor COIs'!A58)&gt;0,ISNUMBER('Vendor COIs'!H58)),MAX($B$3:B557)+1,"")</f>
        <v/>
      </c>
      <c r="E558">
        <f>IFERROR(MATCH(555,$B$4:$B$1003,0),"")</f>
        <v/>
      </c>
    </row>
    <row r="559">
      <c r="A559">
        <f>IF(AND(LEN('Vendor COIs'!A59)&gt;0,ISNUMBER('Vendor COIs'!H59)),'Vendor COIs'!H59+556/100000,"")</f>
        <v/>
      </c>
      <c r="B559">
        <f>IF(AND(LEN('Vendor COIs'!A59)&gt;0,ISNUMBER('Vendor COIs'!H59)),MAX($B$3:B558)+1,"")</f>
        <v/>
      </c>
      <c r="E559">
        <f>IFERROR(MATCH(556,$B$4:$B$1003,0),"")</f>
        <v/>
      </c>
    </row>
    <row r="560">
      <c r="A560">
        <f>IF(AND(LEN('Vendor COIs'!A60)&gt;0,ISNUMBER('Vendor COIs'!H60)),'Vendor COIs'!H60+557/100000,"")</f>
        <v/>
      </c>
      <c r="B560">
        <f>IF(AND(LEN('Vendor COIs'!A60)&gt;0,ISNUMBER('Vendor COIs'!H60)),MAX($B$3:B559)+1,"")</f>
        <v/>
      </c>
      <c r="E560">
        <f>IFERROR(MATCH(557,$B$4:$B$1003,0),"")</f>
        <v/>
      </c>
    </row>
    <row r="561">
      <c r="A561">
        <f>IF(AND(LEN('Vendor COIs'!A61)&gt;0,ISNUMBER('Vendor COIs'!H61)),'Vendor COIs'!H61+558/100000,"")</f>
        <v/>
      </c>
      <c r="B561">
        <f>IF(AND(LEN('Vendor COIs'!A61)&gt;0,ISNUMBER('Vendor COIs'!H61)),MAX($B$3:B560)+1,"")</f>
        <v/>
      </c>
      <c r="E561">
        <f>IFERROR(MATCH(558,$B$4:$B$1003,0),"")</f>
        <v/>
      </c>
    </row>
    <row r="562">
      <c r="A562">
        <f>IF(AND(LEN('Vendor COIs'!A62)&gt;0,ISNUMBER('Vendor COIs'!H62)),'Vendor COIs'!H62+559/100000,"")</f>
        <v/>
      </c>
      <c r="B562">
        <f>IF(AND(LEN('Vendor COIs'!A62)&gt;0,ISNUMBER('Vendor COIs'!H62)),MAX($B$3:B561)+1,"")</f>
        <v/>
      </c>
      <c r="E562">
        <f>IFERROR(MATCH(559,$B$4:$B$1003,0),"")</f>
        <v/>
      </c>
    </row>
    <row r="563">
      <c r="A563">
        <f>IF(AND(LEN('Vendor COIs'!A63)&gt;0,ISNUMBER('Vendor COIs'!H63)),'Vendor COIs'!H63+560/100000,"")</f>
        <v/>
      </c>
      <c r="B563">
        <f>IF(AND(LEN('Vendor COIs'!A63)&gt;0,ISNUMBER('Vendor COIs'!H63)),MAX($B$3:B562)+1,"")</f>
        <v/>
      </c>
      <c r="E563">
        <f>IFERROR(MATCH(560,$B$4:$B$1003,0),"")</f>
        <v/>
      </c>
    </row>
    <row r="564">
      <c r="A564">
        <f>IF(AND(LEN('Vendor COIs'!A64)&gt;0,ISNUMBER('Vendor COIs'!H64)),'Vendor COIs'!H64+561/100000,"")</f>
        <v/>
      </c>
      <c r="B564">
        <f>IF(AND(LEN('Vendor COIs'!A64)&gt;0,ISNUMBER('Vendor COIs'!H64)),MAX($B$3:B563)+1,"")</f>
        <v/>
      </c>
      <c r="E564">
        <f>IFERROR(MATCH(561,$B$4:$B$1003,0),"")</f>
        <v/>
      </c>
    </row>
    <row r="565">
      <c r="A565">
        <f>IF(AND(LEN('Vendor COIs'!A65)&gt;0,ISNUMBER('Vendor COIs'!H65)),'Vendor COIs'!H65+562/100000,"")</f>
        <v/>
      </c>
      <c r="B565">
        <f>IF(AND(LEN('Vendor COIs'!A65)&gt;0,ISNUMBER('Vendor COIs'!H65)),MAX($B$3:B564)+1,"")</f>
        <v/>
      </c>
      <c r="E565">
        <f>IFERROR(MATCH(562,$B$4:$B$1003,0),"")</f>
        <v/>
      </c>
    </row>
    <row r="566">
      <c r="A566">
        <f>IF(AND(LEN('Vendor COIs'!A66)&gt;0,ISNUMBER('Vendor COIs'!H66)),'Vendor COIs'!H66+563/100000,"")</f>
        <v/>
      </c>
      <c r="B566">
        <f>IF(AND(LEN('Vendor COIs'!A66)&gt;0,ISNUMBER('Vendor COIs'!H66)),MAX($B$3:B565)+1,"")</f>
        <v/>
      </c>
      <c r="E566">
        <f>IFERROR(MATCH(563,$B$4:$B$1003,0),"")</f>
        <v/>
      </c>
    </row>
    <row r="567">
      <c r="A567">
        <f>IF(AND(LEN('Vendor COIs'!A67)&gt;0,ISNUMBER('Vendor COIs'!H67)),'Vendor COIs'!H67+564/100000,"")</f>
        <v/>
      </c>
      <c r="B567">
        <f>IF(AND(LEN('Vendor COIs'!A67)&gt;0,ISNUMBER('Vendor COIs'!H67)),MAX($B$3:B566)+1,"")</f>
        <v/>
      </c>
      <c r="E567">
        <f>IFERROR(MATCH(564,$B$4:$B$1003,0),"")</f>
        <v/>
      </c>
    </row>
    <row r="568">
      <c r="A568">
        <f>IF(AND(LEN('Vendor COIs'!A68)&gt;0,ISNUMBER('Vendor COIs'!H68)),'Vendor COIs'!H68+565/100000,"")</f>
        <v/>
      </c>
      <c r="B568">
        <f>IF(AND(LEN('Vendor COIs'!A68)&gt;0,ISNUMBER('Vendor COIs'!H68)),MAX($B$3:B567)+1,"")</f>
        <v/>
      </c>
      <c r="E568">
        <f>IFERROR(MATCH(565,$B$4:$B$1003,0),"")</f>
        <v/>
      </c>
    </row>
    <row r="569">
      <c r="A569">
        <f>IF(AND(LEN('Vendor COIs'!A69)&gt;0,ISNUMBER('Vendor COIs'!H69)),'Vendor COIs'!H69+566/100000,"")</f>
        <v/>
      </c>
      <c r="B569">
        <f>IF(AND(LEN('Vendor COIs'!A69)&gt;0,ISNUMBER('Vendor COIs'!H69)),MAX($B$3:B568)+1,"")</f>
        <v/>
      </c>
      <c r="E569">
        <f>IFERROR(MATCH(566,$B$4:$B$1003,0),"")</f>
        <v/>
      </c>
    </row>
    <row r="570">
      <c r="A570">
        <f>IF(AND(LEN('Vendor COIs'!A70)&gt;0,ISNUMBER('Vendor COIs'!H70)),'Vendor COIs'!H70+567/100000,"")</f>
        <v/>
      </c>
      <c r="B570">
        <f>IF(AND(LEN('Vendor COIs'!A70)&gt;0,ISNUMBER('Vendor COIs'!H70)),MAX($B$3:B569)+1,"")</f>
        <v/>
      </c>
      <c r="E570">
        <f>IFERROR(MATCH(567,$B$4:$B$1003,0),"")</f>
        <v/>
      </c>
    </row>
    <row r="571">
      <c r="A571">
        <f>IF(AND(LEN('Vendor COIs'!A71)&gt;0,ISNUMBER('Vendor COIs'!H71)),'Vendor COIs'!H71+568/100000,"")</f>
        <v/>
      </c>
      <c r="B571">
        <f>IF(AND(LEN('Vendor COIs'!A71)&gt;0,ISNUMBER('Vendor COIs'!H71)),MAX($B$3:B570)+1,"")</f>
        <v/>
      </c>
      <c r="E571">
        <f>IFERROR(MATCH(568,$B$4:$B$1003,0),"")</f>
        <v/>
      </c>
    </row>
    <row r="572">
      <c r="A572">
        <f>IF(AND(LEN('Vendor COIs'!A72)&gt;0,ISNUMBER('Vendor COIs'!H72)),'Vendor COIs'!H72+569/100000,"")</f>
        <v/>
      </c>
      <c r="B572">
        <f>IF(AND(LEN('Vendor COIs'!A72)&gt;0,ISNUMBER('Vendor COIs'!H72)),MAX($B$3:B571)+1,"")</f>
        <v/>
      </c>
      <c r="E572">
        <f>IFERROR(MATCH(569,$B$4:$B$1003,0),"")</f>
        <v/>
      </c>
    </row>
    <row r="573">
      <c r="A573">
        <f>IF(AND(LEN('Vendor COIs'!A73)&gt;0,ISNUMBER('Vendor COIs'!H73)),'Vendor COIs'!H73+570/100000,"")</f>
        <v/>
      </c>
      <c r="B573">
        <f>IF(AND(LEN('Vendor COIs'!A73)&gt;0,ISNUMBER('Vendor COIs'!H73)),MAX($B$3:B572)+1,"")</f>
        <v/>
      </c>
      <c r="E573">
        <f>IFERROR(MATCH(570,$B$4:$B$1003,0),"")</f>
        <v/>
      </c>
    </row>
    <row r="574">
      <c r="A574">
        <f>IF(AND(LEN('Vendor COIs'!A74)&gt;0,ISNUMBER('Vendor COIs'!H74)),'Vendor COIs'!H74+571/100000,"")</f>
        <v/>
      </c>
      <c r="B574">
        <f>IF(AND(LEN('Vendor COIs'!A74)&gt;0,ISNUMBER('Vendor COIs'!H74)),MAX($B$3:B573)+1,"")</f>
        <v/>
      </c>
      <c r="E574">
        <f>IFERROR(MATCH(571,$B$4:$B$1003,0),"")</f>
        <v/>
      </c>
    </row>
    <row r="575">
      <c r="A575">
        <f>IF(AND(LEN('Vendor COIs'!A75)&gt;0,ISNUMBER('Vendor COIs'!H75)),'Vendor COIs'!H75+572/100000,"")</f>
        <v/>
      </c>
      <c r="B575">
        <f>IF(AND(LEN('Vendor COIs'!A75)&gt;0,ISNUMBER('Vendor COIs'!H75)),MAX($B$3:B574)+1,"")</f>
        <v/>
      </c>
      <c r="E575">
        <f>IFERROR(MATCH(572,$B$4:$B$1003,0),"")</f>
        <v/>
      </c>
    </row>
    <row r="576">
      <c r="A576">
        <f>IF(AND(LEN('Vendor COIs'!A76)&gt;0,ISNUMBER('Vendor COIs'!H76)),'Vendor COIs'!H76+573/100000,"")</f>
        <v/>
      </c>
      <c r="B576">
        <f>IF(AND(LEN('Vendor COIs'!A76)&gt;0,ISNUMBER('Vendor COIs'!H76)),MAX($B$3:B575)+1,"")</f>
        <v/>
      </c>
      <c r="E576">
        <f>IFERROR(MATCH(573,$B$4:$B$1003,0),"")</f>
        <v/>
      </c>
    </row>
    <row r="577">
      <c r="A577">
        <f>IF(AND(LEN('Vendor COIs'!A77)&gt;0,ISNUMBER('Vendor COIs'!H77)),'Vendor COIs'!H77+574/100000,"")</f>
        <v/>
      </c>
      <c r="B577">
        <f>IF(AND(LEN('Vendor COIs'!A77)&gt;0,ISNUMBER('Vendor COIs'!H77)),MAX($B$3:B576)+1,"")</f>
        <v/>
      </c>
      <c r="E577">
        <f>IFERROR(MATCH(574,$B$4:$B$1003,0),"")</f>
        <v/>
      </c>
    </row>
    <row r="578">
      <c r="A578">
        <f>IF(AND(LEN('Vendor COIs'!A78)&gt;0,ISNUMBER('Vendor COIs'!H78)),'Vendor COIs'!H78+575/100000,"")</f>
        <v/>
      </c>
      <c r="B578">
        <f>IF(AND(LEN('Vendor COIs'!A78)&gt;0,ISNUMBER('Vendor COIs'!H78)),MAX($B$3:B577)+1,"")</f>
        <v/>
      </c>
      <c r="E578">
        <f>IFERROR(MATCH(575,$B$4:$B$1003,0),"")</f>
        <v/>
      </c>
    </row>
    <row r="579">
      <c r="A579">
        <f>IF(AND(LEN('Vendor COIs'!A79)&gt;0,ISNUMBER('Vendor COIs'!H79)),'Vendor COIs'!H79+576/100000,"")</f>
        <v/>
      </c>
      <c r="B579">
        <f>IF(AND(LEN('Vendor COIs'!A79)&gt;0,ISNUMBER('Vendor COIs'!H79)),MAX($B$3:B578)+1,"")</f>
        <v/>
      </c>
      <c r="E579">
        <f>IFERROR(MATCH(576,$B$4:$B$1003,0),"")</f>
        <v/>
      </c>
    </row>
    <row r="580">
      <c r="A580">
        <f>IF(AND(LEN('Vendor COIs'!A80)&gt;0,ISNUMBER('Vendor COIs'!H80)),'Vendor COIs'!H80+577/100000,"")</f>
        <v/>
      </c>
      <c r="B580">
        <f>IF(AND(LEN('Vendor COIs'!A80)&gt;0,ISNUMBER('Vendor COIs'!H80)),MAX($B$3:B579)+1,"")</f>
        <v/>
      </c>
      <c r="E580">
        <f>IFERROR(MATCH(577,$B$4:$B$1003,0),"")</f>
        <v/>
      </c>
    </row>
    <row r="581">
      <c r="A581">
        <f>IF(AND(LEN('Vendor COIs'!A81)&gt;0,ISNUMBER('Vendor COIs'!H81)),'Vendor COIs'!H81+578/100000,"")</f>
        <v/>
      </c>
      <c r="B581">
        <f>IF(AND(LEN('Vendor COIs'!A81)&gt;0,ISNUMBER('Vendor COIs'!H81)),MAX($B$3:B580)+1,"")</f>
        <v/>
      </c>
      <c r="E581">
        <f>IFERROR(MATCH(578,$B$4:$B$1003,0),"")</f>
        <v/>
      </c>
    </row>
    <row r="582">
      <c r="A582">
        <f>IF(AND(LEN('Vendor COIs'!A82)&gt;0,ISNUMBER('Vendor COIs'!H82)),'Vendor COIs'!H82+579/100000,"")</f>
        <v/>
      </c>
      <c r="B582">
        <f>IF(AND(LEN('Vendor COIs'!A82)&gt;0,ISNUMBER('Vendor COIs'!H82)),MAX($B$3:B581)+1,"")</f>
        <v/>
      </c>
      <c r="E582">
        <f>IFERROR(MATCH(579,$B$4:$B$1003,0),"")</f>
        <v/>
      </c>
    </row>
    <row r="583">
      <c r="A583">
        <f>IF(AND(LEN('Vendor COIs'!A83)&gt;0,ISNUMBER('Vendor COIs'!H83)),'Vendor COIs'!H83+580/100000,"")</f>
        <v/>
      </c>
      <c r="B583">
        <f>IF(AND(LEN('Vendor COIs'!A83)&gt;0,ISNUMBER('Vendor COIs'!H83)),MAX($B$3:B582)+1,"")</f>
        <v/>
      </c>
      <c r="E583">
        <f>IFERROR(MATCH(580,$B$4:$B$1003,0),"")</f>
        <v/>
      </c>
    </row>
    <row r="584">
      <c r="A584">
        <f>IF(AND(LEN('Vendor COIs'!A84)&gt;0,ISNUMBER('Vendor COIs'!H84)),'Vendor COIs'!H84+581/100000,"")</f>
        <v/>
      </c>
      <c r="B584">
        <f>IF(AND(LEN('Vendor COIs'!A84)&gt;0,ISNUMBER('Vendor COIs'!H84)),MAX($B$3:B583)+1,"")</f>
        <v/>
      </c>
      <c r="E584">
        <f>IFERROR(MATCH(581,$B$4:$B$1003,0),"")</f>
        <v/>
      </c>
    </row>
    <row r="585">
      <c r="A585">
        <f>IF(AND(LEN('Vendor COIs'!A85)&gt;0,ISNUMBER('Vendor COIs'!H85)),'Vendor COIs'!H85+582/100000,"")</f>
        <v/>
      </c>
      <c r="B585">
        <f>IF(AND(LEN('Vendor COIs'!A85)&gt;0,ISNUMBER('Vendor COIs'!H85)),MAX($B$3:B584)+1,"")</f>
        <v/>
      </c>
      <c r="E585">
        <f>IFERROR(MATCH(582,$B$4:$B$1003,0),"")</f>
        <v/>
      </c>
    </row>
    <row r="586">
      <c r="A586">
        <f>IF(AND(LEN('Vendor COIs'!A86)&gt;0,ISNUMBER('Vendor COIs'!H86)),'Vendor COIs'!H86+583/100000,"")</f>
        <v/>
      </c>
      <c r="B586">
        <f>IF(AND(LEN('Vendor COIs'!A86)&gt;0,ISNUMBER('Vendor COIs'!H86)),MAX($B$3:B585)+1,"")</f>
        <v/>
      </c>
      <c r="E586">
        <f>IFERROR(MATCH(583,$B$4:$B$1003,0),"")</f>
        <v/>
      </c>
    </row>
    <row r="587">
      <c r="A587">
        <f>IF(AND(LEN('Vendor COIs'!A87)&gt;0,ISNUMBER('Vendor COIs'!H87)),'Vendor COIs'!H87+584/100000,"")</f>
        <v/>
      </c>
      <c r="B587">
        <f>IF(AND(LEN('Vendor COIs'!A87)&gt;0,ISNUMBER('Vendor COIs'!H87)),MAX($B$3:B586)+1,"")</f>
        <v/>
      </c>
      <c r="E587">
        <f>IFERROR(MATCH(584,$B$4:$B$1003,0),"")</f>
        <v/>
      </c>
    </row>
    <row r="588">
      <c r="A588">
        <f>IF(AND(LEN('Vendor COIs'!A88)&gt;0,ISNUMBER('Vendor COIs'!H88)),'Vendor COIs'!H88+585/100000,"")</f>
        <v/>
      </c>
      <c r="B588">
        <f>IF(AND(LEN('Vendor COIs'!A88)&gt;0,ISNUMBER('Vendor COIs'!H88)),MAX($B$3:B587)+1,"")</f>
        <v/>
      </c>
      <c r="E588">
        <f>IFERROR(MATCH(585,$B$4:$B$1003,0),"")</f>
        <v/>
      </c>
    </row>
    <row r="589">
      <c r="A589">
        <f>IF(AND(LEN('Vendor COIs'!A89)&gt;0,ISNUMBER('Vendor COIs'!H89)),'Vendor COIs'!H89+586/100000,"")</f>
        <v/>
      </c>
      <c r="B589">
        <f>IF(AND(LEN('Vendor COIs'!A89)&gt;0,ISNUMBER('Vendor COIs'!H89)),MAX($B$3:B588)+1,"")</f>
        <v/>
      </c>
      <c r="E589">
        <f>IFERROR(MATCH(586,$B$4:$B$1003,0),"")</f>
        <v/>
      </c>
    </row>
    <row r="590">
      <c r="A590">
        <f>IF(AND(LEN('Vendor COIs'!A90)&gt;0,ISNUMBER('Vendor COIs'!H90)),'Vendor COIs'!H90+587/100000,"")</f>
        <v/>
      </c>
      <c r="B590">
        <f>IF(AND(LEN('Vendor COIs'!A90)&gt;0,ISNUMBER('Vendor COIs'!H90)),MAX($B$3:B589)+1,"")</f>
        <v/>
      </c>
      <c r="E590">
        <f>IFERROR(MATCH(587,$B$4:$B$1003,0),"")</f>
        <v/>
      </c>
    </row>
    <row r="591">
      <c r="A591">
        <f>IF(AND(LEN('Vendor COIs'!A91)&gt;0,ISNUMBER('Vendor COIs'!H91)),'Vendor COIs'!H91+588/100000,"")</f>
        <v/>
      </c>
      <c r="B591">
        <f>IF(AND(LEN('Vendor COIs'!A91)&gt;0,ISNUMBER('Vendor COIs'!H91)),MAX($B$3:B590)+1,"")</f>
        <v/>
      </c>
      <c r="E591">
        <f>IFERROR(MATCH(588,$B$4:$B$1003,0),"")</f>
        <v/>
      </c>
    </row>
    <row r="592">
      <c r="A592">
        <f>IF(AND(LEN('Vendor COIs'!A92)&gt;0,ISNUMBER('Vendor COIs'!H92)),'Vendor COIs'!H92+589/100000,"")</f>
        <v/>
      </c>
      <c r="B592">
        <f>IF(AND(LEN('Vendor COIs'!A92)&gt;0,ISNUMBER('Vendor COIs'!H92)),MAX($B$3:B591)+1,"")</f>
        <v/>
      </c>
      <c r="E592">
        <f>IFERROR(MATCH(589,$B$4:$B$1003,0),"")</f>
        <v/>
      </c>
    </row>
    <row r="593">
      <c r="A593">
        <f>IF(AND(LEN('Vendor COIs'!A93)&gt;0,ISNUMBER('Vendor COIs'!H93)),'Vendor COIs'!H93+590/100000,"")</f>
        <v/>
      </c>
      <c r="B593">
        <f>IF(AND(LEN('Vendor COIs'!A93)&gt;0,ISNUMBER('Vendor COIs'!H93)),MAX($B$3:B592)+1,"")</f>
        <v/>
      </c>
      <c r="E593">
        <f>IFERROR(MATCH(590,$B$4:$B$1003,0),"")</f>
        <v/>
      </c>
    </row>
    <row r="594">
      <c r="A594">
        <f>IF(AND(LEN('Vendor COIs'!A94)&gt;0,ISNUMBER('Vendor COIs'!H94)),'Vendor COIs'!H94+591/100000,"")</f>
        <v/>
      </c>
      <c r="B594">
        <f>IF(AND(LEN('Vendor COIs'!A94)&gt;0,ISNUMBER('Vendor COIs'!H94)),MAX($B$3:B593)+1,"")</f>
        <v/>
      </c>
      <c r="E594">
        <f>IFERROR(MATCH(591,$B$4:$B$1003,0),"")</f>
        <v/>
      </c>
    </row>
    <row r="595">
      <c r="A595">
        <f>IF(AND(LEN('Vendor COIs'!A95)&gt;0,ISNUMBER('Vendor COIs'!H95)),'Vendor COIs'!H95+592/100000,"")</f>
        <v/>
      </c>
      <c r="B595">
        <f>IF(AND(LEN('Vendor COIs'!A95)&gt;0,ISNUMBER('Vendor COIs'!H95)),MAX($B$3:B594)+1,"")</f>
        <v/>
      </c>
      <c r="E595">
        <f>IFERROR(MATCH(592,$B$4:$B$1003,0),"")</f>
        <v/>
      </c>
    </row>
    <row r="596">
      <c r="A596">
        <f>IF(AND(LEN('Vendor COIs'!A96)&gt;0,ISNUMBER('Vendor COIs'!H96)),'Vendor COIs'!H96+593/100000,"")</f>
        <v/>
      </c>
      <c r="B596">
        <f>IF(AND(LEN('Vendor COIs'!A96)&gt;0,ISNUMBER('Vendor COIs'!H96)),MAX($B$3:B595)+1,"")</f>
        <v/>
      </c>
      <c r="E596">
        <f>IFERROR(MATCH(593,$B$4:$B$1003,0),"")</f>
        <v/>
      </c>
    </row>
    <row r="597">
      <c r="A597">
        <f>IF(AND(LEN('Vendor COIs'!A97)&gt;0,ISNUMBER('Vendor COIs'!H97)),'Vendor COIs'!H97+594/100000,"")</f>
        <v/>
      </c>
      <c r="B597">
        <f>IF(AND(LEN('Vendor COIs'!A97)&gt;0,ISNUMBER('Vendor COIs'!H97)),MAX($B$3:B596)+1,"")</f>
        <v/>
      </c>
      <c r="E597">
        <f>IFERROR(MATCH(594,$B$4:$B$1003,0),"")</f>
        <v/>
      </c>
    </row>
    <row r="598">
      <c r="A598">
        <f>IF(AND(LEN('Vendor COIs'!A98)&gt;0,ISNUMBER('Vendor COIs'!H98)),'Vendor COIs'!H98+595/100000,"")</f>
        <v/>
      </c>
      <c r="B598">
        <f>IF(AND(LEN('Vendor COIs'!A98)&gt;0,ISNUMBER('Vendor COIs'!H98)),MAX($B$3:B597)+1,"")</f>
        <v/>
      </c>
      <c r="E598">
        <f>IFERROR(MATCH(595,$B$4:$B$1003,0),"")</f>
        <v/>
      </c>
    </row>
    <row r="599">
      <c r="A599">
        <f>IF(AND(LEN('Vendor COIs'!A99)&gt;0,ISNUMBER('Vendor COIs'!H99)),'Vendor COIs'!H99+596/100000,"")</f>
        <v/>
      </c>
      <c r="B599">
        <f>IF(AND(LEN('Vendor COIs'!A99)&gt;0,ISNUMBER('Vendor COIs'!H99)),MAX($B$3:B598)+1,"")</f>
        <v/>
      </c>
      <c r="E599">
        <f>IFERROR(MATCH(596,$B$4:$B$1003,0),"")</f>
        <v/>
      </c>
    </row>
    <row r="600">
      <c r="A600">
        <f>IF(AND(LEN('Vendor COIs'!A100)&gt;0,ISNUMBER('Vendor COIs'!H100)),'Vendor COIs'!H100+597/100000,"")</f>
        <v/>
      </c>
      <c r="B600">
        <f>IF(AND(LEN('Vendor COIs'!A100)&gt;0,ISNUMBER('Vendor COIs'!H100)),MAX($B$3:B599)+1,"")</f>
        <v/>
      </c>
      <c r="E600">
        <f>IFERROR(MATCH(597,$B$4:$B$1003,0),"")</f>
        <v/>
      </c>
    </row>
    <row r="601">
      <c r="A601">
        <f>IF(AND(LEN('Vendor COIs'!A101)&gt;0,ISNUMBER('Vendor COIs'!H101)),'Vendor COIs'!H101+598/100000,"")</f>
        <v/>
      </c>
      <c r="B601">
        <f>IF(AND(LEN('Vendor COIs'!A101)&gt;0,ISNUMBER('Vendor COIs'!H101)),MAX($B$3:B600)+1,"")</f>
        <v/>
      </c>
      <c r="E601">
        <f>IFERROR(MATCH(598,$B$4:$B$1003,0),"")</f>
        <v/>
      </c>
    </row>
    <row r="602">
      <c r="A602">
        <f>IF(AND(LEN('Vendor COIs'!A102)&gt;0,ISNUMBER('Vendor COIs'!H102)),'Vendor COIs'!H102+599/100000,"")</f>
        <v/>
      </c>
      <c r="B602">
        <f>IF(AND(LEN('Vendor COIs'!A102)&gt;0,ISNUMBER('Vendor COIs'!H102)),MAX($B$3:B601)+1,"")</f>
        <v/>
      </c>
      <c r="E602">
        <f>IFERROR(MATCH(599,$B$4:$B$1003,0),"")</f>
        <v/>
      </c>
    </row>
    <row r="603">
      <c r="A603">
        <f>IF(AND(LEN('Vendor COIs'!A103)&gt;0,ISNUMBER('Vendor COIs'!H103)),'Vendor COIs'!H103+600/100000,"")</f>
        <v/>
      </c>
      <c r="B603">
        <f>IF(AND(LEN('Vendor COIs'!A103)&gt;0,ISNUMBER('Vendor COIs'!H103)),MAX($B$3:B602)+1,"")</f>
        <v/>
      </c>
      <c r="E603">
        <f>IFERROR(MATCH(600,$B$4:$B$1003,0),"")</f>
        <v/>
      </c>
    </row>
    <row r="604">
      <c r="A604">
        <f>IF(AND(LEN('Vendor COIs'!A104)&gt;0,ISNUMBER('Vendor COIs'!H104)),'Vendor COIs'!H104+601/100000,"")</f>
        <v/>
      </c>
      <c r="B604">
        <f>IF(AND(LEN('Vendor COIs'!A104)&gt;0,ISNUMBER('Vendor COIs'!H104)),MAX($B$3:B603)+1,"")</f>
        <v/>
      </c>
      <c r="E604">
        <f>IFERROR(MATCH(601,$B$4:$B$1003,0),"")</f>
        <v/>
      </c>
    </row>
    <row r="605">
      <c r="A605">
        <f>IF(AND(LEN('Vendor COIs'!A105)&gt;0,ISNUMBER('Vendor COIs'!H105)),'Vendor COIs'!H105+602/100000,"")</f>
        <v/>
      </c>
      <c r="B605">
        <f>IF(AND(LEN('Vendor COIs'!A105)&gt;0,ISNUMBER('Vendor COIs'!H105)),MAX($B$3:B604)+1,"")</f>
        <v/>
      </c>
      <c r="E605">
        <f>IFERROR(MATCH(602,$B$4:$B$1003,0),"")</f>
        <v/>
      </c>
    </row>
    <row r="606">
      <c r="A606">
        <f>IF(AND(LEN('Vendor COIs'!A106)&gt;0,ISNUMBER('Vendor COIs'!H106)),'Vendor COIs'!H106+603/100000,"")</f>
        <v/>
      </c>
      <c r="B606">
        <f>IF(AND(LEN('Vendor COIs'!A106)&gt;0,ISNUMBER('Vendor COIs'!H106)),MAX($B$3:B605)+1,"")</f>
        <v/>
      </c>
      <c r="E606">
        <f>IFERROR(MATCH(603,$B$4:$B$1003,0),"")</f>
        <v/>
      </c>
    </row>
    <row r="607">
      <c r="A607">
        <f>IF(AND(LEN('Vendor COIs'!A107)&gt;0,ISNUMBER('Vendor COIs'!H107)),'Vendor COIs'!H107+604/100000,"")</f>
        <v/>
      </c>
      <c r="B607">
        <f>IF(AND(LEN('Vendor COIs'!A107)&gt;0,ISNUMBER('Vendor COIs'!H107)),MAX($B$3:B606)+1,"")</f>
        <v/>
      </c>
      <c r="E607">
        <f>IFERROR(MATCH(604,$B$4:$B$1003,0),"")</f>
        <v/>
      </c>
    </row>
    <row r="608">
      <c r="A608">
        <f>IF(AND(LEN('Vendor COIs'!A108)&gt;0,ISNUMBER('Vendor COIs'!H108)),'Vendor COIs'!H108+605/100000,"")</f>
        <v/>
      </c>
      <c r="B608">
        <f>IF(AND(LEN('Vendor COIs'!A108)&gt;0,ISNUMBER('Vendor COIs'!H108)),MAX($B$3:B607)+1,"")</f>
        <v/>
      </c>
      <c r="E608">
        <f>IFERROR(MATCH(605,$B$4:$B$1003,0),"")</f>
        <v/>
      </c>
    </row>
    <row r="609">
      <c r="A609">
        <f>IF(AND(LEN('Vendor COIs'!A109)&gt;0,ISNUMBER('Vendor COIs'!H109)),'Vendor COIs'!H109+606/100000,"")</f>
        <v/>
      </c>
      <c r="B609">
        <f>IF(AND(LEN('Vendor COIs'!A109)&gt;0,ISNUMBER('Vendor COIs'!H109)),MAX($B$3:B608)+1,"")</f>
        <v/>
      </c>
      <c r="E609">
        <f>IFERROR(MATCH(606,$B$4:$B$1003,0),"")</f>
        <v/>
      </c>
    </row>
    <row r="610">
      <c r="A610">
        <f>IF(AND(LEN('Vendor COIs'!A110)&gt;0,ISNUMBER('Vendor COIs'!H110)),'Vendor COIs'!H110+607/100000,"")</f>
        <v/>
      </c>
      <c r="B610">
        <f>IF(AND(LEN('Vendor COIs'!A110)&gt;0,ISNUMBER('Vendor COIs'!H110)),MAX($B$3:B609)+1,"")</f>
        <v/>
      </c>
      <c r="E610">
        <f>IFERROR(MATCH(607,$B$4:$B$1003,0),"")</f>
        <v/>
      </c>
    </row>
    <row r="611">
      <c r="A611">
        <f>IF(AND(LEN('Vendor COIs'!A111)&gt;0,ISNUMBER('Vendor COIs'!H111)),'Vendor COIs'!H111+608/100000,"")</f>
        <v/>
      </c>
      <c r="B611">
        <f>IF(AND(LEN('Vendor COIs'!A111)&gt;0,ISNUMBER('Vendor COIs'!H111)),MAX($B$3:B610)+1,"")</f>
        <v/>
      </c>
      <c r="E611">
        <f>IFERROR(MATCH(608,$B$4:$B$1003,0),"")</f>
        <v/>
      </c>
    </row>
    <row r="612">
      <c r="A612">
        <f>IF(AND(LEN('Vendor COIs'!A112)&gt;0,ISNUMBER('Vendor COIs'!H112)),'Vendor COIs'!H112+609/100000,"")</f>
        <v/>
      </c>
      <c r="B612">
        <f>IF(AND(LEN('Vendor COIs'!A112)&gt;0,ISNUMBER('Vendor COIs'!H112)),MAX($B$3:B611)+1,"")</f>
        <v/>
      </c>
      <c r="E612">
        <f>IFERROR(MATCH(609,$B$4:$B$1003,0),"")</f>
        <v/>
      </c>
    </row>
    <row r="613">
      <c r="A613">
        <f>IF(AND(LEN('Vendor COIs'!A113)&gt;0,ISNUMBER('Vendor COIs'!H113)),'Vendor COIs'!H113+610/100000,"")</f>
        <v/>
      </c>
      <c r="B613">
        <f>IF(AND(LEN('Vendor COIs'!A113)&gt;0,ISNUMBER('Vendor COIs'!H113)),MAX($B$3:B612)+1,"")</f>
        <v/>
      </c>
      <c r="E613">
        <f>IFERROR(MATCH(610,$B$4:$B$1003,0),"")</f>
        <v/>
      </c>
    </row>
    <row r="614">
      <c r="A614">
        <f>IF(AND(LEN('Vendor COIs'!A114)&gt;0,ISNUMBER('Vendor COIs'!H114)),'Vendor COIs'!H114+611/100000,"")</f>
        <v/>
      </c>
      <c r="B614">
        <f>IF(AND(LEN('Vendor COIs'!A114)&gt;0,ISNUMBER('Vendor COIs'!H114)),MAX($B$3:B613)+1,"")</f>
        <v/>
      </c>
      <c r="E614">
        <f>IFERROR(MATCH(611,$B$4:$B$1003,0),"")</f>
        <v/>
      </c>
    </row>
    <row r="615">
      <c r="A615">
        <f>IF(AND(LEN('Vendor COIs'!A115)&gt;0,ISNUMBER('Vendor COIs'!H115)),'Vendor COIs'!H115+612/100000,"")</f>
        <v/>
      </c>
      <c r="B615">
        <f>IF(AND(LEN('Vendor COIs'!A115)&gt;0,ISNUMBER('Vendor COIs'!H115)),MAX($B$3:B614)+1,"")</f>
        <v/>
      </c>
      <c r="E615">
        <f>IFERROR(MATCH(612,$B$4:$B$1003,0),"")</f>
        <v/>
      </c>
    </row>
    <row r="616">
      <c r="A616">
        <f>IF(AND(LEN('Vendor COIs'!A116)&gt;0,ISNUMBER('Vendor COIs'!H116)),'Vendor COIs'!H116+613/100000,"")</f>
        <v/>
      </c>
      <c r="B616">
        <f>IF(AND(LEN('Vendor COIs'!A116)&gt;0,ISNUMBER('Vendor COIs'!H116)),MAX($B$3:B615)+1,"")</f>
        <v/>
      </c>
      <c r="E616">
        <f>IFERROR(MATCH(613,$B$4:$B$1003,0),"")</f>
        <v/>
      </c>
    </row>
    <row r="617">
      <c r="A617">
        <f>IF(AND(LEN('Vendor COIs'!A117)&gt;0,ISNUMBER('Vendor COIs'!H117)),'Vendor COIs'!H117+614/100000,"")</f>
        <v/>
      </c>
      <c r="B617">
        <f>IF(AND(LEN('Vendor COIs'!A117)&gt;0,ISNUMBER('Vendor COIs'!H117)),MAX($B$3:B616)+1,"")</f>
        <v/>
      </c>
      <c r="E617">
        <f>IFERROR(MATCH(614,$B$4:$B$1003,0),"")</f>
        <v/>
      </c>
    </row>
    <row r="618">
      <c r="A618">
        <f>IF(AND(LEN('Vendor COIs'!A118)&gt;0,ISNUMBER('Vendor COIs'!H118)),'Vendor COIs'!H118+615/100000,"")</f>
        <v/>
      </c>
      <c r="B618">
        <f>IF(AND(LEN('Vendor COIs'!A118)&gt;0,ISNUMBER('Vendor COIs'!H118)),MAX($B$3:B617)+1,"")</f>
        <v/>
      </c>
      <c r="E618">
        <f>IFERROR(MATCH(615,$B$4:$B$1003,0),"")</f>
        <v/>
      </c>
    </row>
    <row r="619">
      <c r="A619">
        <f>IF(AND(LEN('Vendor COIs'!A119)&gt;0,ISNUMBER('Vendor COIs'!H119)),'Vendor COIs'!H119+616/100000,"")</f>
        <v/>
      </c>
      <c r="B619">
        <f>IF(AND(LEN('Vendor COIs'!A119)&gt;0,ISNUMBER('Vendor COIs'!H119)),MAX($B$3:B618)+1,"")</f>
        <v/>
      </c>
      <c r="E619">
        <f>IFERROR(MATCH(616,$B$4:$B$1003,0),"")</f>
        <v/>
      </c>
    </row>
    <row r="620">
      <c r="A620">
        <f>IF(AND(LEN('Vendor COIs'!A120)&gt;0,ISNUMBER('Vendor COIs'!H120)),'Vendor COIs'!H120+617/100000,"")</f>
        <v/>
      </c>
      <c r="B620">
        <f>IF(AND(LEN('Vendor COIs'!A120)&gt;0,ISNUMBER('Vendor COIs'!H120)),MAX($B$3:B619)+1,"")</f>
        <v/>
      </c>
      <c r="E620">
        <f>IFERROR(MATCH(617,$B$4:$B$1003,0),"")</f>
        <v/>
      </c>
    </row>
    <row r="621">
      <c r="A621">
        <f>IF(AND(LEN('Vendor COIs'!A121)&gt;0,ISNUMBER('Vendor COIs'!H121)),'Vendor COIs'!H121+618/100000,"")</f>
        <v/>
      </c>
      <c r="B621">
        <f>IF(AND(LEN('Vendor COIs'!A121)&gt;0,ISNUMBER('Vendor COIs'!H121)),MAX($B$3:B620)+1,"")</f>
        <v/>
      </c>
      <c r="E621">
        <f>IFERROR(MATCH(618,$B$4:$B$1003,0),"")</f>
        <v/>
      </c>
    </row>
    <row r="622">
      <c r="A622">
        <f>IF(AND(LEN('Vendor COIs'!A122)&gt;0,ISNUMBER('Vendor COIs'!H122)),'Vendor COIs'!H122+619/100000,"")</f>
        <v/>
      </c>
      <c r="B622">
        <f>IF(AND(LEN('Vendor COIs'!A122)&gt;0,ISNUMBER('Vendor COIs'!H122)),MAX($B$3:B621)+1,"")</f>
        <v/>
      </c>
      <c r="E622">
        <f>IFERROR(MATCH(619,$B$4:$B$1003,0),"")</f>
        <v/>
      </c>
    </row>
    <row r="623">
      <c r="A623">
        <f>IF(AND(LEN('Vendor COIs'!A123)&gt;0,ISNUMBER('Vendor COIs'!H123)),'Vendor COIs'!H123+620/100000,"")</f>
        <v/>
      </c>
      <c r="B623">
        <f>IF(AND(LEN('Vendor COIs'!A123)&gt;0,ISNUMBER('Vendor COIs'!H123)),MAX($B$3:B622)+1,"")</f>
        <v/>
      </c>
      <c r="E623">
        <f>IFERROR(MATCH(620,$B$4:$B$1003,0),"")</f>
        <v/>
      </c>
    </row>
    <row r="624">
      <c r="A624">
        <f>IF(AND(LEN('Vendor COIs'!A124)&gt;0,ISNUMBER('Vendor COIs'!H124)),'Vendor COIs'!H124+621/100000,"")</f>
        <v/>
      </c>
      <c r="B624">
        <f>IF(AND(LEN('Vendor COIs'!A124)&gt;0,ISNUMBER('Vendor COIs'!H124)),MAX($B$3:B623)+1,"")</f>
        <v/>
      </c>
      <c r="E624">
        <f>IFERROR(MATCH(621,$B$4:$B$1003,0),"")</f>
        <v/>
      </c>
    </row>
    <row r="625">
      <c r="A625">
        <f>IF(AND(LEN('Vendor COIs'!A125)&gt;0,ISNUMBER('Vendor COIs'!H125)),'Vendor COIs'!H125+622/100000,"")</f>
        <v/>
      </c>
      <c r="B625">
        <f>IF(AND(LEN('Vendor COIs'!A125)&gt;0,ISNUMBER('Vendor COIs'!H125)),MAX($B$3:B624)+1,"")</f>
        <v/>
      </c>
      <c r="E625">
        <f>IFERROR(MATCH(622,$B$4:$B$1003,0),"")</f>
        <v/>
      </c>
    </row>
    <row r="626">
      <c r="A626">
        <f>IF(AND(LEN('Vendor COIs'!A126)&gt;0,ISNUMBER('Vendor COIs'!H126)),'Vendor COIs'!H126+623/100000,"")</f>
        <v/>
      </c>
      <c r="B626">
        <f>IF(AND(LEN('Vendor COIs'!A126)&gt;0,ISNUMBER('Vendor COIs'!H126)),MAX($B$3:B625)+1,"")</f>
        <v/>
      </c>
      <c r="E626">
        <f>IFERROR(MATCH(623,$B$4:$B$1003,0),"")</f>
        <v/>
      </c>
    </row>
    <row r="627">
      <c r="A627">
        <f>IF(AND(LEN('Vendor COIs'!A127)&gt;0,ISNUMBER('Vendor COIs'!H127)),'Vendor COIs'!H127+624/100000,"")</f>
        <v/>
      </c>
      <c r="B627">
        <f>IF(AND(LEN('Vendor COIs'!A127)&gt;0,ISNUMBER('Vendor COIs'!H127)),MAX($B$3:B626)+1,"")</f>
        <v/>
      </c>
      <c r="E627">
        <f>IFERROR(MATCH(624,$B$4:$B$1003,0),"")</f>
        <v/>
      </c>
    </row>
    <row r="628">
      <c r="A628">
        <f>IF(AND(LEN('Vendor COIs'!A128)&gt;0,ISNUMBER('Vendor COIs'!H128)),'Vendor COIs'!H128+625/100000,"")</f>
        <v/>
      </c>
      <c r="B628">
        <f>IF(AND(LEN('Vendor COIs'!A128)&gt;0,ISNUMBER('Vendor COIs'!H128)),MAX($B$3:B627)+1,"")</f>
        <v/>
      </c>
      <c r="E628">
        <f>IFERROR(MATCH(625,$B$4:$B$1003,0),"")</f>
        <v/>
      </c>
    </row>
    <row r="629">
      <c r="A629">
        <f>IF(AND(LEN('Vendor COIs'!A129)&gt;0,ISNUMBER('Vendor COIs'!H129)),'Vendor COIs'!H129+626/100000,"")</f>
        <v/>
      </c>
      <c r="B629">
        <f>IF(AND(LEN('Vendor COIs'!A129)&gt;0,ISNUMBER('Vendor COIs'!H129)),MAX($B$3:B628)+1,"")</f>
        <v/>
      </c>
      <c r="E629">
        <f>IFERROR(MATCH(626,$B$4:$B$1003,0),"")</f>
        <v/>
      </c>
    </row>
    <row r="630">
      <c r="A630">
        <f>IF(AND(LEN('Vendor COIs'!A130)&gt;0,ISNUMBER('Vendor COIs'!H130)),'Vendor COIs'!H130+627/100000,"")</f>
        <v/>
      </c>
      <c r="B630">
        <f>IF(AND(LEN('Vendor COIs'!A130)&gt;0,ISNUMBER('Vendor COIs'!H130)),MAX($B$3:B629)+1,"")</f>
        <v/>
      </c>
      <c r="E630">
        <f>IFERROR(MATCH(627,$B$4:$B$1003,0),"")</f>
        <v/>
      </c>
    </row>
    <row r="631">
      <c r="A631">
        <f>IF(AND(LEN('Vendor COIs'!A131)&gt;0,ISNUMBER('Vendor COIs'!H131)),'Vendor COIs'!H131+628/100000,"")</f>
        <v/>
      </c>
      <c r="B631">
        <f>IF(AND(LEN('Vendor COIs'!A131)&gt;0,ISNUMBER('Vendor COIs'!H131)),MAX($B$3:B630)+1,"")</f>
        <v/>
      </c>
      <c r="E631">
        <f>IFERROR(MATCH(628,$B$4:$B$1003,0),"")</f>
        <v/>
      </c>
    </row>
    <row r="632">
      <c r="A632">
        <f>IF(AND(LEN('Vendor COIs'!A132)&gt;0,ISNUMBER('Vendor COIs'!H132)),'Vendor COIs'!H132+629/100000,"")</f>
        <v/>
      </c>
      <c r="B632">
        <f>IF(AND(LEN('Vendor COIs'!A132)&gt;0,ISNUMBER('Vendor COIs'!H132)),MAX($B$3:B631)+1,"")</f>
        <v/>
      </c>
      <c r="E632">
        <f>IFERROR(MATCH(629,$B$4:$B$1003,0),"")</f>
        <v/>
      </c>
    </row>
    <row r="633">
      <c r="A633">
        <f>IF(AND(LEN('Vendor COIs'!A133)&gt;0,ISNUMBER('Vendor COIs'!H133)),'Vendor COIs'!H133+630/100000,"")</f>
        <v/>
      </c>
      <c r="B633">
        <f>IF(AND(LEN('Vendor COIs'!A133)&gt;0,ISNUMBER('Vendor COIs'!H133)),MAX($B$3:B632)+1,"")</f>
        <v/>
      </c>
      <c r="E633">
        <f>IFERROR(MATCH(630,$B$4:$B$1003,0),"")</f>
        <v/>
      </c>
    </row>
    <row r="634">
      <c r="A634">
        <f>IF(AND(LEN('Vendor COIs'!A134)&gt;0,ISNUMBER('Vendor COIs'!H134)),'Vendor COIs'!H134+631/100000,"")</f>
        <v/>
      </c>
      <c r="B634">
        <f>IF(AND(LEN('Vendor COIs'!A134)&gt;0,ISNUMBER('Vendor COIs'!H134)),MAX($B$3:B633)+1,"")</f>
        <v/>
      </c>
      <c r="E634">
        <f>IFERROR(MATCH(631,$B$4:$B$1003,0),"")</f>
        <v/>
      </c>
    </row>
    <row r="635">
      <c r="A635">
        <f>IF(AND(LEN('Vendor COIs'!A135)&gt;0,ISNUMBER('Vendor COIs'!H135)),'Vendor COIs'!H135+632/100000,"")</f>
        <v/>
      </c>
      <c r="B635">
        <f>IF(AND(LEN('Vendor COIs'!A135)&gt;0,ISNUMBER('Vendor COIs'!H135)),MAX($B$3:B634)+1,"")</f>
        <v/>
      </c>
      <c r="E635">
        <f>IFERROR(MATCH(632,$B$4:$B$1003,0),"")</f>
        <v/>
      </c>
    </row>
    <row r="636">
      <c r="A636">
        <f>IF(AND(LEN('Vendor COIs'!A136)&gt;0,ISNUMBER('Vendor COIs'!H136)),'Vendor COIs'!H136+633/100000,"")</f>
        <v/>
      </c>
      <c r="B636">
        <f>IF(AND(LEN('Vendor COIs'!A136)&gt;0,ISNUMBER('Vendor COIs'!H136)),MAX($B$3:B635)+1,"")</f>
        <v/>
      </c>
      <c r="E636">
        <f>IFERROR(MATCH(633,$B$4:$B$1003,0),"")</f>
        <v/>
      </c>
    </row>
    <row r="637">
      <c r="A637">
        <f>IF(AND(LEN('Vendor COIs'!A137)&gt;0,ISNUMBER('Vendor COIs'!H137)),'Vendor COIs'!H137+634/100000,"")</f>
        <v/>
      </c>
      <c r="B637">
        <f>IF(AND(LEN('Vendor COIs'!A137)&gt;0,ISNUMBER('Vendor COIs'!H137)),MAX($B$3:B636)+1,"")</f>
        <v/>
      </c>
      <c r="E637">
        <f>IFERROR(MATCH(634,$B$4:$B$1003,0),"")</f>
        <v/>
      </c>
    </row>
    <row r="638">
      <c r="A638">
        <f>IF(AND(LEN('Vendor COIs'!A138)&gt;0,ISNUMBER('Vendor COIs'!H138)),'Vendor COIs'!H138+635/100000,"")</f>
        <v/>
      </c>
      <c r="B638">
        <f>IF(AND(LEN('Vendor COIs'!A138)&gt;0,ISNUMBER('Vendor COIs'!H138)),MAX($B$3:B637)+1,"")</f>
        <v/>
      </c>
      <c r="E638">
        <f>IFERROR(MATCH(635,$B$4:$B$1003,0),"")</f>
        <v/>
      </c>
    </row>
    <row r="639">
      <c r="A639">
        <f>IF(AND(LEN('Vendor COIs'!A139)&gt;0,ISNUMBER('Vendor COIs'!H139)),'Vendor COIs'!H139+636/100000,"")</f>
        <v/>
      </c>
      <c r="B639">
        <f>IF(AND(LEN('Vendor COIs'!A139)&gt;0,ISNUMBER('Vendor COIs'!H139)),MAX($B$3:B638)+1,"")</f>
        <v/>
      </c>
      <c r="E639">
        <f>IFERROR(MATCH(636,$B$4:$B$1003,0),"")</f>
        <v/>
      </c>
    </row>
    <row r="640">
      <c r="A640">
        <f>IF(AND(LEN('Vendor COIs'!A140)&gt;0,ISNUMBER('Vendor COIs'!H140)),'Vendor COIs'!H140+637/100000,"")</f>
        <v/>
      </c>
      <c r="B640">
        <f>IF(AND(LEN('Vendor COIs'!A140)&gt;0,ISNUMBER('Vendor COIs'!H140)),MAX($B$3:B639)+1,"")</f>
        <v/>
      </c>
      <c r="E640">
        <f>IFERROR(MATCH(637,$B$4:$B$1003,0),"")</f>
        <v/>
      </c>
    </row>
    <row r="641">
      <c r="A641">
        <f>IF(AND(LEN('Vendor COIs'!A141)&gt;0,ISNUMBER('Vendor COIs'!H141)),'Vendor COIs'!H141+638/100000,"")</f>
        <v/>
      </c>
      <c r="B641">
        <f>IF(AND(LEN('Vendor COIs'!A141)&gt;0,ISNUMBER('Vendor COIs'!H141)),MAX($B$3:B640)+1,"")</f>
        <v/>
      </c>
      <c r="E641">
        <f>IFERROR(MATCH(638,$B$4:$B$1003,0),"")</f>
        <v/>
      </c>
    </row>
    <row r="642">
      <c r="A642">
        <f>IF(AND(LEN('Vendor COIs'!A142)&gt;0,ISNUMBER('Vendor COIs'!H142)),'Vendor COIs'!H142+639/100000,"")</f>
        <v/>
      </c>
      <c r="B642">
        <f>IF(AND(LEN('Vendor COIs'!A142)&gt;0,ISNUMBER('Vendor COIs'!H142)),MAX($B$3:B641)+1,"")</f>
        <v/>
      </c>
      <c r="E642">
        <f>IFERROR(MATCH(639,$B$4:$B$1003,0),"")</f>
        <v/>
      </c>
    </row>
    <row r="643">
      <c r="A643">
        <f>IF(AND(LEN('Vendor COIs'!A143)&gt;0,ISNUMBER('Vendor COIs'!H143)),'Vendor COIs'!H143+640/100000,"")</f>
        <v/>
      </c>
      <c r="B643">
        <f>IF(AND(LEN('Vendor COIs'!A143)&gt;0,ISNUMBER('Vendor COIs'!H143)),MAX($B$3:B642)+1,"")</f>
        <v/>
      </c>
      <c r="E643">
        <f>IFERROR(MATCH(640,$B$4:$B$1003,0),"")</f>
        <v/>
      </c>
    </row>
    <row r="644">
      <c r="A644">
        <f>IF(AND(LEN('Vendor COIs'!A144)&gt;0,ISNUMBER('Vendor COIs'!H144)),'Vendor COIs'!H144+641/100000,"")</f>
        <v/>
      </c>
      <c r="B644">
        <f>IF(AND(LEN('Vendor COIs'!A144)&gt;0,ISNUMBER('Vendor COIs'!H144)),MAX($B$3:B643)+1,"")</f>
        <v/>
      </c>
      <c r="E644">
        <f>IFERROR(MATCH(641,$B$4:$B$1003,0),"")</f>
        <v/>
      </c>
    </row>
    <row r="645">
      <c r="A645">
        <f>IF(AND(LEN('Vendor COIs'!A145)&gt;0,ISNUMBER('Vendor COIs'!H145)),'Vendor COIs'!H145+642/100000,"")</f>
        <v/>
      </c>
      <c r="B645">
        <f>IF(AND(LEN('Vendor COIs'!A145)&gt;0,ISNUMBER('Vendor COIs'!H145)),MAX($B$3:B644)+1,"")</f>
        <v/>
      </c>
      <c r="E645">
        <f>IFERROR(MATCH(642,$B$4:$B$1003,0),"")</f>
        <v/>
      </c>
    </row>
    <row r="646">
      <c r="A646">
        <f>IF(AND(LEN('Vendor COIs'!A146)&gt;0,ISNUMBER('Vendor COIs'!H146)),'Vendor COIs'!H146+643/100000,"")</f>
        <v/>
      </c>
      <c r="B646">
        <f>IF(AND(LEN('Vendor COIs'!A146)&gt;0,ISNUMBER('Vendor COIs'!H146)),MAX($B$3:B645)+1,"")</f>
        <v/>
      </c>
      <c r="E646">
        <f>IFERROR(MATCH(643,$B$4:$B$1003,0),"")</f>
        <v/>
      </c>
    </row>
    <row r="647">
      <c r="A647">
        <f>IF(AND(LEN('Vendor COIs'!A147)&gt;0,ISNUMBER('Vendor COIs'!H147)),'Vendor COIs'!H147+644/100000,"")</f>
        <v/>
      </c>
      <c r="B647">
        <f>IF(AND(LEN('Vendor COIs'!A147)&gt;0,ISNUMBER('Vendor COIs'!H147)),MAX($B$3:B646)+1,"")</f>
        <v/>
      </c>
      <c r="E647">
        <f>IFERROR(MATCH(644,$B$4:$B$1003,0),"")</f>
        <v/>
      </c>
    </row>
    <row r="648">
      <c r="A648">
        <f>IF(AND(LEN('Vendor COIs'!A148)&gt;0,ISNUMBER('Vendor COIs'!H148)),'Vendor COIs'!H148+645/100000,"")</f>
        <v/>
      </c>
      <c r="B648">
        <f>IF(AND(LEN('Vendor COIs'!A148)&gt;0,ISNUMBER('Vendor COIs'!H148)),MAX($B$3:B647)+1,"")</f>
        <v/>
      </c>
      <c r="E648">
        <f>IFERROR(MATCH(645,$B$4:$B$1003,0),"")</f>
        <v/>
      </c>
    </row>
    <row r="649">
      <c r="A649">
        <f>IF(AND(LEN('Vendor COIs'!A149)&gt;0,ISNUMBER('Vendor COIs'!H149)),'Vendor COIs'!H149+646/100000,"")</f>
        <v/>
      </c>
      <c r="B649">
        <f>IF(AND(LEN('Vendor COIs'!A149)&gt;0,ISNUMBER('Vendor COIs'!H149)),MAX($B$3:B648)+1,"")</f>
        <v/>
      </c>
      <c r="E649">
        <f>IFERROR(MATCH(646,$B$4:$B$1003,0),"")</f>
        <v/>
      </c>
    </row>
    <row r="650">
      <c r="A650">
        <f>IF(AND(LEN('Vendor COIs'!A150)&gt;0,ISNUMBER('Vendor COIs'!H150)),'Vendor COIs'!H150+647/100000,"")</f>
        <v/>
      </c>
      <c r="B650">
        <f>IF(AND(LEN('Vendor COIs'!A150)&gt;0,ISNUMBER('Vendor COIs'!H150)),MAX($B$3:B649)+1,"")</f>
        <v/>
      </c>
      <c r="E650">
        <f>IFERROR(MATCH(647,$B$4:$B$1003,0),"")</f>
        <v/>
      </c>
    </row>
    <row r="651">
      <c r="A651">
        <f>IF(AND(LEN('Vendor COIs'!A151)&gt;0,ISNUMBER('Vendor COIs'!H151)),'Vendor COIs'!H151+648/100000,"")</f>
        <v/>
      </c>
      <c r="B651">
        <f>IF(AND(LEN('Vendor COIs'!A151)&gt;0,ISNUMBER('Vendor COIs'!H151)),MAX($B$3:B650)+1,"")</f>
        <v/>
      </c>
      <c r="E651">
        <f>IFERROR(MATCH(648,$B$4:$B$1003,0),"")</f>
        <v/>
      </c>
    </row>
    <row r="652">
      <c r="A652">
        <f>IF(AND(LEN('Vendor COIs'!A152)&gt;0,ISNUMBER('Vendor COIs'!H152)),'Vendor COIs'!H152+649/100000,"")</f>
        <v/>
      </c>
      <c r="B652">
        <f>IF(AND(LEN('Vendor COIs'!A152)&gt;0,ISNUMBER('Vendor COIs'!H152)),MAX($B$3:B651)+1,"")</f>
        <v/>
      </c>
      <c r="E652">
        <f>IFERROR(MATCH(649,$B$4:$B$1003,0),"")</f>
        <v/>
      </c>
    </row>
    <row r="653">
      <c r="A653">
        <f>IF(AND(LEN('Vendor COIs'!A153)&gt;0,ISNUMBER('Vendor COIs'!H153)),'Vendor COIs'!H153+650/100000,"")</f>
        <v/>
      </c>
      <c r="B653">
        <f>IF(AND(LEN('Vendor COIs'!A153)&gt;0,ISNUMBER('Vendor COIs'!H153)),MAX($B$3:B652)+1,"")</f>
        <v/>
      </c>
      <c r="E653">
        <f>IFERROR(MATCH(650,$B$4:$B$1003,0),"")</f>
        <v/>
      </c>
    </row>
    <row r="654">
      <c r="A654">
        <f>IF(AND(LEN('Vendor COIs'!A154)&gt;0,ISNUMBER('Vendor COIs'!H154)),'Vendor COIs'!H154+651/100000,"")</f>
        <v/>
      </c>
      <c r="B654">
        <f>IF(AND(LEN('Vendor COIs'!A154)&gt;0,ISNUMBER('Vendor COIs'!H154)),MAX($B$3:B653)+1,"")</f>
        <v/>
      </c>
      <c r="E654">
        <f>IFERROR(MATCH(651,$B$4:$B$1003,0),"")</f>
        <v/>
      </c>
    </row>
    <row r="655">
      <c r="A655">
        <f>IF(AND(LEN('Vendor COIs'!A155)&gt;0,ISNUMBER('Vendor COIs'!H155)),'Vendor COIs'!H155+652/100000,"")</f>
        <v/>
      </c>
      <c r="B655">
        <f>IF(AND(LEN('Vendor COIs'!A155)&gt;0,ISNUMBER('Vendor COIs'!H155)),MAX($B$3:B654)+1,"")</f>
        <v/>
      </c>
      <c r="E655">
        <f>IFERROR(MATCH(652,$B$4:$B$1003,0),"")</f>
        <v/>
      </c>
    </row>
    <row r="656">
      <c r="A656">
        <f>IF(AND(LEN('Vendor COIs'!A156)&gt;0,ISNUMBER('Vendor COIs'!H156)),'Vendor COIs'!H156+653/100000,"")</f>
        <v/>
      </c>
      <c r="B656">
        <f>IF(AND(LEN('Vendor COIs'!A156)&gt;0,ISNUMBER('Vendor COIs'!H156)),MAX($B$3:B655)+1,"")</f>
        <v/>
      </c>
      <c r="E656">
        <f>IFERROR(MATCH(653,$B$4:$B$1003,0),"")</f>
        <v/>
      </c>
    </row>
    <row r="657">
      <c r="A657">
        <f>IF(AND(LEN('Vendor COIs'!A157)&gt;0,ISNUMBER('Vendor COIs'!H157)),'Vendor COIs'!H157+654/100000,"")</f>
        <v/>
      </c>
      <c r="B657">
        <f>IF(AND(LEN('Vendor COIs'!A157)&gt;0,ISNUMBER('Vendor COIs'!H157)),MAX($B$3:B656)+1,"")</f>
        <v/>
      </c>
      <c r="E657">
        <f>IFERROR(MATCH(654,$B$4:$B$1003,0),"")</f>
        <v/>
      </c>
    </row>
    <row r="658">
      <c r="A658">
        <f>IF(AND(LEN('Vendor COIs'!A158)&gt;0,ISNUMBER('Vendor COIs'!H158)),'Vendor COIs'!H158+655/100000,"")</f>
        <v/>
      </c>
      <c r="B658">
        <f>IF(AND(LEN('Vendor COIs'!A158)&gt;0,ISNUMBER('Vendor COIs'!H158)),MAX($B$3:B657)+1,"")</f>
        <v/>
      </c>
      <c r="E658">
        <f>IFERROR(MATCH(655,$B$4:$B$1003,0),"")</f>
        <v/>
      </c>
    </row>
    <row r="659">
      <c r="A659">
        <f>IF(AND(LEN('Vendor COIs'!A159)&gt;0,ISNUMBER('Vendor COIs'!H159)),'Vendor COIs'!H159+656/100000,"")</f>
        <v/>
      </c>
      <c r="B659">
        <f>IF(AND(LEN('Vendor COIs'!A159)&gt;0,ISNUMBER('Vendor COIs'!H159)),MAX($B$3:B658)+1,"")</f>
        <v/>
      </c>
      <c r="E659">
        <f>IFERROR(MATCH(656,$B$4:$B$1003,0),"")</f>
        <v/>
      </c>
    </row>
    <row r="660">
      <c r="A660">
        <f>IF(AND(LEN('Vendor COIs'!A160)&gt;0,ISNUMBER('Vendor COIs'!H160)),'Vendor COIs'!H160+657/100000,"")</f>
        <v/>
      </c>
      <c r="B660">
        <f>IF(AND(LEN('Vendor COIs'!A160)&gt;0,ISNUMBER('Vendor COIs'!H160)),MAX($B$3:B659)+1,"")</f>
        <v/>
      </c>
      <c r="E660">
        <f>IFERROR(MATCH(657,$B$4:$B$1003,0),"")</f>
        <v/>
      </c>
    </row>
    <row r="661">
      <c r="A661">
        <f>IF(AND(LEN('Vendor COIs'!A161)&gt;0,ISNUMBER('Vendor COIs'!H161)),'Vendor COIs'!H161+658/100000,"")</f>
        <v/>
      </c>
      <c r="B661">
        <f>IF(AND(LEN('Vendor COIs'!A161)&gt;0,ISNUMBER('Vendor COIs'!H161)),MAX($B$3:B660)+1,"")</f>
        <v/>
      </c>
      <c r="E661">
        <f>IFERROR(MATCH(658,$B$4:$B$1003,0),"")</f>
        <v/>
      </c>
    </row>
    <row r="662">
      <c r="A662">
        <f>IF(AND(LEN('Vendor COIs'!A162)&gt;0,ISNUMBER('Vendor COIs'!H162)),'Vendor COIs'!H162+659/100000,"")</f>
        <v/>
      </c>
      <c r="B662">
        <f>IF(AND(LEN('Vendor COIs'!A162)&gt;0,ISNUMBER('Vendor COIs'!H162)),MAX($B$3:B661)+1,"")</f>
        <v/>
      </c>
      <c r="E662">
        <f>IFERROR(MATCH(659,$B$4:$B$1003,0),"")</f>
        <v/>
      </c>
    </row>
    <row r="663">
      <c r="A663">
        <f>IF(AND(LEN('Vendor COIs'!A163)&gt;0,ISNUMBER('Vendor COIs'!H163)),'Vendor COIs'!H163+660/100000,"")</f>
        <v/>
      </c>
      <c r="B663">
        <f>IF(AND(LEN('Vendor COIs'!A163)&gt;0,ISNUMBER('Vendor COIs'!H163)),MAX($B$3:B662)+1,"")</f>
        <v/>
      </c>
      <c r="E663">
        <f>IFERROR(MATCH(660,$B$4:$B$1003,0),"")</f>
        <v/>
      </c>
    </row>
    <row r="664">
      <c r="A664">
        <f>IF(AND(LEN('Vendor COIs'!A164)&gt;0,ISNUMBER('Vendor COIs'!H164)),'Vendor COIs'!H164+661/100000,"")</f>
        <v/>
      </c>
      <c r="B664">
        <f>IF(AND(LEN('Vendor COIs'!A164)&gt;0,ISNUMBER('Vendor COIs'!H164)),MAX($B$3:B663)+1,"")</f>
        <v/>
      </c>
      <c r="E664">
        <f>IFERROR(MATCH(661,$B$4:$B$1003,0),"")</f>
        <v/>
      </c>
    </row>
    <row r="665">
      <c r="A665">
        <f>IF(AND(LEN('Vendor COIs'!A165)&gt;0,ISNUMBER('Vendor COIs'!H165)),'Vendor COIs'!H165+662/100000,"")</f>
        <v/>
      </c>
      <c r="B665">
        <f>IF(AND(LEN('Vendor COIs'!A165)&gt;0,ISNUMBER('Vendor COIs'!H165)),MAX($B$3:B664)+1,"")</f>
        <v/>
      </c>
      <c r="E665">
        <f>IFERROR(MATCH(662,$B$4:$B$1003,0),"")</f>
        <v/>
      </c>
    </row>
    <row r="666">
      <c r="A666">
        <f>IF(AND(LEN('Vendor COIs'!A166)&gt;0,ISNUMBER('Vendor COIs'!H166)),'Vendor COIs'!H166+663/100000,"")</f>
        <v/>
      </c>
      <c r="B666">
        <f>IF(AND(LEN('Vendor COIs'!A166)&gt;0,ISNUMBER('Vendor COIs'!H166)),MAX($B$3:B665)+1,"")</f>
        <v/>
      </c>
      <c r="E666">
        <f>IFERROR(MATCH(663,$B$4:$B$1003,0),"")</f>
        <v/>
      </c>
    </row>
    <row r="667">
      <c r="A667">
        <f>IF(AND(LEN('Vendor COIs'!A167)&gt;0,ISNUMBER('Vendor COIs'!H167)),'Vendor COIs'!H167+664/100000,"")</f>
        <v/>
      </c>
      <c r="B667">
        <f>IF(AND(LEN('Vendor COIs'!A167)&gt;0,ISNUMBER('Vendor COIs'!H167)),MAX($B$3:B666)+1,"")</f>
        <v/>
      </c>
      <c r="E667">
        <f>IFERROR(MATCH(664,$B$4:$B$1003,0),"")</f>
        <v/>
      </c>
    </row>
    <row r="668">
      <c r="A668">
        <f>IF(AND(LEN('Vendor COIs'!A168)&gt;0,ISNUMBER('Vendor COIs'!H168)),'Vendor COIs'!H168+665/100000,"")</f>
        <v/>
      </c>
      <c r="B668">
        <f>IF(AND(LEN('Vendor COIs'!A168)&gt;0,ISNUMBER('Vendor COIs'!H168)),MAX($B$3:B667)+1,"")</f>
        <v/>
      </c>
      <c r="E668">
        <f>IFERROR(MATCH(665,$B$4:$B$1003,0),"")</f>
        <v/>
      </c>
    </row>
    <row r="669">
      <c r="A669">
        <f>IF(AND(LEN('Vendor COIs'!A169)&gt;0,ISNUMBER('Vendor COIs'!H169)),'Vendor COIs'!H169+666/100000,"")</f>
        <v/>
      </c>
      <c r="B669">
        <f>IF(AND(LEN('Vendor COIs'!A169)&gt;0,ISNUMBER('Vendor COIs'!H169)),MAX($B$3:B668)+1,"")</f>
        <v/>
      </c>
      <c r="E669">
        <f>IFERROR(MATCH(666,$B$4:$B$1003,0),"")</f>
        <v/>
      </c>
    </row>
    <row r="670">
      <c r="A670">
        <f>IF(AND(LEN('Vendor COIs'!A170)&gt;0,ISNUMBER('Vendor COIs'!H170)),'Vendor COIs'!H170+667/100000,"")</f>
        <v/>
      </c>
      <c r="B670">
        <f>IF(AND(LEN('Vendor COIs'!A170)&gt;0,ISNUMBER('Vendor COIs'!H170)),MAX($B$3:B669)+1,"")</f>
        <v/>
      </c>
      <c r="E670">
        <f>IFERROR(MATCH(667,$B$4:$B$1003,0),"")</f>
        <v/>
      </c>
    </row>
    <row r="671">
      <c r="A671">
        <f>IF(AND(LEN('Vendor COIs'!A171)&gt;0,ISNUMBER('Vendor COIs'!H171)),'Vendor COIs'!H171+668/100000,"")</f>
        <v/>
      </c>
      <c r="B671">
        <f>IF(AND(LEN('Vendor COIs'!A171)&gt;0,ISNUMBER('Vendor COIs'!H171)),MAX($B$3:B670)+1,"")</f>
        <v/>
      </c>
      <c r="E671">
        <f>IFERROR(MATCH(668,$B$4:$B$1003,0),"")</f>
        <v/>
      </c>
    </row>
    <row r="672">
      <c r="A672">
        <f>IF(AND(LEN('Vendor COIs'!A172)&gt;0,ISNUMBER('Vendor COIs'!H172)),'Vendor COIs'!H172+669/100000,"")</f>
        <v/>
      </c>
      <c r="B672">
        <f>IF(AND(LEN('Vendor COIs'!A172)&gt;0,ISNUMBER('Vendor COIs'!H172)),MAX($B$3:B671)+1,"")</f>
        <v/>
      </c>
      <c r="E672">
        <f>IFERROR(MATCH(669,$B$4:$B$1003,0),"")</f>
        <v/>
      </c>
    </row>
    <row r="673">
      <c r="A673">
        <f>IF(AND(LEN('Vendor COIs'!A173)&gt;0,ISNUMBER('Vendor COIs'!H173)),'Vendor COIs'!H173+670/100000,"")</f>
        <v/>
      </c>
      <c r="B673">
        <f>IF(AND(LEN('Vendor COIs'!A173)&gt;0,ISNUMBER('Vendor COIs'!H173)),MAX($B$3:B672)+1,"")</f>
        <v/>
      </c>
      <c r="E673">
        <f>IFERROR(MATCH(670,$B$4:$B$1003,0),"")</f>
        <v/>
      </c>
    </row>
    <row r="674">
      <c r="A674">
        <f>IF(AND(LEN('Vendor COIs'!A174)&gt;0,ISNUMBER('Vendor COIs'!H174)),'Vendor COIs'!H174+671/100000,"")</f>
        <v/>
      </c>
      <c r="B674">
        <f>IF(AND(LEN('Vendor COIs'!A174)&gt;0,ISNUMBER('Vendor COIs'!H174)),MAX($B$3:B673)+1,"")</f>
        <v/>
      </c>
      <c r="E674">
        <f>IFERROR(MATCH(671,$B$4:$B$1003,0),"")</f>
        <v/>
      </c>
    </row>
    <row r="675">
      <c r="A675">
        <f>IF(AND(LEN('Vendor COIs'!A175)&gt;0,ISNUMBER('Vendor COIs'!H175)),'Vendor COIs'!H175+672/100000,"")</f>
        <v/>
      </c>
      <c r="B675">
        <f>IF(AND(LEN('Vendor COIs'!A175)&gt;0,ISNUMBER('Vendor COIs'!H175)),MAX($B$3:B674)+1,"")</f>
        <v/>
      </c>
      <c r="E675">
        <f>IFERROR(MATCH(672,$B$4:$B$1003,0),"")</f>
        <v/>
      </c>
    </row>
    <row r="676">
      <c r="A676">
        <f>IF(AND(LEN('Vendor COIs'!A176)&gt;0,ISNUMBER('Vendor COIs'!H176)),'Vendor COIs'!H176+673/100000,"")</f>
        <v/>
      </c>
      <c r="B676">
        <f>IF(AND(LEN('Vendor COIs'!A176)&gt;0,ISNUMBER('Vendor COIs'!H176)),MAX($B$3:B675)+1,"")</f>
        <v/>
      </c>
      <c r="E676">
        <f>IFERROR(MATCH(673,$B$4:$B$1003,0),"")</f>
        <v/>
      </c>
    </row>
    <row r="677">
      <c r="A677">
        <f>IF(AND(LEN('Vendor COIs'!A177)&gt;0,ISNUMBER('Vendor COIs'!H177)),'Vendor COIs'!H177+674/100000,"")</f>
        <v/>
      </c>
      <c r="B677">
        <f>IF(AND(LEN('Vendor COIs'!A177)&gt;0,ISNUMBER('Vendor COIs'!H177)),MAX($B$3:B676)+1,"")</f>
        <v/>
      </c>
      <c r="E677">
        <f>IFERROR(MATCH(674,$B$4:$B$1003,0),"")</f>
        <v/>
      </c>
    </row>
    <row r="678">
      <c r="A678">
        <f>IF(AND(LEN('Vendor COIs'!A178)&gt;0,ISNUMBER('Vendor COIs'!H178)),'Vendor COIs'!H178+675/100000,"")</f>
        <v/>
      </c>
      <c r="B678">
        <f>IF(AND(LEN('Vendor COIs'!A178)&gt;0,ISNUMBER('Vendor COIs'!H178)),MAX($B$3:B677)+1,"")</f>
        <v/>
      </c>
      <c r="E678">
        <f>IFERROR(MATCH(675,$B$4:$B$1003,0),"")</f>
        <v/>
      </c>
    </row>
    <row r="679">
      <c r="A679">
        <f>IF(AND(LEN('Vendor COIs'!A179)&gt;0,ISNUMBER('Vendor COIs'!H179)),'Vendor COIs'!H179+676/100000,"")</f>
        <v/>
      </c>
      <c r="B679">
        <f>IF(AND(LEN('Vendor COIs'!A179)&gt;0,ISNUMBER('Vendor COIs'!H179)),MAX($B$3:B678)+1,"")</f>
        <v/>
      </c>
      <c r="E679">
        <f>IFERROR(MATCH(676,$B$4:$B$1003,0),"")</f>
        <v/>
      </c>
    </row>
    <row r="680">
      <c r="A680">
        <f>IF(AND(LEN('Vendor COIs'!A180)&gt;0,ISNUMBER('Vendor COIs'!H180)),'Vendor COIs'!H180+677/100000,"")</f>
        <v/>
      </c>
      <c r="B680">
        <f>IF(AND(LEN('Vendor COIs'!A180)&gt;0,ISNUMBER('Vendor COIs'!H180)),MAX($B$3:B679)+1,"")</f>
        <v/>
      </c>
      <c r="E680">
        <f>IFERROR(MATCH(677,$B$4:$B$1003,0),"")</f>
        <v/>
      </c>
    </row>
    <row r="681">
      <c r="A681">
        <f>IF(AND(LEN('Vendor COIs'!A181)&gt;0,ISNUMBER('Vendor COIs'!H181)),'Vendor COIs'!H181+678/100000,"")</f>
        <v/>
      </c>
      <c r="B681">
        <f>IF(AND(LEN('Vendor COIs'!A181)&gt;0,ISNUMBER('Vendor COIs'!H181)),MAX($B$3:B680)+1,"")</f>
        <v/>
      </c>
      <c r="E681">
        <f>IFERROR(MATCH(678,$B$4:$B$1003,0),"")</f>
        <v/>
      </c>
    </row>
    <row r="682">
      <c r="A682">
        <f>IF(AND(LEN('Vendor COIs'!A182)&gt;0,ISNUMBER('Vendor COIs'!H182)),'Vendor COIs'!H182+679/100000,"")</f>
        <v/>
      </c>
      <c r="B682">
        <f>IF(AND(LEN('Vendor COIs'!A182)&gt;0,ISNUMBER('Vendor COIs'!H182)),MAX($B$3:B681)+1,"")</f>
        <v/>
      </c>
      <c r="E682">
        <f>IFERROR(MATCH(679,$B$4:$B$1003,0),"")</f>
        <v/>
      </c>
    </row>
    <row r="683">
      <c r="A683">
        <f>IF(AND(LEN('Vendor COIs'!A183)&gt;0,ISNUMBER('Vendor COIs'!H183)),'Vendor COIs'!H183+680/100000,"")</f>
        <v/>
      </c>
      <c r="B683">
        <f>IF(AND(LEN('Vendor COIs'!A183)&gt;0,ISNUMBER('Vendor COIs'!H183)),MAX($B$3:B682)+1,"")</f>
        <v/>
      </c>
      <c r="E683">
        <f>IFERROR(MATCH(680,$B$4:$B$1003,0),"")</f>
        <v/>
      </c>
    </row>
    <row r="684">
      <c r="A684">
        <f>IF(AND(LEN('Vendor COIs'!A184)&gt;0,ISNUMBER('Vendor COIs'!H184)),'Vendor COIs'!H184+681/100000,"")</f>
        <v/>
      </c>
      <c r="B684">
        <f>IF(AND(LEN('Vendor COIs'!A184)&gt;0,ISNUMBER('Vendor COIs'!H184)),MAX($B$3:B683)+1,"")</f>
        <v/>
      </c>
      <c r="E684">
        <f>IFERROR(MATCH(681,$B$4:$B$1003,0),"")</f>
        <v/>
      </c>
    </row>
    <row r="685">
      <c r="A685">
        <f>IF(AND(LEN('Vendor COIs'!A185)&gt;0,ISNUMBER('Vendor COIs'!H185)),'Vendor COIs'!H185+682/100000,"")</f>
        <v/>
      </c>
      <c r="B685">
        <f>IF(AND(LEN('Vendor COIs'!A185)&gt;0,ISNUMBER('Vendor COIs'!H185)),MAX($B$3:B684)+1,"")</f>
        <v/>
      </c>
      <c r="E685">
        <f>IFERROR(MATCH(682,$B$4:$B$1003,0),"")</f>
        <v/>
      </c>
    </row>
    <row r="686">
      <c r="A686">
        <f>IF(AND(LEN('Vendor COIs'!A186)&gt;0,ISNUMBER('Vendor COIs'!H186)),'Vendor COIs'!H186+683/100000,"")</f>
        <v/>
      </c>
      <c r="B686">
        <f>IF(AND(LEN('Vendor COIs'!A186)&gt;0,ISNUMBER('Vendor COIs'!H186)),MAX($B$3:B685)+1,"")</f>
        <v/>
      </c>
      <c r="E686">
        <f>IFERROR(MATCH(683,$B$4:$B$1003,0),"")</f>
        <v/>
      </c>
    </row>
    <row r="687">
      <c r="A687">
        <f>IF(AND(LEN('Vendor COIs'!A187)&gt;0,ISNUMBER('Vendor COIs'!H187)),'Vendor COIs'!H187+684/100000,"")</f>
        <v/>
      </c>
      <c r="B687">
        <f>IF(AND(LEN('Vendor COIs'!A187)&gt;0,ISNUMBER('Vendor COIs'!H187)),MAX($B$3:B686)+1,"")</f>
        <v/>
      </c>
      <c r="E687">
        <f>IFERROR(MATCH(684,$B$4:$B$1003,0),"")</f>
        <v/>
      </c>
    </row>
    <row r="688">
      <c r="A688">
        <f>IF(AND(LEN('Vendor COIs'!A188)&gt;0,ISNUMBER('Vendor COIs'!H188)),'Vendor COIs'!H188+685/100000,"")</f>
        <v/>
      </c>
      <c r="B688">
        <f>IF(AND(LEN('Vendor COIs'!A188)&gt;0,ISNUMBER('Vendor COIs'!H188)),MAX($B$3:B687)+1,"")</f>
        <v/>
      </c>
      <c r="E688">
        <f>IFERROR(MATCH(685,$B$4:$B$1003,0),"")</f>
        <v/>
      </c>
    </row>
    <row r="689">
      <c r="A689">
        <f>IF(AND(LEN('Vendor COIs'!A189)&gt;0,ISNUMBER('Vendor COIs'!H189)),'Vendor COIs'!H189+686/100000,"")</f>
        <v/>
      </c>
      <c r="B689">
        <f>IF(AND(LEN('Vendor COIs'!A189)&gt;0,ISNUMBER('Vendor COIs'!H189)),MAX($B$3:B688)+1,"")</f>
        <v/>
      </c>
      <c r="E689">
        <f>IFERROR(MATCH(686,$B$4:$B$1003,0),"")</f>
        <v/>
      </c>
    </row>
    <row r="690">
      <c r="A690">
        <f>IF(AND(LEN('Vendor COIs'!A190)&gt;0,ISNUMBER('Vendor COIs'!H190)),'Vendor COIs'!H190+687/100000,"")</f>
        <v/>
      </c>
      <c r="B690">
        <f>IF(AND(LEN('Vendor COIs'!A190)&gt;0,ISNUMBER('Vendor COIs'!H190)),MAX($B$3:B689)+1,"")</f>
        <v/>
      </c>
      <c r="E690">
        <f>IFERROR(MATCH(687,$B$4:$B$1003,0),"")</f>
        <v/>
      </c>
    </row>
    <row r="691">
      <c r="A691">
        <f>IF(AND(LEN('Vendor COIs'!A191)&gt;0,ISNUMBER('Vendor COIs'!H191)),'Vendor COIs'!H191+688/100000,"")</f>
        <v/>
      </c>
      <c r="B691">
        <f>IF(AND(LEN('Vendor COIs'!A191)&gt;0,ISNUMBER('Vendor COIs'!H191)),MAX($B$3:B690)+1,"")</f>
        <v/>
      </c>
      <c r="E691">
        <f>IFERROR(MATCH(688,$B$4:$B$1003,0),"")</f>
        <v/>
      </c>
    </row>
    <row r="692">
      <c r="A692">
        <f>IF(AND(LEN('Vendor COIs'!A192)&gt;0,ISNUMBER('Vendor COIs'!H192)),'Vendor COIs'!H192+689/100000,"")</f>
        <v/>
      </c>
      <c r="B692">
        <f>IF(AND(LEN('Vendor COIs'!A192)&gt;0,ISNUMBER('Vendor COIs'!H192)),MAX($B$3:B691)+1,"")</f>
        <v/>
      </c>
      <c r="E692">
        <f>IFERROR(MATCH(689,$B$4:$B$1003,0),"")</f>
        <v/>
      </c>
    </row>
    <row r="693">
      <c r="A693">
        <f>IF(AND(LEN('Vendor COIs'!A193)&gt;0,ISNUMBER('Vendor COIs'!H193)),'Vendor COIs'!H193+690/100000,"")</f>
        <v/>
      </c>
      <c r="B693">
        <f>IF(AND(LEN('Vendor COIs'!A193)&gt;0,ISNUMBER('Vendor COIs'!H193)),MAX($B$3:B692)+1,"")</f>
        <v/>
      </c>
      <c r="E693">
        <f>IFERROR(MATCH(690,$B$4:$B$1003,0),"")</f>
        <v/>
      </c>
    </row>
    <row r="694">
      <c r="A694">
        <f>IF(AND(LEN('Vendor COIs'!A194)&gt;0,ISNUMBER('Vendor COIs'!H194)),'Vendor COIs'!H194+691/100000,"")</f>
        <v/>
      </c>
      <c r="B694">
        <f>IF(AND(LEN('Vendor COIs'!A194)&gt;0,ISNUMBER('Vendor COIs'!H194)),MAX($B$3:B693)+1,"")</f>
        <v/>
      </c>
      <c r="E694">
        <f>IFERROR(MATCH(691,$B$4:$B$1003,0),"")</f>
        <v/>
      </c>
    </row>
    <row r="695">
      <c r="A695">
        <f>IF(AND(LEN('Vendor COIs'!A195)&gt;0,ISNUMBER('Vendor COIs'!H195)),'Vendor COIs'!H195+692/100000,"")</f>
        <v/>
      </c>
      <c r="B695">
        <f>IF(AND(LEN('Vendor COIs'!A195)&gt;0,ISNUMBER('Vendor COIs'!H195)),MAX($B$3:B694)+1,"")</f>
        <v/>
      </c>
      <c r="E695">
        <f>IFERROR(MATCH(692,$B$4:$B$1003,0),"")</f>
        <v/>
      </c>
    </row>
    <row r="696">
      <c r="A696">
        <f>IF(AND(LEN('Vendor COIs'!A196)&gt;0,ISNUMBER('Vendor COIs'!H196)),'Vendor COIs'!H196+693/100000,"")</f>
        <v/>
      </c>
      <c r="B696">
        <f>IF(AND(LEN('Vendor COIs'!A196)&gt;0,ISNUMBER('Vendor COIs'!H196)),MAX($B$3:B695)+1,"")</f>
        <v/>
      </c>
      <c r="E696">
        <f>IFERROR(MATCH(693,$B$4:$B$1003,0),"")</f>
        <v/>
      </c>
    </row>
    <row r="697">
      <c r="A697">
        <f>IF(AND(LEN('Vendor COIs'!A197)&gt;0,ISNUMBER('Vendor COIs'!H197)),'Vendor COIs'!H197+694/100000,"")</f>
        <v/>
      </c>
      <c r="B697">
        <f>IF(AND(LEN('Vendor COIs'!A197)&gt;0,ISNUMBER('Vendor COIs'!H197)),MAX($B$3:B696)+1,"")</f>
        <v/>
      </c>
      <c r="E697">
        <f>IFERROR(MATCH(694,$B$4:$B$1003,0),"")</f>
        <v/>
      </c>
    </row>
    <row r="698">
      <c r="A698">
        <f>IF(AND(LEN('Vendor COIs'!A198)&gt;0,ISNUMBER('Vendor COIs'!H198)),'Vendor COIs'!H198+695/100000,"")</f>
        <v/>
      </c>
      <c r="B698">
        <f>IF(AND(LEN('Vendor COIs'!A198)&gt;0,ISNUMBER('Vendor COIs'!H198)),MAX($B$3:B697)+1,"")</f>
        <v/>
      </c>
      <c r="E698">
        <f>IFERROR(MATCH(695,$B$4:$B$1003,0),"")</f>
        <v/>
      </c>
    </row>
    <row r="699">
      <c r="A699">
        <f>IF(AND(LEN('Vendor COIs'!A199)&gt;0,ISNUMBER('Vendor COIs'!H199)),'Vendor COIs'!H199+696/100000,"")</f>
        <v/>
      </c>
      <c r="B699">
        <f>IF(AND(LEN('Vendor COIs'!A199)&gt;0,ISNUMBER('Vendor COIs'!H199)),MAX($B$3:B698)+1,"")</f>
        <v/>
      </c>
      <c r="E699">
        <f>IFERROR(MATCH(696,$B$4:$B$1003,0),"")</f>
        <v/>
      </c>
    </row>
    <row r="700">
      <c r="A700">
        <f>IF(AND(LEN('Vendor COIs'!A200)&gt;0,ISNUMBER('Vendor COIs'!H200)),'Vendor COIs'!H200+697/100000,"")</f>
        <v/>
      </c>
      <c r="B700">
        <f>IF(AND(LEN('Vendor COIs'!A200)&gt;0,ISNUMBER('Vendor COIs'!H200)),MAX($B$3:B699)+1,"")</f>
        <v/>
      </c>
      <c r="E700">
        <f>IFERROR(MATCH(697,$B$4:$B$1003,0),"")</f>
        <v/>
      </c>
    </row>
    <row r="701">
      <c r="A701">
        <f>IF(AND(LEN('Vendor COIs'!A201)&gt;0,ISNUMBER('Vendor COIs'!H201)),'Vendor COIs'!H201+698/100000,"")</f>
        <v/>
      </c>
      <c r="B701">
        <f>IF(AND(LEN('Vendor COIs'!A201)&gt;0,ISNUMBER('Vendor COIs'!H201)),MAX($B$3:B700)+1,"")</f>
        <v/>
      </c>
      <c r="E701">
        <f>IFERROR(MATCH(698,$B$4:$B$1003,0),"")</f>
        <v/>
      </c>
    </row>
    <row r="702">
      <c r="A702">
        <f>IF(AND(LEN('Vendor COIs'!A202)&gt;0,ISNUMBER('Vendor COIs'!H202)),'Vendor COIs'!H202+699/100000,"")</f>
        <v/>
      </c>
      <c r="B702">
        <f>IF(AND(LEN('Vendor COIs'!A202)&gt;0,ISNUMBER('Vendor COIs'!H202)),MAX($B$3:B701)+1,"")</f>
        <v/>
      </c>
      <c r="E702">
        <f>IFERROR(MATCH(699,$B$4:$B$1003,0),"")</f>
        <v/>
      </c>
    </row>
    <row r="703">
      <c r="A703">
        <f>IF(AND(LEN('Vendor COIs'!A203)&gt;0,ISNUMBER('Vendor COIs'!H203)),'Vendor COIs'!H203+700/100000,"")</f>
        <v/>
      </c>
      <c r="B703">
        <f>IF(AND(LEN('Vendor COIs'!A203)&gt;0,ISNUMBER('Vendor COIs'!H203)),MAX($B$3:B702)+1,"")</f>
        <v/>
      </c>
      <c r="E703">
        <f>IFERROR(MATCH(700,$B$4:$B$1003,0),"")</f>
        <v/>
      </c>
    </row>
    <row r="704">
      <c r="A704">
        <f>IF(AND(LEN('Vendor COIs'!A204)&gt;0,ISNUMBER('Vendor COIs'!H204)),'Vendor COIs'!H204+701/100000,"")</f>
        <v/>
      </c>
      <c r="B704">
        <f>IF(AND(LEN('Vendor COIs'!A204)&gt;0,ISNUMBER('Vendor COIs'!H204)),MAX($B$3:B703)+1,"")</f>
        <v/>
      </c>
      <c r="E704">
        <f>IFERROR(MATCH(701,$B$4:$B$1003,0),"")</f>
        <v/>
      </c>
    </row>
    <row r="705">
      <c r="A705">
        <f>IF(AND(LEN('Vendor COIs'!A205)&gt;0,ISNUMBER('Vendor COIs'!H205)),'Vendor COIs'!H205+702/100000,"")</f>
        <v/>
      </c>
      <c r="B705">
        <f>IF(AND(LEN('Vendor COIs'!A205)&gt;0,ISNUMBER('Vendor COIs'!H205)),MAX($B$3:B704)+1,"")</f>
        <v/>
      </c>
      <c r="E705">
        <f>IFERROR(MATCH(702,$B$4:$B$1003,0),"")</f>
        <v/>
      </c>
    </row>
    <row r="706">
      <c r="A706">
        <f>IF(AND(LEN('Vendor COIs'!A206)&gt;0,ISNUMBER('Vendor COIs'!H206)),'Vendor COIs'!H206+703/100000,"")</f>
        <v/>
      </c>
      <c r="B706">
        <f>IF(AND(LEN('Vendor COIs'!A206)&gt;0,ISNUMBER('Vendor COIs'!H206)),MAX($B$3:B705)+1,"")</f>
        <v/>
      </c>
      <c r="E706">
        <f>IFERROR(MATCH(703,$B$4:$B$1003,0),"")</f>
        <v/>
      </c>
    </row>
    <row r="707">
      <c r="A707">
        <f>IF(AND(LEN('Vendor COIs'!A207)&gt;0,ISNUMBER('Vendor COIs'!H207)),'Vendor COIs'!H207+704/100000,"")</f>
        <v/>
      </c>
      <c r="B707">
        <f>IF(AND(LEN('Vendor COIs'!A207)&gt;0,ISNUMBER('Vendor COIs'!H207)),MAX($B$3:B706)+1,"")</f>
        <v/>
      </c>
      <c r="E707">
        <f>IFERROR(MATCH(704,$B$4:$B$1003,0),"")</f>
        <v/>
      </c>
    </row>
    <row r="708">
      <c r="A708">
        <f>IF(AND(LEN('Vendor COIs'!A208)&gt;0,ISNUMBER('Vendor COIs'!H208)),'Vendor COIs'!H208+705/100000,"")</f>
        <v/>
      </c>
      <c r="B708">
        <f>IF(AND(LEN('Vendor COIs'!A208)&gt;0,ISNUMBER('Vendor COIs'!H208)),MAX($B$3:B707)+1,"")</f>
        <v/>
      </c>
      <c r="E708">
        <f>IFERROR(MATCH(705,$B$4:$B$1003,0),"")</f>
        <v/>
      </c>
    </row>
    <row r="709">
      <c r="A709">
        <f>IF(AND(LEN('Vendor COIs'!A209)&gt;0,ISNUMBER('Vendor COIs'!H209)),'Vendor COIs'!H209+706/100000,"")</f>
        <v/>
      </c>
      <c r="B709">
        <f>IF(AND(LEN('Vendor COIs'!A209)&gt;0,ISNUMBER('Vendor COIs'!H209)),MAX($B$3:B708)+1,"")</f>
        <v/>
      </c>
      <c r="E709">
        <f>IFERROR(MATCH(706,$B$4:$B$1003,0),"")</f>
        <v/>
      </c>
    </row>
    <row r="710">
      <c r="A710">
        <f>IF(AND(LEN('Vendor COIs'!A210)&gt;0,ISNUMBER('Vendor COIs'!H210)),'Vendor COIs'!H210+707/100000,"")</f>
        <v/>
      </c>
      <c r="B710">
        <f>IF(AND(LEN('Vendor COIs'!A210)&gt;0,ISNUMBER('Vendor COIs'!H210)),MAX($B$3:B709)+1,"")</f>
        <v/>
      </c>
      <c r="E710">
        <f>IFERROR(MATCH(707,$B$4:$B$1003,0),"")</f>
        <v/>
      </c>
    </row>
    <row r="711">
      <c r="A711">
        <f>IF(AND(LEN('Vendor COIs'!A211)&gt;0,ISNUMBER('Vendor COIs'!H211)),'Vendor COIs'!H211+708/100000,"")</f>
        <v/>
      </c>
      <c r="B711">
        <f>IF(AND(LEN('Vendor COIs'!A211)&gt;0,ISNUMBER('Vendor COIs'!H211)),MAX($B$3:B710)+1,"")</f>
        <v/>
      </c>
      <c r="E711">
        <f>IFERROR(MATCH(708,$B$4:$B$1003,0),"")</f>
        <v/>
      </c>
    </row>
    <row r="712">
      <c r="A712">
        <f>IF(AND(LEN('Vendor COIs'!A212)&gt;0,ISNUMBER('Vendor COIs'!H212)),'Vendor COIs'!H212+709/100000,"")</f>
        <v/>
      </c>
      <c r="B712">
        <f>IF(AND(LEN('Vendor COIs'!A212)&gt;0,ISNUMBER('Vendor COIs'!H212)),MAX($B$3:B711)+1,"")</f>
        <v/>
      </c>
      <c r="E712">
        <f>IFERROR(MATCH(709,$B$4:$B$1003,0),"")</f>
        <v/>
      </c>
    </row>
    <row r="713">
      <c r="A713">
        <f>IF(AND(LEN('Vendor COIs'!A213)&gt;0,ISNUMBER('Vendor COIs'!H213)),'Vendor COIs'!H213+710/100000,"")</f>
        <v/>
      </c>
      <c r="B713">
        <f>IF(AND(LEN('Vendor COIs'!A213)&gt;0,ISNUMBER('Vendor COIs'!H213)),MAX($B$3:B712)+1,"")</f>
        <v/>
      </c>
      <c r="E713">
        <f>IFERROR(MATCH(710,$B$4:$B$1003,0),"")</f>
        <v/>
      </c>
    </row>
    <row r="714">
      <c r="A714">
        <f>IF(AND(LEN('Vendor COIs'!A214)&gt;0,ISNUMBER('Vendor COIs'!H214)),'Vendor COIs'!H214+711/100000,"")</f>
        <v/>
      </c>
      <c r="B714">
        <f>IF(AND(LEN('Vendor COIs'!A214)&gt;0,ISNUMBER('Vendor COIs'!H214)),MAX($B$3:B713)+1,"")</f>
        <v/>
      </c>
      <c r="E714">
        <f>IFERROR(MATCH(711,$B$4:$B$1003,0),"")</f>
        <v/>
      </c>
    </row>
    <row r="715">
      <c r="A715">
        <f>IF(AND(LEN('Vendor COIs'!A215)&gt;0,ISNUMBER('Vendor COIs'!H215)),'Vendor COIs'!H215+712/100000,"")</f>
        <v/>
      </c>
      <c r="B715">
        <f>IF(AND(LEN('Vendor COIs'!A215)&gt;0,ISNUMBER('Vendor COIs'!H215)),MAX($B$3:B714)+1,"")</f>
        <v/>
      </c>
      <c r="E715">
        <f>IFERROR(MATCH(712,$B$4:$B$1003,0),"")</f>
        <v/>
      </c>
    </row>
    <row r="716">
      <c r="A716">
        <f>IF(AND(LEN('Vendor COIs'!A216)&gt;0,ISNUMBER('Vendor COIs'!H216)),'Vendor COIs'!H216+713/100000,"")</f>
        <v/>
      </c>
      <c r="B716">
        <f>IF(AND(LEN('Vendor COIs'!A216)&gt;0,ISNUMBER('Vendor COIs'!H216)),MAX($B$3:B715)+1,"")</f>
        <v/>
      </c>
      <c r="E716">
        <f>IFERROR(MATCH(713,$B$4:$B$1003,0),"")</f>
        <v/>
      </c>
    </row>
    <row r="717">
      <c r="A717">
        <f>IF(AND(LEN('Vendor COIs'!A217)&gt;0,ISNUMBER('Vendor COIs'!H217)),'Vendor COIs'!H217+714/100000,"")</f>
        <v/>
      </c>
      <c r="B717">
        <f>IF(AND(LEN('Vendor COIs'!A217)&gt;0,ISNUMBER('Vendor COIs'!H217)),MAX($B$3:B716)+1,"")</f>
        <v/>
      </c>
      <c r="E717">
        <f>IFERROR(MATCH(714,$B$4:$B$1003,0),"")</f>
        <v/>
      </c>
    </row>
    <row r="718">
      <c r="A718">
        <f>IF(AND(LEN('Vendor COIs'!A218)&gt;0,ISNUMBER('Vendor COIs'!H218)),'Vendor COIs'!H218+715/100000,"")</f>
        <v/>
      </c>
      <c r="B718">
        <f>IF(AND(LEN('Vendor COIs'!A218)&gt;0,ISNUMBER('Vendor COIs'!H218)),MAX($B$3:B717)+1,"")</f>
        <v/>
      </c>
      <c r="E718">
        <f>IFERROR(MATCH(715,$B$4:$B$1003,0),"")</f>
        <v/>
      </c>
    </row>
    <row r="719">
      <c r="A719">
        <f>IF(AND(LEN('Vendor COIs'!A219)&gt;0,ISNUMBER('Vendor COIs'!H219)),'Vendor COIs'!H219+716/100000,"")</f>
        <v/>
      </c>
      <c r="B719">
        <f>IF(AND(LEN('Vendor COIs'!A219)&gt;0,ISNUMBER('Vendor COIs'!H219)),MAX($B$3:B718)+1,"")</f>
        <v/>
      </c>
      <c r="E719">
        <f>IFERROR(MATCH(716,$B$4:$B$1003,0),"")</f>
        <v/>
      </c>
    </row>
    <row r="720">
      <c r="A720">
        <f>IF(AND(LEN('Vendor COIs'!A220)&gt;0,ISNUMBER('Vendor COIs'!H220)),'Vendor COIs'!H220+717/100000,"")</f>
        <v/>
      </c>
      <c r="B720">
        <f>IF(AND(LEN('Vendor COIs'!A220)&gt;0,ISNUMBER('Vendor COIs'!H220)),MAX($B$3:B719)+1,"")</f>
        <v/>
      </c>
      <c r="E720">
        <f>IFERROR(MATCH(717,$B$4:$B$1003,0),"")</f>
        <v/>
      </c>
    </row>
    <row r="721">
      <c r="A721">
        <f>IF(AND(LEN('Vendor COIs'!A221)&gt;0,ISNUMBER('Vendor COIs'!H221)),'Vendor COIs'!H221+718/100000,"")</f>
        <v/>
      </c>
      <c r="B721">
        <f>IF(AND(LEN('Vendor COIs'!A221)&gt;0,ISNUMBER('Vendor COIs'!H221)),MAX($B$3:B720)+1,"")</f>
        <v/>
      </c>
      <c r="E721">
        <f>IFERROR(MATCH(718,$B$4:$B$1003,0),"")</f>
        <v/>
      </c>
    </row>
    <row r="722">
      <c r="A722">
        <f>IF(AND(LEN('Vendor COIs'!A222)&gt;0,ISNUMBER('Vendor COIs'!H222)),'Vendor COIs'!H222+719/100000,"")</f>
        <v/>
      </c>
      <c r="B722">
        <f>IF(AND(LEN('Vendor COIs'!A222)&gt;0,ISNUMBER('Vendor COIs'!H222)),MAX($B$3:B721)+1,"")</f>
        <v/>
      </c>
      <c r="E722">
        <f>IFERROR(MATCH(719,$B$4:$B$1003,0),"")</f>
        <v/>
      </c>
    </row>
    <row r="723">
      <c r="A723">
        <f>IF(AND(LEN('Vendor COIs'!A223)&gt;0,ISNUMBER('Vendor COIs'!H223)),'Vendor COIs'!H223+720/100000,"")</f>
        <v/>
      </c>
      <c r="B723">
        <f>IF(AND(LEN('Vendor COIs'!A223)&gt;0,ISNUMBER('Vendor COIs'!H223)),MAX($B$3:B722)+1,"")</f>
        <v/>
      </c>
      <c r="E723">
        <f>IFERROR(MATCH(720,$B$4:$B$1003,0),"")</f>
        <v/>
      </c>
    </row>
    <row r="724">
      <c r="A724">
        <f>IF(AND(LEN('Vendor COIs'!A224)&gt;0,ISNUMBER('Vendor COIs'!H224)),'Vendor COIs'!H224+721/100000,"")</f>
        <v/>
      </c>
      <c r="B724">
        <f>IF(AND(LEN('Vendor COIs'!A224)&gt;0,ISNUMBER('Vendor COIs'!H224)),MAX($B$3:B723)+1,"")</f>
        <v/>
      </c>
      <c r="E724">
        <f>IFERROR(MATCH(721,$B$4:$B$1003,0),"")</f>
        <v/>
      </c>
    </row>
    <row r="725">
      <c r="A725">
        <f>IF(AND(LEN('Vendor COIs'!A225)&gt;0,ISNUMBER('Vendor COIs'!H225)),'Vendor COIs'!H225+722/100000,"")</f>
        <v/>
      </c>
      <c r="B725">
        <f>IF(AND(LEN('Vendor COIs'!A225)&gt;0,ISNUMBER('Vendor COIs'!H225)),MAX($B$3:B724)+1,"")</f>
        <v/>
      </c>
      <c r="E725">
        <f>IFERROR(MATCH(722,$B$4:$B$1003,0),"")</f>
        <v/>
      </c>
    </row>
    <row r="726">
      <c r="A726">
        <f>IF(AND(LEN('Vendor COIs'!A226)&gt;0,ISNUMBER('Vendor COIs'!H226)),'Vendor COIs'!H226+723/100000,"")</f>
        <v/>
      </c>
      <c r="B726">
        <f>IF(AND(LEN('Vendor COIs'!A226)&gt;0,ISNUMBER('Vendor COIs'!H226)),MAX($B$3:B725)+1,"")</f>
        <v/>
      </c>
      <c r="E726">
        <f>IFERROR(MATCH(723,$B$4:$B$1003,0),"")</f>
        <v/>
      </c>
    </row>
    <row r="727">
      <c r="A727">
        <f>IF(AND(LEN('Vendor COIs'!A227)&gt;0,ISNUMBER('Vendor COIs'!H227)),'Vendor COIs'!H227+724/100000,"")</f>
        <v/>
      </c>
      <c r="B727">
        <f>IF(AND(LEN('Vendor COIs'!A227)&gt;0,ISNUMBER('Vendor COIs'!H227)),MAX($B$3:B726)+1,"")</f>
        <v/>
      </c>
      <c r="E727">
        <f>IFERROR(MATCH(724,$B$4:$B$1003,0),"")</f>
        <v/>
      </c>
    </row>
    <row r="728">
      <c r="A728">
        <f>IF(AND(LEN('Vendor COIs'!A228)&gt;0,ISNUMBER('Vendor COIs'!H228)),'Vendor COIs'!H228+725/100000,"")</f>
        <v/>
      </c>
      <c r="B728">
        <f>IF(AND(LEN('Vendor COIs'!A228)&gt;0,ISNUMBER('Vendor COIs'!H228)),MAX($B$3:B727)+1,"")</f>
        <v/>
      </c>
      <c r="E728">
        <f>IFERROR(MATCH(725,$B$4:$B$1003,0),"")</f>
        <v/>
      </c>
    </row>
    <row r="729">
      <c r="A729">
        <f>IF(AND(LEN('Vendor COIs'!A229)&gt;0,ISNUMBER('Vendor COIs'!H229)),'Vendor COIs'!H229+726/100000,"")</f>
        <v/>
      </c>
      <c r="B729">
        <f>IF(AND(LEN('Vendor COIs'!A229)&gt;0,ISNUMBER('Vendor COIs'!H229)),MAX($B$3:B728)+1,"")</f>
        <v/>
      </c>
      <c r="E729">
        <f>IFERROR(MATCH(726,$B$4:$B$1003,0),"")</f>
        <v/>
      </c>
    </row>
    <row r="730">
      <c r="A730">
        <f>IF(AND(LEN('Vendor COIs'!A230)&gt;0,ISNUMBER('Vendor COIs'!H230)),'Vendor COIs'!H230+727/100000,"")</f>
        <v/>
      </c>
      <c r="B730">
        <f>IF(AND(LEN('Vendor COIs'!A230)&gt;0,ISNUMBER('Vendor COIs'!H230)),MAX($B$3:B729)+1,"")</f>
        <v/>
      </c>
      <c r="E730">
        <f>IFERROR(MATCH(727,$B$4:$B$1003,0),"")</f>
        <v/>
      </c>
    </row>
    <row r="731">
      <c r="A731">
        <f>IF(AND(LEN('Vendor COIs'!A231)&gt;0,ISNUMBER('Vendor COIs'!H231)),'Vendor COIs'!H231+728/100000,"")</f>
        <v/>
      </c>
      <c r="B731">
        <f>IF(AND(LEN('Vendor COIs'!A231)&gt;0,ISNUMBER('Vendor COIs'!H231)),MAX($B$3:B730)+1,"")</f>
        <v/>
      </c>
      <c r="E731">
        <f>IFERROR(MATCH(728,$B$4:$B$1003,0),"")</f>
        <v/>
      </c>
    </row>
    <row r="732">
      <c r="A732">
        <f>IF(AND(LEN('Vendor COIs'!A232)&gt;0,ISNUMBER('Vendor COIs'!H232)),'Vendor COIs'!H232+729/100000,"")</f>
        <v/>
      </c>
      <c r="B732">
        <f>IF(AND(LEN('Vendor COIs'!A232)&gt;0,ISNUMBER('Vendor COIs'!H232)),MAX($B$3:B731)+1,"")</f>
        <v/>
      </c>
      <c r="E732">
        <f>IFERROR(MATCH(729,$B$4:$B$1003,0),"")</f>
        <v/>
      </c>
    </row>
    <row r="733">
      <c r="A733">
        <f>IF(AND(LEN('Vendor COIs'!A233)&gt;0,ISNUMBER('Vendor COIs'!H233)),'Vendor COIs'!H233+730/100000,"")</f>
        <v/>
      </c>
      <c r="B733">
        <f>IF(AND(LEN('Vendor COIs'!A233)&gt;0,ISNUMBER('Vendor COIs'!H233)),MAX($B$3:B732)+1,"")</f>
        <v/>
      </c>
      <c r="E733">
        <f>IFERROR(MATCH(730,$B$4:$B$1003,0),"")</f>
        <v/>
      </c>
    </row>
    <row r="734">
      <c r="A734">
        <f>IF(AND(LEN('Vendor COIs'!A234)&gt;0,ISNUMBER('Vendor COIs'!H234)),'Vendor COIs'!H234+731/100000,"")</f>
        <v/>
      </c>
      <c r="B734">
        <f>IF(AND(LEN('Vendor COIs'!A234)&gt;0,ISNUMBER('Vendor COIs'!H234)),MAX($B$3:B733)+1,"")</f>
        <v/>
      </c>
      <c r="E734">
        <f>IFERROR(MATCH(731,$B$4:$B$1003,0),"")</f>
        <v/>
      </c>
    </row>
    <row r="735">
      <c r="A735">
        <f>IF(AND(LEN('Vendor COIs'!A235)&gt;0,ISNUMBER('Vendor COIs'!H235)),'Vendor COIs'!H235+732/100000,"")</f>
        <v/>
      </c>
      <c r="B735">
        <f>IF(AND(LEN('Vendor COIs'!A235)&gt;0,ISNUMBER('Vendor COIs'!H235)),MAX($B$3:B734)+1,"")</f>
        <v/>
      </c>
      <c r="E735">
        <f>IFERROR(MATCH(732,$B$4:$B$1003,0),"")</f>
        <v/>
      </c>
    </row>
    <row r="736">
      <c r="A736">
        <f>IF(AND(LEN('Vendor COIs'!A236)&gt;0,ISNUMBER('Vendor COIs'!H236)),'Vendor COIs'!H236+733/100000,"")</f>
        <v/>
      </c>
      <c r="B736">
        <f>IF(AND(LEN('Vendor COIs'!A236)&gt;0,ISNUMBER('Vendor COIs'!H236)),MAX($B$3:B735)+1,"")</f>
        <v/>
      </c>
      <c r="E736">
        <f>IFERROR(MATCH(733,$B$4:$B$1003,0),"")</f>
        <v/>
      </c>
    </row>
    <row r="737">
      <c r="A737">
        <f>IF(AND(LEN('Vendor COIs'!A237)&gt;0,ISNUMBER('Vendor COIs'!H237)),'Vendor COIs'!H237+734/100000,"")</f>
        <v/>
      </c>
      <c r="B737">
        <f>IF(AND(LEN('Vendor COIs'!A237)&gt;0,ISNUMBER('Vendor COIs'!H237)),MAX($B$3:B736)+1,"")</f>
        <v/>
      </c>
      <c r="E737">
        <f>IFERROR(MATCH(734,$B$4:$B$1003,0),"")</f>
        <v/>
      </c>
    </row>
    <row r="738">
      <c r="A738">
        <f>IF(AND(LEN('Vendor COIs'!A238)&gt;0,ISNUMBER('Vendor COIs'!H238)),'Vendor COIs'!H238+735/100000,"")</f>
        <v/>
      </c>
      <c r="B738">
        <f>IF(AND(LEN('Vendor COIs'!A238)&gt;0,ISNUMBER('Vendor COIs'!H238)),MAX($B$3:B737)+1,"")</f>
        <v/>
      </c>
      <c r="E738">
        <f>IFERROR(MATCH(735,$B$4:$B$1003,0),"")</f>
        <v/>
      </c>
    </row>
    <row r="739">
      <c r="A739">
        <f>IF(AND(LEN('Vendor COIs'!A239)&gt;0,ISNUMBER('Vendor COIs'!H239)),'Vendor COIs'!H239+736/100000,"")</f>
        <v/>
      </c>
      <c r="B739">
        <f>IF(AND(LEN('Vendor COIs'!A239)&gt;0,ISNUMBER('Vendor COIs'!H239)),MAX($B$3:B738)+1,"")</f>
        <v/>
      </c>
      <c r="E739">
        <f>IFERROR(MATCH(736,$B$4:$B$1003,0),"")</f>
        <v/>
      </c>
    </row>
    <row r="740">
      <c r="A740">
        <f>IF(AND(LEN('Vendor COIs'!A240)&gt;0,ISNUMBER('Vendor COIs'!H240)),'Vendor COIs'!H240+737/100000,"")</f>
        <v/>
      </c>
      <c r="B740">
        <f>IF(AND(LEN('Vendor COIs'!A240)&gt;0,ISNUMBER('Vendor COIs'!H240)),MAX($B$3:B739)+1,"")</f>
        <v/>
      </c>
      <c r="E740">
        <f>IFERROR(MATCH(737,$B$4:$B$1003,0),"")</f>
        <v/>
      </c>
    </row>
    <row r="741">
      <c r="A741">
        <f>IF(AND(LEN('Vendor COIs'!A241)&gt;0,ISNUMBER('Vendor COIs'!H241)),'Vendor COIs'!H241+738/100000,"")</f>
        <v/>
      </c>
      <c r="B741">
        <f>IF(AND(LEN('Vendor COIs'!A241)&gt;0,ISNUMBER('Vendor COIs'!H241)),MAX($B$3:B740)+1,"")</f>
        <v/>
      </c>
      <c r="E741">
        <f>IFERROR(MATCH(738,$B$4:$B$1003,0),"")</f>
        <v/>
      </c>
    </row>
    <row r="742">
      <c r="A742">
        <f>IF(AND(LEN('Vendor COIs'!A242)&gt;0,ISNUMBER('Vendor COIs'!H242)),'Vendor COIs'!H242+739/100000,"")</f>
        <v/>
      </c>
      <c r="B742">
        <f>IF(AND(LEN('Vendor COIs'!A242)&gt;0,ISNUMBER('Vendor COIs'!H242)),MAX($B$3:B741)+1,"")</f>
        <v/>
      </c>
      <c r="E742">
        <f>IFERROR(MATCH(739,$B$4:$B$1003,0),"")</f>
        <v/>
      </c>
    </row>
    <row r="743">
      <c r="A743">
        <f>IF(AND(LEN('Vendor COIs'!A243)&gt;0,ISNUMBER('Vendor COIs'!H243)),'Vendor COIs'!H243+740/100000,"")</f>
        <v/>
      </c>
      <c r="B743">
        <f>IF(AND(LEN('Vendor COIs'!A243)&gt;0,ISNUMBER('Vendor COIs'!H243)),MAX($B$3:B742)+1,"")</f>
        <v/>
      </c>
      <c r="E743">
        <f>IFERROR(MATCH(740,$B$4:$B$1003,0),"")</f>
        <v/>
      </c>
    </row>
    <row r="744">
      <c r="A744">
        <f>IF(AND(LEN('Vendor COIs'!A244)&gt;0,ISNUMBER('Vendor COIs'!H244)),'Vendor COIs'!H244+741/100000,"")</f>
        <v/>
      </c>
      <c r="B744">
        <f>IF(AND(LEN('Vendor COIs'!A244)&gt;0,ISNUMBER('Vendor COIs'!H244)),MAX($B$3:B743)+1,"")</f>
        <v/>
      </c>
      <c r="E744">
        <f>IFERROR(MATCH(741,$B$4:$B$1003,0),"")</f>
        <v/>
      </c>
    </row>
    <row r="745">
      <c r="A745">
        <f>IF(AND(LEN('Vendor COIs'!A245)&gt;0,ISNUMBER('Vendor COIs'!H245)),'Vendor COIs'!H245+742/100000,"")</f>
        <v/>
      </c>
      <c r="B745">
        <f>IF(AND(LEN('Vendor COIs'!A245)&gt;0,ISNUMBER('Vendor COIs'!H245)),MAX($B$3:B744)+1,"")</f>
        <v/>
      </c>
      <c r="E745">
        <f>IFERROR(MATCH(742,$B$4:$B$1003,0),"")</f>
        <v/>
      </c>
    </row>
    <row r="746">
      <c r="A746">
        <f>IF(AND(LEN('Vendor COIs'!A246)&gt;0,ISNUMBER('Vendor COIs'!H246)),'Vendor COIs'!H246+743/100000,"")</f>
        <v/>
      </c>
      <c r="B746">
        <f>IF(AND(LEN('Vendor COIs'!A246)&gt;0,ISNUMBER('Vendor COIs'!H246)),MAX($B$3:B745)+1,"")</f>
        <v/>
      </c>
      <c r="E746">
        <f>IFERROR(MATCH(743,$B$4:$B$1003,0),"")</f>
        <v/>
      </c>
    </row>
    <row r="747">
      <c r="A747">
        <f>IF(AND(LEN('Vendor COIs'!A247)&gt;0,ISNUMBER('Vendor COIs'!H247)),'Vendor COIs'!H247+744/100000,"")</f>
        <v/>
      </c>
      <c r="B747">
        <f>IF(AND(LEN('Vendor COIs'!A247)&gt;0,ISNUMBER('Vendor COIs'!H247)),MAX($B$3:B746)+1,"")</f>
        <v/>
      </c>
      <c r="E747">
        <f>IFERROR(MATCH(744,$B$4:$B$1003,0),"")</f>
        <v/>
      </c>
    </row>
    <row r="748">
      <c r="A748">
        <f>IF(AND(LEN('Vendor COIs'!A248)&gt;0,ISNUMBER('Vendor COIs'!H248)),'Vendor COIs'!H248+745/100000,"")</f>
        <v/>
      </c>
      <c r="B748">
        <f>IF(AND(LEN('Vendor COIs'!A248)&gt;0,ISNUMBER('Vendor COIs'!H248)),MAX($B$3:B747)+1,"")</f>
        <v/>
      </c>
      <c r="E748">
        <f>IFERROR(MATCH(745,$B$4:$B$1003,0),"")</f>
        <v/>
      </c>
    </row>
    <row r="749">
      <c r="A749">
        <f>IF(AND(LEN('Vendor COIs'!A249)&gt;0,ISNUMBER('Vendor COIs'!H249)),'Vendor COIs'!H249+746/100000,"")</f>
        <v/>
      </c>
      <c r="B749">
        <f>IF(AND(LEN('Vendor COIs'!A249)&gt;0,ISNUMBER('Vendor COIs'!H249)),MAX($B$3:B748)+1,"")</f>
        <v/>
      </c>
      <c r="E749">
        <f>IFERROR(MATCH(746,$B$4:$B$1003,0),"")</f>
        <v/>
      </c>
    </row>
    <row r="750">
      <c r="A750">
        <f>IF(AND(LEN('Vendor COIs'!A250)&gt;0,ISNUMBER('Vendor COIs'!H250)),'Vendor COIs'!H250+747/100000,"")</f>
        <v/>
      </c>
      <c r="B750">
        <f>IF(AND(LEN('Vendor COIs'!A250)&gt;0,ISNUMBER('Vendor COIs'!H250)),MAX($B$3:B749)+1,"")</f>
        <v/>
      </c>
      <c r="E750">
        <f>IFERROR(MATCH(747,$B$4:$B$1003,0),"")</f>
        <v/>
      </c>
    </row>
    <row r="751">
      <c r="A751">
        <f>IF(AND(LEN('Vendor COIs'!A251)&gt;0,ISNUMBER('Vendor COIs'!H251)),'Vendor COIs'!H251+748/100000,"")</f>
        <v/>
      </c>
      <c r="B751">
        <f>IF(AND(LEN('Vendor COIs'!A251)&gt;0,ISNUMBER('Vendor COIs'!H251)),MAX($B$3:B750)+1,"")</f>
        <v/>
      </c>
      <c r="E751">
        <f>IFERROR(MATCH(748,$B$4:$B$1003,0),"")</f>
        <v/>
      </c>
    </row>
    <row r="752">
      <c r="A752">
        <f>IF(AND(LEN('Vendor COIs'!A252)&gt;0,ISNUMBER('Vendor COIs'!H252)),'Vendor COIs'!H252+749/100000,"")</f>
        <v/>
      </c>
      <c r="B752">
        <f>IF(AND(LEN('Vendor COIs'!A252)&gt;0,ISNUMBER('Vendor COIs'!H252)),MAX($B$3:B751)+1,"")</f>
        <v/>
      </c>
      <c r="E752">
        <f>IFERROR(MATCH(749,$B$4:$B$1003,0),"")</f>
        <v/>
      </c>
    </row>
    <row r="753">
      <c r="A753">
        <f>IF(AND(LEN('Vendor COIs'!A253)&gt;0,ISNUMBER('Vendor COIs'!H253)),'Vendor COIs'!H253+750/100000,"")</f>
        <v/>
      </c>
      <c r="B753">
        <f>IF(AND(LEN('Vendor COIs'!A253)&gt;0,ISNUMBER('Vendor COIs'!H253)),MAX($B$3:B752)+1,"")</f>
        <v/>
      </c>
      <c r="E753">
        <f>IFERROR(MATCH(750,$B$4:$B$1003,0),"")</f>
        <v/>
      </c>
    </row>
    <row r="754">
      <c r="A754">
        <f>IF(AND(LEN('Vendor COIs'!A254)&gt;0,ISNUMBER('Vendor COIs'!H254)),'Vendor COIs'!H254+751/100000,"")</f>
        <v/>
      </c>
      <c r="B754">
        <f>IF(AND(LEN('Vendor COIs'!A254)&gt;0,ISNUMBER('Vendor COIs'!H254)),MAX($B$3:B753)+1,"")</f>
        <v/>
      </c>
      <c r="E754">
        <f>IFERROR(MATCH(751,$B$4:$B$1003,0),"")</f>
        <v/>
      </c>
    </row>
    <row r="755">
      <c r="A755">
        <f>IF(AND(LEN('Vendor COIs'!A255)&gt;0,ISNUMBER('Vendor COIs'!H255)),'Vendor COIs'!H255+752/100000,"")</f>
        <v/>
      </c>
      <c r="B755">
        <f>IF(AND(LEN('Vendor COIs'!A255)&gt;0,ISNUMBER('Vendor COIs'!H255)),MAX($B$3:B754)+1,"")</f>
        <v/>
      </c>
      <c r="E755">
        <f>IFERROR(MATCH(752,$B$4:$B$1003,0),"")</f>
        <v/>
      </c>
    </row>
    <row r="756">
      <c r="A756">
        <f>IF(AND(LEN('Vendor COIs'!A256)&gt;0,ISNUMBER('Vendor COIs'!H256)),'Vendor COIs'!H256+753/100000,"")</f>
        <v/>
      </c>
      <c r="B756">
        <f>IF(AND(LEN('Vendor COIs'!A256)&gt;0,ISNUMBER('Vendor COIs'!H256)),MAX($B$3:B755)+1,"")</f>
        <v/>
      </c>
      <c r="E756">
        <f>IFERROR(MATCH(753,$B$4:$B$1003,0),"")</f>
        <v/>
      </c>
    </row>
    <row r="757">
      <c r="A757">
        <f>IF(AND(LEN('Vendor COIs'!A257)&gt;0,ISNUMBER('Vendor COIs'!H257)),'Vendor COIs'!H257+754/100000,"")</f>
        <v/>
      </c>
      <c r="B757">
        <f>IF(AND(LEN('Vendor COIs'!A257)&gt;0,ISNUMBER('Vendor COIs'!H257)),MAX($B$3:B756)+1,"")</f>
        <v/>
      </c>
      <c r="E757">
        <f>IFERROR(MATCH(754,$B$4:$B$1003,0),"")</f>
        <v/>
      </c>
    </row>
    <row r="758">
      <c r="A758">
        <f>IF(AND(LEN('Vendor COIs'!A258)&gt;0,ISNUMBER('Vendor COIs'!H258)),'Vendor COIs'!H258+755/100000,"")</f>
        <v/>
      </c>
      <c r="B758">
        <f>IF(AND(LEN('Vendor COIs'!A258)&gt;0,ISNUMBER('Vendor COIs'!H258)),MAX($B$3:B757)+1,"")</f>
        <v/>
      </c>
      <c r="E758">
        <f>IFERROR(MATCH(755,$B$4:$B$1003,0),"")</f>
        <v/>
      </c>
    </row>
    <row r="759">
      <c r="A759">
        <f>IF(AND(LEN('Vendor COIs'!A259)&gt;0,ISNUMBER('Vendor COIs'!H259)),'Vendor COIs'!H259+756/100000,"")</f>
        <v/>
      </c>
      <c r="B759">
        <f>IF(AND(LEN('Vendor COIs'!A259)&gt;0,ISNUMBER('Vendor COIs'!H259)),MAX($B$3:B758)+1,"")</f>
        <v/>
      </c>
      <c r="E759">
        <f>IFERROR(MATCH(756,$B$4:$B$1003,0),"")</f>
        <v/>
      </c>
    </row>
    <row r="760">
      <c r="A760">
        <f>IF(AND(LEN('Vendor COIs'!A260)&gt;0,ISNUMBER('Vendor COIs'!H260)),'Vendor COIs'!H260+757/100000,"")</f>
        <v/>
      </c>
      <c r="B760">
        <f>IF(AND(LEN('Vendor COIs'!A260)&gt;0,ISNUMBER('Vendor COIs'!H260)),MAX($B$3:B759)+1,"")</f>
        <v/>
      </c>
      <c r="E760">
        <f>IFERROR(MATCH(757,$B$4:$B$1003,0),"")</f>
        <v/>
      </c>
    </row>
    <row r="761">
      <c r="A761">
        <f>IF(AND(LEN('Vendor COIs'!A261)&gt;0,ISNUMBER('Vendor COIs'!H261)),'Vendor COIs'!H261+758/100000,"")</f>
        <v/>
      </c>
      <c r="B761">
        <f>IF(AND(LEN('Vendor COIs'!A261)&gt;0,ISNUMBER('Vendor COIs'!H261)),MAX($B$3:B760)+1,"")</f>
        <v/>
      </c>
      <c r="E761">
        <f>IFERROR(MATCH(758,$B$4:$B$1003,0),"")</f>
        <v/>
      </c>
    </row>
    <row r="762">
      <c r="A762">
        <f>IF(AND(LEN('Vendor COIs'!A262)&gt;0,ISNUMBER('Vendor COIs'!H262)),'Vendor COIs'!H262+759/100000,"")</f>
        <v/>
      </c>
      <c r="B762">
        <f>IF(AND(LEN('Vendor COIs'!A262)&gt;0,ISNUMBER('Vendor COIs'!H262)),MAX($B$3:B761)+1,"")</f>
        <v/>
      </c>
      <c r="E762">
        <f>IFERROR(MATCH(759,$B$4:$B$1003,0),"")</f>
        <v/>
      </c>
    </row>
    <row r="763">
      <c r="A763">
        <f>IF(AND(LEN('Vendor COIs'!A263)&gt;0,ISNUMBER('Vendor COIs'!H263)),'Vendor COIs'!H263+760/100000,"")</f>
        <v/>
      </c>
      <c r="B763">
        <f>IF(AND(LEN('Vendor COIs'!A263)&gt;0,ISNUMBER('Vendor COIs'!H263)),MAX($B$3:B762)+1,"")</f>
        <v/>
      </c>
      <c r="E763">
        <f>IFERROR(MATCH(760,$B$4:$B$1003,0),"")</f>
        <v/>
      </c>
    </row>
    <row r="764">
      <c r="A764">
        <f>IF(AND(LEN('Vendor COIs'!A264)&gt;0,ISNUMBER('Vendor COIs'!H264)),'Vendor COIs'!H264+761/100000,"")</f>
        <v/>
      </c>
      <c r="B764">
        <f>IF(AND(LEN('Vendor COIs'!A264)&gt;0,ISNUMBER('Vendor COIs'!H264)),MAX($B$3:B763)+1,"")</f>
        <v/>
      </c>
      <c r="E764">
        <f>IFERROR(MATCH(761,$B$4:$B$1003,0),"")</f>
        <v/>
      </c>
    </row>
    <row r="765">
      <c r="A765">
        <f>IF(AND(LEN('Vendor COIs'!A265)&gt;0,ISNUMBER('Vendor COIs'!H265)),'Vendor COIs'!H265+762/100000,"")</f>
        <v/>
      </c>
      <c r="B765">
        <f>IF(AND(LEN('Vendor COIs'!A265)&gt;0,ISNUMBER('Vendor COIs'!H265)),MAX($B$3:B764)+1,"")</f>
        <v/>
      </c>
      <c r="E765">
        <f>IFERROR(MATCH(762,$B$4:$B$1003,0),"")</f>
        <v/>
      </c>
    </row>
    <row r="766">
      <c r="A766">
        <f>IF(AND(LEN('Vendor COIs'!A266)&gt;0,ISNUMBER('Vendor COIs'!H266)),'Vendor COIs'!H266+763/100000,"")</f>
        <v/>
      </c>
      <c r="B766">
        <f>IF(AND(LEN('Vendor COIs'!A266)&gt;0,ISNUMBER('Vendor COIs'!H266)),MAX($B$3:B765)+1,"")</f>
        <v/>
      </c>
      <c r="E766">
        <f>IFERROR(MATCH(763,$B$4:$B$1003,0),"")</f>
        <v/>
      </c>
    </row>
    <row r="767">
      <c r="A767">
        <f>IF(AND(LEN('Vendor COIs'!A267)&gt;0,ISNUMBER('Vendor COIs'!H267)),'Vendor COIs'!H267+764/100000,"")</f>
        <v/>
      </c>
      <c r="B767">
        <f>IF(AND(LEN('Vendor COIs'!A267)&gt;0,ISNUMBER('Vendor COIs'!H267)),MAX($B$3:B766)+1,"")</f>
        <v/>
      </c>
      <c r="E767">
        <f>IFERROR(MATCH(764,$B$4:$B$1003,0),"")</f>
        <v/>
      </c>
    </row>
    <row r="768">
      <c r="A768">
        <f>IF(AND(LEN('Vendor COIs'!A268)&gt;0,ISNUMBER('Vendor COIs'!H268)),'Vendor COIs'!H268+765/100000,"")</f>
        <v/>
      </c>
      <c r="B768">
        <f>IF(AND(LEN('Vendor COIs'!A268)&gt;0,ISNUMBER('Vendor COIs'!H268)),MAX($B$3:B767)+1,"")</f>
        <v/>
      </c>
      <c r="E768">
        <f>IFERROR(MATCH(765,$B$4:$B$1003,0),"")</f>
        <v/>
      </c>
    </row>
    <row r="769">
      <c r="A769">
        <f>IF(AND(LEN('Vendor COIs'!A269)&gt;0,ISNUMBER('Vendor COIs'!H269)),'Vendor COIs'!H269+766/100000,"")</f>
        <v/>
      </c>
      <c r="B769">
        <f>IF(AND(LEN('Vendor COIs'!A269)&gt;0,ISNUMBER('Vendor COIs'!H269)),MAX($B$3:B768)+1,"")</f>
        <v/>
      </c>
      <c r="E769">
        <f>IFERROR(MATCH(766,$B$4:$B$1003,0),"")</f>
        <v/>
      </c>
    </row>
    <row r="770">
      <c r="A770">
        <f>IF(AND(LEN('Vendor COIs'!A270)&gt;0,ISNUMBER('Vendor COIs'!H270)),'Vendor COIs'!H270+767/100000,"")</f>
        <v/>
      </c>
      <c r="B770">
        <f>IF(AND(LEN('Vendor COIs'!A270)&gt;0,ISNUMBER('Vendor COIs'!H270)),MAX($B$3:B769)+1,"")</f>
        <v/>
      </c>
      <c r="E770">
        <f>IFERROR(MATCH(767,$B$4:$B$1003,0),"")</f>
        <v/>
      </c>
    </row>
    <row r="771">
      <c r="A771">
        <f>IF(AND(LEN('Vendor COIs'!A271)&gt;0,ISNUMBER('Vendor COIs'!H271)),'Vendor COIs'!H271+768/100000,"")</f>
        <v/>
      </c>
      <c r="B771">
        <f>IF(AND(LEN('Vendor COIs'!A271)&gt;0,ISNUMBER('Vendor COIs'!H271)),MAX($B$3:B770)+1,"")</f>
        <v/>
      </c>
      <c r="E771">
        <f>IFERROR(MATCH(768,$B$4:$B$1003,0),"")</f>
        <v/>
      </c>
    </row>
    <row r="772">
      <c r="A772">
        <f>IF(AND(LEN('Vendor COIs'!A272)&gt;0,ISNUMBER('Vendor COIs'!H272)),'Vendor COIs'!H272+769/100000,"")</f>
        <v/>
      </c>
      <c r="B772">
        <f>IF(AND(LEN('Vendor COIs'!A272)&gt;0,ISNUMBER('Vendor COIs'!H272)),MAX($B$3:B771)+1,"")</f>
        <v/>
      </c>
      <c r="E772">
        <f>IFERROR(MATCH(769,$B$4:$B$1003,0),"")</f>
        <v/>
      </c>
    </row>
    <row r="773">
      <c r="A773">
        <f>IF(AND(LEN('Vendor COIs'!A273)&gt;0,ISNUMBER('Vendor COIs'!H273)),'Vendor COIs'!H273+770/100000,"")</f>
        <v/>
      </c>
      <c r="B773">
        <f>IF(AND(LEN('Vendor COIs'!A273)&gt;0,ISNUMBER('Vendor COIs'!H273)),MAX($B$3:B772)+1,"")</f>
        <v/>
      </c>
      <c r="E773">
        <f>IFERROR(MATCH(770,$B$4:$B$1003,0),"")</f>
        <v/>
      </c>
    </row>
    <row r="774">
      <c r="A774">
        <f>IF(AND(LEN('Vendor COIs'!A274)&gt;0,ISNUMBER('Vendor COIs'!H274)),'Vendor COIs'!H274+771/100000,"")</f>
        <v/>
      </c>
      <c r="B774">
        <f>IF(AND(LEN('Vendor COIs'!A274)&gt;0,ISNUMBER('Vendor COIs'!H274)),MAX($B$3:B773)+1,"")</f>
        <v/>
      </c>
      <c r="E774">
        <f>IFERROR(MATCH(771,$B$4:$B$1003,0),"")</f>
        <v/>
      </c>
    </row>
    <row r="775">
      <c r="A775">
        <f>IF(AND(LEN('Vendor COIs'!A275)&gt;0,ISNUMBER('Vendor COIs'!H275)),'Vendor COIs'!H275+772/100000,"")</f>
        <v/>
      </c>
      <c r="B775">
        <f>IF(AND(LEN('Vendor COIs'!A275)&gt;0,ISNUMBER('Vendor COIs'!H275)),MAX($B$3:B774)+1,"")</f>
        <v/>
      </c>
      <c r="E775">
        <f>IFERROR(MATCH(772,$B$4:$B$1003,0),"")</f>
        <v/>
      </c>
    </row>
    <row r="776">
      <c r="A776">
        <f>IF(AND(LEN('Vendor COIs'!A276)&gt;0,ISNUMBER('Vendor COIs'!H276)),'Vendor COIs'!H276+773/100000,"")</f>
        <v/>
      </c>
      <c r="B776">
        <f>IF(AND(LEN('Vendor COIs'!A276)&gt;0,ISNUMBER('Vendor COIs'!H276)),MAX($B$3:B775)+1,"")</f>
        <v/>
      </c>
      <c r="E776">
        <f>IFERROR(MATCH(773,$B$4:$B$1003,0),"")</f>
        <v/>
      </c>
    </row>
    <row r="777">
      <c r="A777">
        <f>IF(AND(LEN('Vendor COIs'!A277)&gt;0,ISNUMBER('Vendor COIs'!H277)),'Vendor COIs'!H277+774/100000,"")</f>
        <v/>
      </c>
      <c r="B777">
        <f>IF(AND(LEN('Vendor COIs'!A277)&gt;0,ISNUMBER('Vendor COIs'!H277)),MAX($B$3:B776)+1,"")</f>
        <v/>
      </c>
      <c r="E777">
        <f>IFERROR(MATCH(774,$B$4:$B$1003,0),"")</f>
        <v/>
      </c>
    </row>
    <row r="778">
      <c r="A778">
        <f>IF(AND(LEN('Vendor COIs'!A278)&gt;0,ISNUMBER('Vendor COIs'!H278)),'Vendor COIs'!H278+775/100000,"")</f>
        <v/>
      </c>
      <c r="B778">
        <f>IF(AND(LEN('Vendor COIs'!A278)&gt;0,ISNUMBER('Vendor COIs'!H278)),MAX($B$3:B777)+1,"")</f>
        <v/>
      </c>
      <c r="E778">
        <f>IFERROR(MATCH(775,$B$4:$B$1003,0),"")</f>
        <v/>
      </c>
    </row>
    <row r="779">
      <c r="A779">
        <f>IF(AND(LEN('Vendor COIs'!A279)&gt;0,ISNUMBER('Vendor COIs'!H279)),'Vendor COIs'!H279+776/100000,"")</f>
        <v/>
      </c>
      <c r="B779">
        <f>IF(AND(LEN('Vendor COIs'!A279)&gt;0,ISNUMBER('Vendor COIs'!H279)),MAX($B$3:B778)+1,"")</f>
        <v/>
      </c>
      <c r="E779">
        <f>IFERROR(MATCH(776,$B$4:$B$1003,0),"")</f>
        <v/>
      </c>
    </row>
    <row r="780">
      <c r="A780">
        <f>IF(AND(LEN('Vendor COIs'!A280)&gt;0,ISNUMBER('Vendor COIs'!H280)),'Vendor COIs'!H280+777/100000,"")</f>
        <v/>
      </c>
      <c r="B780">
        <f>IF(AND(LEN('Vendor COIs'!A280)&gt;0,ISNUMBER('Vendor COIs'!H280)),MAX($B$3:B779)+1,"")</f>
        <v/>
      </c>
      <c r="E780">
        <f>IFERROR(MATCH(777,$B$4:$B$1003,0),"")</f>
        <v/>
      </c>
    </row>
    <row r="781">
      <c r="A781">
        <f>IF(AND(LEN('Vendor COIs'!A281)&gt;0,ISNUMBER('Vendor COIs'!H281)),'Vendor COIs'!H281+778/100000,"")</f>
        <v/>
      </c>
      <c r="B781">
        <f>IF(AND(LEN('Vendor COIs'!A281)&gt;0,ISNUMBER('Vendor COIs'!H281)),MAX($B$3:B780)+1,"")</f>
        <v/>
      </c>
      <c r="E781">
        <f>IFERROR(MATCH(778,$B$4:$B$1003,0),"")</f>
        <v/>
      </c>
    </row>
    <row r="782">
      <c r="A782">
        <f>IF(AND(LEN('Vendor COIs'!A282)&gt;0,ISNUMBER('Vendor COIs'!H282)),'Vendor COIs'!H282+779/100000,"")</f>
        <v/>
      </c>
      <c r="B782">
        <f>IF(AND(LEN('Vendor COIs'!A282)&gt;0,ISNUMBER('Vendor COIs'!H282)),MAX($B$3:B781)+1,"")</f>
        <v/>
      </c>
      <c r="E782">
        <f>IFERROR(MATCH(779,$B$4:$B$1003,0),"")</f>
        <v/>
      </c>
    </row>
    <row r="783">
      <c r="A783">
        <f>IF(AND(LEN('Vendor COIs'!A283)&gt;0,ISNUMBER('Vendor COIs'!H283)),'Vendor COIs'!H283+780/100000,"")</f>
        <v/>
      </c>
      <c r="B783">
        <f>IF(AND(LEN('Vendor COIs'!A283)&gt;0,ISNUMBER('Vendor COIs'!H283)),MAX($B$3:B782)+1,"")</f>
        <v/>
      </c>
      <c r="E783">
        <f>IFERROR(MATCH(780,$B$4:$B$1003,0),"")</f>
        <v/>
      </c>
    </row>
    <row r="784">
      <c r="A784">
        <f>IF(AND(LEN('Vendor COIs'!A284)&gt;0,ISNUMBER('Vendor COIs'!H284)),'Vendor COIs'!H284+781/100000,"")</f>
        <v/>
      </c>
      <c r="B784">
        <f>IF(AND(LEN('Vendor COIs'!A284)&gt;0,ISNUMBER('Vendor COIs'!H284)),MAX($B$3:B783)+1,"")</f>
        <v/>
      </c>
      <c r="E784">
        <f>IFERROR(MATCH(781,$B$4:$B$1003,0),"")</f>
        <v/>
      </c>
    </row>
    <row r="785">
      <c r="A785">
        <f>IF(AND(LEN('Vendor COIs'!A285)&gt;0,ISNUMBER('Vendor COIs'!H285)),'Vendor COIs'!H285+782/100000,"")</f>
        <v/>
      </c>
      <c r="B785">
        <f>IF(AND(LEN('Vendor COIs'!A285)&gt;0,ISNUMBER('Vendor COIs'!H285)),MAX($B$3:B784)+1,"")</f>
        <v/>
      </c>
      <c r="E785">
        <f>IFERROR(MATCH(782,$B$4:$B$1003,0),"")</f>
        <v/>
      </c>
    </row>
    <row r="786">
      <c r="A786">
        <f>IF(AND(LEN('Vendor COIs'!A286)&gt;0,ISNUMBER('Vendor COIs'!H286)),'Vendor COIs'!H286+783/100000,"")</f>
        <v/>
      </c>
      <c r="B786">
        <f>IF(AND(LEN('Vendor COIs'!A286)&gt;0,ISNUMBER('Vendor COIs'!H286)),MAX($B$3:B785)+1,"")</f>
        <v/>
      </c>
      <c r="E786">
        <f>IFERROR(MATCH(783,$B$4:$B$1003,0),"")</f>
        <v/>
      </c>
    </row>
    <row r="787">
      <c r="A787">
        <f>IF(AND(LEN('Vendor COIs'!A287)&gt;0,ISNUMBER('Vendor COIs'!H287)),'Vendor COIs'!H287+784/100000,"")</f>
        <v/>
      </c>
      <c r="B787">
        <f>IF(AND(LEN('Vendor COIs'!A287)&gt;0,ISNUMBER('Vendor COIs'!H287)),MAX($B$3:B786)+1,"")</f>
        <v/>
      </c>
      <c r="E787">
        <f>IFERROR(MATCH(784,$B$4:$B$1003,0),"")</f>
        <v/>
      </c>
    </row>
    <row r="788">
      <c r="A788">
        <f>IF(AND(LEN('Vendor COIs'!A288)&gt;0,ISNUMBER('Vendor COIs'!H288)),'Vendor COIs'!H288+785/100000,"")</f>
        <v/>
      </c>
      <c r="B788">
        <f>IF(AND(LEN('Vendor COIs'!A288)&gt;0,ISNUMBER('Vendor COIs'!H288)),MAX($B$3:B787)+1,"")</f>
        <v/>
      </c>
      <c r="E788">
        <f>IFERROR(MATCH(785,$B$4:$B$1003,0),"")</f>
        <v/>
      </c>
    </row>
    <row r="789">
      <c r="A789">
        <f>IF(AND(LEN('Vendor COIs'!A289)&gt;0,ISNUMBER('Vendor COIs'!H289)),'Vendor COIs'!H289+786/100000,"")</f>
        <v/>
      </c>
      <c r="B789">
        <f>IF(AND(LEN('Vendor COIs'!A289)&gt;0,ISNUMBER('Vendor COIs'!H289)),MAX($B$3:B788)+1,"")</f>
        <v/>
      </c>
      <c r="E789">
        <f>IFERROR(MATCH(786,$B$4:$B$1003,0),"")</f>
        <v/>
      </c>
    </row>
    <row r="790">
      <c r="A790">
        <f>IF(AND(LEN('Vendor COIs'!A290)&gt;0,ISNUMBER('Vendor COIs'!H290)),'Vendor COIs'!H290+787/100000,"")</f>
        <v/>
      </c>
      <c r="B790">
        <f>IF(AND(LEN('Vendor COIs'!A290)&gt;0,ISNUMBER('Vendor COIs'!H290)),MAX($B$3:B789)+1,"")</f>
        <v/>
      </c>
      <c r="E790">
        <f>IFERROR(MATCH(787,$B$4:$B$1003,0),"")</f>
        <v/>
      </c>
    </row>
    <row r="791">
      <c r="A791">
        <f>IF(AND(LEN('Vendor COIs'!A291)&gt;0,ISNUMBER('Vendor COIs'!H291)),'Vendor COIs'!H291+788/100000,"")</f>
        <v/>
      </c>
      <c r="B791">
        <f>IF(AND(LEN('Vendor COIs'!A291)&gt;0,ISNUMBER('Vendor COIs'!H291)),MAX($B$3:B790)+1,"")</f>
        <v/>
      </c>
      <c r="E791">
        <f>IFERROR(MATCH(788,$B$4:$B$1003,0),"")</f>
        <v/>
      </c>
    </row>
    <row r="792">
      <c r="A792">
        <f>IF(AND(LEN('Vendor COIs'!A292)&gt;0,ISNUMBER('Vendor COIs'!H292)),'Vendor COIs'!H292+789/100000,"")</f>
        <v/>
      </c>
      <c r="B792">
        <f>IF(AND(LEN('Vendor COIs'!A292)&gt;0,ISNUMBER('Vendor COIs'!H292)),MAX($B$3:B791)+1,"")</f>
        <v/>
      </c>
      <c r="E792">
        <f>IFERROR(MATCH(789,$B$4:$B$1003,0),"")</f>
        <v/>
      </c>
    </row>
    <row r="793">
      <c r="A793">
        <f>IF(AND(LEN('Vendor COIs'!A293)&gt;0,ISNUMBER('Vendor COIs'!H293)),'Vendor COIs'!H293+790/100000,"")</f>
        <v/>
      </c>
      <c r="B793">
        <f>IF(AND(LEN('Vendor COIs'!A293)&gt;0,ISNUMBER('Vendor COIs'!H293)),MAX($B$3:B792)+1,"")</f>
        <v/>
      </c>
      <c r="E793">
        <f>IFERROR(MATCH(790,$B$4:$B$1003,0),"")</f>
        <v/>
      </c>
    </row>
    <row r="794">
      <c r="A794">
        <f>IF(AND(LEN('Vendor COIs'!A294)&gt;0,ISNUMBER('Vendor COIs'!H294)),'Vendor COIs'!H294+791/100000,"")</f>
        <v/>
      </c>
      <c r="B794">
        <f>IF(AND(LEN('Vendor COIs'!A294)&gt;0,ISNUMBER('Vendor COIs'!H294)),MAX($B$3:B793)+1,"")</f>
        <v/>
      </c>
      <c r="E794">
        <f>IFERROR(MATCH(791,$B$4:$B$1003,0),"")</f>
        <v/>
      </c>
    </row>
    <row r="795">
      <c r="A795">
        <f>IF(AND(LEN('Vendor COIs'!A295)&gt;0,ISNUMBER('Vendor COIs'!H295)),'Vendor COIs'!H295+792/100000,"")</f>
        <v/>
      </c>
      <c r="B795">
        <f>IF(AND(LEN('Vendor COIs'!A295)&gt;0,ISNUMBER('Vendor COIs'!H295)),MAX($B$3:B794)+1,"")</f>
        <v/>
      </c>
      <c r="E795">
        <f>IFERROR(MATCH(792,$B$4:$B$1003,0),"")</f>
        <v/>
      </c>
    </row>
    <row r="796">
      <c r="A796">
        <f>IF(AND(LEN('Vendor COIs'!A296)&gt;0,ISNUMBER('Vendor COIs'!H296)),'Vendor COIs'!H296+793/100000,"")</f>
        <v/>
      </c>
      <c r="B796">
        <f>IF(AND(LEN('Vendor COIs'!A296)&gt;0,ISNUMBER('Vendor COIs'!H296)),MAX($B$3:B795)+1,"")</f>
        <v/>
      </c>
      <c r="E796">
        <f>IFERROR(MATCH(793,$B$4:$B$1003,0),"")</f>
        <v/>
      </c>
    </row>
    <row r="797">
      <c r="A797">
        <f>IF(AND(LEN('Vendor COIs'!A297)&gt;0,ISNUMBER('Vendor COIs'!H297)),'Vendor COIs'!H297+794/100000,"")</f>
        <v/>
      </c>
      <c r="B797">
        <f>IF(AND(LEN('Vendor COIs'!A297)&gt;0,ISNUMBER('Vendor COIs'!H297)),MAX($B$3:B796)+1,"")</f>
        <v/>
      </c>
      <c r="E797">
        <f>IFERROR(MATCH(794,$B$4:$B$1003,0),"")</f>
        <v/>
      </c>
    </row>
    <row r="798">
      <c r="A798">
        <f>IF(AND(LEN('Vendor COIs'!A298)&gt;0,ISNUMBER('Vendor COIs'!H298)),'Vendor COIs'!H298+795/100000,"")</f>
        <v/>
      </c>
      <c r="B798">
        <f>IF(AND(LEN('Vendor COIs'!A298)&gt;0,ISNUMBER('Vendor COIs'!H298)),MAX($B$3:B797)+1,"")</f>
        <v/>
      </c>
      <c r="E798">
        <f>IFERROR(MATCH(795,$B$4:$B$1003,0),"")</f>
        <v/>
      </c>
    </row>
    <row r="799">
      <c r="A799">
        <f>IF(AND(LEN('Vendor COIs'!A299)&gt;0,ISNUMBER('Vendor COIs'!H299)),'Vendor COIs'!H299+796/100000,"")</f>
        <v/>
      </c>
      <c r="B799">
        <f>IF(AND(LEN('Vendor COIs'!A299)&gt;0,ISNUMBER('Vendor COIs'!H299)),MAX($B$3:B798)+1,"")</f>
        <v/>
      </c>
      <c r="E799">
        <f>IFERROR(MATCH(796,$B$4:$B$1003,0),"")</f>
        <v/>
      </c>
    </row>
    <row r="800">
      <c r="A800">
        <f>IF(AND(LEN('Vendor COIs'!A300)&gt;0,ISNUMBER('Vendor COIs'!H300)),'Vendor COIs'!H300+797/100000,"")</f>
        <v/>
      </c>
      <c r="B800">
        <f>IF(AND(LEN('Vendor COIs'!A300)&gt;0,ISNUMBER('Vendor COIs'!H300)),MAX($B$3:B799)+1,"")</f>
        <v/>
      </c>
      <c r="E800">
        <f>IFERROR(MATCH(797,$B$4:$B$1003,0),"")</f>
        <v/>
      </c>
    </row>
    <row r="801">
      <c r="A801">
        <f>IF(AND(LEN('Vendor COIs'!A301)&gt;0,ISNUMBER('Vendor COIs'!H301)),'Vendor COIs'!H301+798/100000,"")</f>
        <v/>
      </c>
      <c r="B801">
        <f>IF(AND(LEN('Vendor COIs'!A301)&gt;0,ISNUMBER('Vendor COIs'!H301)),MAX($B$3:B800)+1,"")</f>
        <v/>
      </c>
      <c r="E801">
        <f>IFERROR(MATCH(798,$B$4:$B$1003,0),"")</f>
        <v/>
      </c>
    </row>
    <row r="802">
      <c r="A802">
        <f>IF(AND(LEN('Vendor COIs'!A302)&gt;0,ISNUMBER('Vendor COIs'!H302)),'Vendor COIs'!H302+799/100000,"")</f>
        <v/>
      </c>
      <c r="B802">
        <f>IF(AND(LEN('Vendor COIs'!A302)&gt;0,ISNUMBER('Vendor COIs'!H302)),MAX($B$3:B801)+1,"")</f>
        <v/>
      </c>
      <c r="E802">
        <f>IFERROR(MATCH(799,$B$4:$B$1003,0),"")</f>
        <v/>
      </c>
    </row>
    <row r="803">
      <c r="A803">
        <f>IF(AND(LEN('Vendor COIs'!A303)&gt;0,ISNUMBER('Vendor COIs'!H303)),'Vendor COIs'!H303+800/100000,"")</f>
        <v/>
      </c>
      <c r="B803">
        <f>IF(AND(LEN('Vendor COIs'!A303)&gt;0,ISNUMBER('Vendor COIs'!H303)),MAX($B$3:B802)+1,"")</f>
        <v/>
      </c>
      <c r="E803">
        <f>IFERROR(MATCH(800,$B$4:$B$1003,0),"")</f>
        <v/>
      </c>
    </row>
    <row r="804">
      <c r="A804">
        <f>IF(AND(LEN('Vendor COIs'!A304)&gt;0,ISNUMBER('Vendor COIs'!H304)),'Vendor COIs'!H304+801/100000,"")</f>
        <v/>
      </c>
      <c r="B804">
        <f>IF(AND(LEN('Vendor COIs'!A304)&gt;0,ISNUMBER('Vendor COIs'!H304)),MAX($B$3:B803)+1,"")</f>
        <v/>
      </c>
      <c r="E804">
        <f>IFERROR(MATCH(801,$B$4:$B$1003,0),"")</f>
        <v/>
      </c>
    </row>
    <row r="805">
      <c r="A805">
        <f>IF(AND(LEN('Vendor COIs'!A305)&gt;0,ISNUMBER('Vendor COIs'!H305)),'Vendor COIs'!H305+802/100000,"")</f>
        <v/>
      </c>
      <c r="B805">
        <f>IF(AND(LEN('Vendor COIs'!A305)&gt;0,ISNUMBER('Vendor COIs'!H305)),MAX($B$3:B804)+1,"")</f>
        <v/>
      </c>
      <c r="E805">
        <f>IFERROR(MATCH(802,$B$4:$B$1003,0),"")</f>
        <v/>
      </c>
    </row>
    <row r="806">
      <c r="A806">
        <f>IF(AND(LEN('Vendor COIs'!A306)&gt;0,ISNUMBER('Vendor COIs'!H306)),'Vendor COIs'!H306+803/100000,"")</f>
        <v/>
      </c>
      <c r="B806">
        <f>IF(AND(LEN('Vendor COIs'!A306)&gt;0,ISNUMBER('Vendor COIs'!H306)),MAX($B$3:B805)+1,"")</f>
        <v/>
      </c>
      <c r="E806">
        <f>IFERROR(MATCH(803,$B$4:$B$1003,0),"")</f>
        <v/>
      </c>
    </row>
    <row r="807">
      <c r="A807">
        <f>IF(AND(LEN('Vendor COIs'!A307)&gt;0,ISNUMBER('Vendor COIs'!H307)),'Vendor COIs'!H307+804/100000,"")</f>
        <v/>
      </c>
      <c r="B807">
        <f>IF(AND(LEN('Vendor COIs'!A307)&gt;0,ISNUMBER('Vendor COIs'!H307)),MAX($B$3:B806)+1,"")</f>
        <v/>
      </c>
      <c r="E807">
        <f>IFERROR(MATCH(804,$B$4:$B$1003,0),"")</f>
        <v/>
      </c>
    </row>
    <row r="808">
      <c r="A808">
        <f>IF(AND(LEN('Vendor COIs'!A308)&gt;0,ISNUMBER('Vendor COIs'!H308)),'Vendor COIs'!H308+805/100000,"")</f>
        <v/>
      </c>
      <c r="B808">
        <f>IF(AND(LEN('Vendor COIs'!A308)&gt;0,ISNUMBER('Vendor COIs'!H308)),MAX($B$3:B807)+1,"")</f>
        <v/>
      </c>
      <c r="E808">
        <f>IFERROR(MATCH(805,$B$4:$B$1003,0),"")</f>
        <v/>
      </c>
    </row>
    <row r="809">
      <c r="A809">
        <f>IF(AND(LEN('Vendor COIs'!A309)&gt;0,ISNUMBER('Vendor COIs'!H309)),'Vendor COIs'!H309+806/100000,"")</f>
        <v/>
      </c>
      <c r="B809">
        <f>IF(AND(LEN('Vendor COIs'!A309)&gt;0,ISNUMBER('Vendor COIs'!H309)),MAX($B$3:B808)+1,"")</f>
        <v/>
      </c>
      <c r="E809">
        <f>IFERROR(MATCH(806,$B$4:$B$1003,0),"")</f>
        <v/>
      </c>
    </row>
    <row r="810">
      <c r="A810">
        <f>IF(AND(LEN('Vendor COIs'!A310)&gt;0,ISNUMBER('Vendor COIs'!H310)),'Vendor COIs'!H310+807/100000,"")</f>
        <v/>
      </c>
      <c r="B810">
        <f>IF(AND(LEN('Vendor COIs'!A310)&gt;0,ISNUMBER('Vendor COIs'!H310)),MAX($B$3:B809)+1,"")</f>
        <v/>
      </c>
      <c r="E810">
        <f>IFERROR(MATCH(807,$B$4:$B$1003,0),"")</f>
        <v/>
      </c>
    </row>
    <row r="811">
      <c r="A811">
        <f>IF(AND(LEN('Vendor COIs'!A311)&gt;0,ISNUMBER('Vendor COIs'!H311)),'Vendor COIs'!H311+808/100000,"")</f>
        <v/>
      </c>
      <c r="B811">
        <f>IF(AND(LEN('Vendor COIs'!A311)&gt;0,ISNUMBER('Vendor COIs'!H311)),MAX($B$3:B810)+1,"")</f>
        <v/>
      </c>
      <c r="E811">
        <f>IFERROR(MATCH(808,$B$4:$B$1003,0),"")</f>
        <v/>
      </c>
    </row>
    <row r="812">
      <c r="A812">
        <f>IF(AND(LEN('Vendor COIs'!A312)&gt;0,ISNUMBER('Vendor COIs'!H312)),'Vendor COIs'!H312+809/100000,"")</f>
        <v/>
      </c>
      <c r="B812">
        <f>IF(AND(LEN('Vendor COIs'!A312)&gt;0,ISNUMBER('Vendor COIs'!H312)),MAX($B$3:B811)+1,"")</f>
        <v/>
      </c>
      <c r="E812">
        <f>IFERROR(MATCH(809,$B$4:$B$1003,0),"")</f>
        <v/>
      </c>
    </row>
    <row r="813">
      <c r="A813">
        <f>IF(AND(LEN('Vendor COIs'!A313)&gt;0,ISNUMBER('Vendor COIs'!H313)),'Vendor COIs'!H313+810/100000,"")</f>
        <v/>
      </c>
      <c r="B813">
        <f>IF(AND(LEN('Vendor COIs'!A313)&gt;0,ISNUMBER('Vendor COIs'!H313)),MAX($B$3:B812)+1,"")</f>
        <v/>
      </c>
      <c r="E813">
        <f>IFERROR(MATCH(810,$B$4:$B$1003,0),"")</f>
        <v/>
      </c>
    </row>
    <row r="814">
      <c r="A814">
        <f>IF(AND(LEN('Vendor COIs'!A314)&gt;0,ISNUMBER('Vendor COIs'!H314)),'Vendor COIs'!H314+811/100000,"")</f>
        <v/>
      </c>
      <c r="B814">
        <f>IF(AND(LEN('Vendor COIs'!A314)&gt;0,ISNUMBER('Vendor COIs'!H314)),MAX($B$3:B813)+1,"")</f>
        <v/>
      </c>
      <c r="E814">
        <f>IFERROR(MATCH(811,$B$4:$B$1003,0),"")</f>
        <v/>
      </c>
    </row>
    <row r="815">
      <c r="A815">
        <f>IF(AND(LEN('Vendor COIs'!A315)&gt;0,ISNUMBER('Vendor COIs'!H315)),'Vendor COIs'!H315+812/100000,"")</f>
        <v/>
      </c>
      <c r="B815">
        <f>IF(AND(LEN('Vendor COIs'!A315)&gt;0,ISNUMBER('Vendor COIs'!H315)),MAX($B$3:B814)+1,"")</f>
        <v/>
      </c>
      <c r="E815">
        <f>IFERROR(MATCH(812,$B$4:$B$1003,0),"")</f>
        <v/>
      </c>
    </row>
    <row r="816">
      <c r="A816">
        <f>IF(AND(LEN('Vendor COIs'!A316)&gt;0,ISNUMBER('Vendor COIs'!H316)),'Vendor COIs'!H316+813/100000,"")</f>
        <v/>
      </c>
      <c r="B816">
        <f>IF(AND(LEN('Vendor COIs'!A316)&gt;0,ISNUMBER('Vendor COIs'!H316)),MAX($B$3:B815)+1,"")</f>
        <v/>
      </c>
      <c r="E816">
        <f>IFERROR(MATCH(813,$B$4:$B$1003,0),"")</f>
        <v/>
      </c>
    </row>
    <row r="817">
      <c r="A817">
        <f>IF(AND(LEN('Vendor COIs'!A317)&gt;0,ISNUMBER('Vendor COIs'!H317)),'Vendor COIs'!H317+814/100000,"")</f>
        <v/>
      </c>
      <c r="B817">
        <f>IF(AND(LEN('Vendor COIs'!A317)&gt;0,ISNUMBER('Vendor COIs'!H317)),MAX($B$3:B816)+1,"")</f>
        <v/>
      </c>
      <c r="E817">
        <f>IFERROR(MATCH(814,$B$4:$B$1003,0),"")</f>
        <v/>
      </c>
    </row>
    <row r="818">
      <c r="A818">
        <f>IF(AND(LEN('Vendor COIs'!A318)&gt;0,ISNUMBER('Vendor COIs'!H318)),'Vendor COIs'!H318+815/100000,"")</f>
        <v/>
      </c>
      <c r="B818">
        <f>IF(AND(LEN('Vendor COIs'!A318)&gt;0,ISNUMBER('Vendor COIs'!H318)),MAX($B$3:B817)+1,"")</f>
        <v/>
      </c>
      <c r="E818">
        <f>IFERROR(MATCH(815,$B$4:$B$1003,0),"")</f>
        <v/>
      </c>
    </row>
    <row r="819">
      <c r="A819">
        <f>IF(AND(LEN('Vendor COIs'!A319)&gt;0,ISNUMBER('Vendor COIs'!H319)),'Vendor COIs'!H319+816/100000,"")</f>
        <v/>
      </c>
      <c r="B819">
        <f>IF(AND(LEN('Vendor COIs'!A319)&gt;0,ISNUMBER('Vendor COIs'!H319)),MAX($B$3:B818)+1,"")</f>
        <v/>
      </c>
      <c r="E819">
        <f>IFERROR(MATCH(816,$B$4:$B$1003,0),"")</f>
        <v/>
      </c>
    </row>
    <row r="820">
      <c r="A820">
        <f>IF(AND(LEN('Vendor COIs'!A320)&gt;0,ISNUMBER('Vendor COIs'!H320)),'Vendor COIs'!H320+817/100000,"")</f>
        <v/>
      </c>
      <c r="B820">
        <f>IF(AND(LEN('Vendor COIs'!A320)&gt;0,ISNUMBER('Vendor COIs'!H320)),MAX($B$3:B819)+1,"")</f>
        <v/>
      </c>
      <c r="E820">
        <f>IFERROR(MATCH(817,$B$4:$B$1003,0),"")</f>
        <v/>
      </c>
    </row>
    <row r="821">
      <c r="A821">
        <f>IF(AND(LEN('Vendor COIs'!A321)&gt;0,ISNUMBER('Vendor COIs'!H321)),'Vendor COIs'!H321+818/100000,"")</f>
        <v/>
      </c>
      <c r="B821">
        <f>IF(AND(LEN('Vendor COIs'!A321)&gt;0,ISNUMBER('Vendor COIs'!H321)),MAX($B$3:B820)+1,"")</f>
        <v/>
      </c>
      <c r="E821">
        <f>IFERROR(MATCH(818,$B$4:$B$1003,0),"")</f>
        <v/>
      </c>
    </row>
    <row r="822">
      <c r="A822">
        <f>IF(AND(LEN('Vendor COIs'!A322)&gt;0,ISNUMBER('Vendor COIs'!H322)),'Vendor COIs'!H322+819/100000,"")</f>
        <v/>
      </c>
      <c r="B822">
        <f>IF(AND(LEN('Vendor COIs'!A322)&gt;0,ISNUMBER('Vendor COIs'!H322)),MAX($B$3:B821)+1,"")</f>
        <v/>
      </c>
      <c r="E822">
        <f>IFERROR(MATCH(819,$B$4:$B$1003,0),"")</f>
        <v/>
      </c>
    </row>
    <row r="823">
      <c r="A823">
        <f>IF(AND(LEN('Vendor COIs'!A323)&gt;0,ISNUMBER('Vendor COIs'!H323)),'Vendor COIs'!H323+820/100000,"")</f>
        <v/>
      </c>
      <c r="B823">
        <f>IF(AND(LEN('Vendor COIs'!A323)&gt;0,ISNUMBER('Vendor COIs'!H323)),MAX($B$3:B822)+1,"")</f>
        <v/>
      </c>
      <c r="E823">
        <f>IFERROR(MATCH(820,$B$4:$B$1003,0),"")</f>
        <v/>
      </c>
    </row>
    <row r="824">
      <c r="A824">
        <f>IF(AND(LEN('Vendor COIs'!A324)&gt;0,ISNUMBER('Vendor COIs'!H324)),'Vendor COIs'!H324+821/100000,"")</f>
        <v/>
      </c>
      <c r="B824">
        <f>IF(AND(LEN('Vendor COIs'!A324)&gt;0,ISNUMBER('Vendor COIs'!H324)),MAX($B$3:B823)+1,"")</f>
        <v/>
      </c>
      <c r="E824">
        <f>IFERROR(MATCH(821,$B$4:$B$1003,0),"")</f>
        <v/>
      </c>
    </row>
    <row r="825">
      <c r="A825">
        <f>IF(AND(LEN('Vendor COIs'!A325)&gt;0,ISNUMBER('Vendor COIs'!H325)),'Vendor COIs'!H325+822/100000,"")</f>
        <v/>
      </c>
      <c r="B825">
        <f>IF(AND(LEN('Vendor COIs'!A325)&gt;0,ISNUMBER('Vendor COIs'!H325)),MAX($B$3:B824)+1,"")</f>
        <v/>
      </c>
      <c r="E825">
        <f>IFERROR(MATCH(822,$B$4:$B$1003,0),"")</f>
        <v/>
      </c>
    </row>
    <row r="826">
      <c r="A826">
        <f>IF(AND(LEN('Vendor COIs'!A326)&gt;0,ISNUMBER('Vendor COIs'!H326)),'Vendor COIs'!H326+823/100000,"")</f>
        <v/>
      </c>
      <c r="B826">
        <f>IF(AND(LEN('Vendor COIs'!A326)&gt;0,ISNUMBER('Vendor COIs'!H326)),MAX($B$3:B825)+1,"")</f>
        <v/>
      </c>
      <c r="E826">
        <f>IFERROR(MATCH(823,$B$4:$B$1003,0),"")</f>
        <v/>
      </c>
    </row>
    <row r="827">
      <c r="A827">
        <f>IF(AND(LEN('Vendor COIs'!A327)&gt;0,ISNUMBER('Vendor COIs'!H327)),'Vendor COIs'!H327+824/100000,"")</f>
        <v/>
      </c>
      <c r="B827">
        <f>IF(AND(LEN('Vendor COIs'!A327)&gt;0,ISNUMBER('Vendor COIs'!H327)),MAX($B$3:B826)+1,"")</f>
        <v/>
      </c>
      <c r="E827">
        <f>IFERROR(MATCH(824,$B$4:$B$1003,0),"")</f>
        <v/>
      </c>
    </row>
    <row r="828">
      <c r="A828">
        <f>IF(AND(LEN('Vendor COIs'!A328)&gt;0,ISNUMBER('Vendor COIs'!H328)),'Vendor COIs'!H328+825/100000,"")</f>
        <v/>
      </c>
      <c r="B828">
        <f>IF(AND(LEN('Vendor COIs'!A328)&gt;0,ISNUMBER('Vendor COIs'!H328)),MAX($B$3:B827)+1,"")</f>
        <v/>
      </c>
      <c r="E828">
        <f>IFERROR(MATCH(825,$B$4:$B$1003,0),"")</f>
        <v/>
      </c>
    </row>
    <row r="829">
      <c r="A829">
        <f>IF(AND(LEN('Vendor COIs'!A329)&gt;0,ISNUMBER('Vendor COIs'!H329)),'Vendor COIs'!H329+826/100000,"")</f>
        <v/>
      </c>
      <c r="B829">
        <f>IF(AND(LEN('Vendor COIs'!A329)&gt;0,ISNUMBER('Vendor COIs'!H329)),MAX($B$3:B828)+1,"")</f>
        <v/>
      </c>
      <c r="E829">
        <f>IFERROR(MATCH(826,$B$4:$B$1003,0),"")</f>
        <v/>
      </c>
    </row>
    <row r="830">
      <c r="A830">
        <f>IF(AND(LEN('Vendor COIs'!A330)&gt;0,ISNUMBER('Vendor COIs'!H330)),'Vendor COIs'!H330+827/100000,"")</f>
        <v/>
      </c>
      <c r="B830">
        <f>IF(AND(LEN('Vendor COIs'!A330)&gt;0,ISNUMBER('Vendor COIs'!H330)),MAX($B$3:B829)+1,"")</f>
        <v/>
      </c>
      <c r="E830">
        <f>IFERROR(MATCH(827,$B$4:$B$1003,0),"")</f>
        <v/>
      </c>
    </row>
    <row r="831">
      <c r="A831">
        <f>IF(AND(LEN('Vendor COIs'!A331)&gt;0,ISNUMBER('Vendor COIs'!H331)),'Vendor COIs'!H331+828/100000,"")</f>
        <v/>
      </c>
      <c r="B831">
        <f>IF(AND(LEN('Vendor COIs'!A331)&gt;0,ISNUMBER('Vendor COIs'!H331)),MAX($B$3:B830)+1,"")</f>
        <v/>
      </c>
      <c r="E831">
        <f>IFERROR(MATCH(828,$B$4:$B$1003,0),"")</f>
        <v/>
      </c>
    </row>
    <row r="832">
      <c r="A832">
        <f>IF(AND(LEN('Vendor COIs'!A332)&gt;0,ISNUMBER('Vendor COIs'!H332)),'Vendor COIs'!H332+829/100000,"")</f>
        <v/>
      </c>
      <c r="B832">
        <f>IF(AND(LEN('Vendor COIs'!A332)&gt;0,ISNUMBER('Vendor COIs'!H332)),MAX($B$3:B831)+1,"")</f>
        <v/>
      </c>
      <c r="E832">
        <f>IFERROR(MATCH(829,$B$4:$B$1003,0),"")</f>
        <v/>
      </c>
    </row>
    <row r="833">
      <c r="A833">
        <f>IF(AND(LEN('Vendor COIs'!A333)&gt;0,ISNUMBER('Vendor COIs'!H333)),'Vendor COIs'!H333+830/100000,"")</f>
        <v/>
      </c>
      <c r="B833">
        <f>IF(AND(LEN('Vendor COIs'!A333)&gt;0,ISNUMBER('Vendor COIs'!H333)),MAX($B$3:B832)+1,"")</f>
        <v/>
      </c>
      <c r="E833">
        <f>IFERROR(MATCH(830,$B$4:$B$1003,0),"")</f>
        <v/>
      </c>
    </row>
    <row r="834">
      <c r="A834">
        <f>IF(AND(LEN('Vendor COIs'!A334)&gt;0,ISNUMBER('Vendor COIs'!H334)),'Vendor COIs'!H334+831/100000,"")</f>
        <v/>
      </c>
      <c r="B834">
        <f>IF(AND(LEN('Vendor COIs'!A334)&gt;0,ISNUMBER('Vendor COIs'!H334)),MAX($B$3:B833)+1,"")</f>
        <v/>
      </c>
      <c r="E834">
        <f>IFERROR(MATCH(831,$B$4:$B$1003,0),"")</f>
        <v/>
      </c>
    </row>
    <row r="835">
      <c r="A835">
        <f>IF(AND(LEN('Vendor COIs'!A335)&gt;0,ISNUMBER('Vendor COIs'!H335)),'Vendor COIs'!H335+832/100000,"")</f>
        <v/>
      </c>
      <c r="B835">
        <f>IF(AND(LEN('Vendor COIs'!A335)&gt;0,ISNUMBER('Vendor COIs'!H335)),MAX($B$3:B834)+1,"")</f>
        <v/>
      </c>
      <c r="E835">
        <f>IFERROR(MATCH(832,$B$4:$B$1003,0),"")</f>
        <v/>
      </c>
    </row>
    <row r="836">
      <c r="A836">
        <f>IF(AND(LEN('Vendor COIs'!A336)&gt;0,ISNUMBER('Vendor COIs'!H336)),'Vendor COIs'!H336+833/100000,"")</f>
        <v/>
      </c>
      <c r="B836">
        <f>IF(AND(LEN('Vendor COIs'!A336)&gt;0,ISNUMBER('Vendor COIs'!H336)),MAX($B$3:B835)+1,"")</f>
        <v/>
      </c>
      <c r="E836">
        <f>IFERROR(MATCH(833,$B$4:$B$1003,0),"")</f>
        <v/>
      </c>
    </row>
    <row r="837">
      <c r="A837">
        <f>IF(AND(LEN('Vendor COIs'!A337)&gt;0,ISNUMBER('Vendor COIs'!H337)),'Vendor COIs'!H337+834/100000,"")</f>
        <v/>
      </c>
      <c r="B837">
        <f>IF(AND(LEN('Vendor COIs'!A337)&gt;0,ISNUMBER('Vendor COIs'!H337)),MAX($B$3:B836)+1,"")</f>
        <v/>
      </c>
      <c r="E837">
        <f>IFERROR(MATCH(834,$B$4:$B$1003,0),"")</f>
        <v/>
      </c>
    </row>
    <row r="838">
      <c r="A838">
        <f>IF(AND(LEN('Vendor COIs'!A338)&gt;0,ISNUMBER('Vendor COIs'!H338)),'Vendor COIs'!H338+835/100000,"")</f>
        <v/>
      </c>
      <c r="B838">
        <f>IF(AND(LEN('Vendor COIs'!A338)&gt;0,ISNUMBER('Vendor COIs'!H338)),MAX($B$3:B837)+1,"")</f>
        <v/>
      </c>
      <c r="E838">
        <f>IFERROR(MATCH(835,$B$4:$B$1003,0),"")</f>
        <v/>
      </c>
    </row>
    <row r="839">
      <c r="A839">
        <f>IF(AND(LEN('Vendor COIs'!A339)&gt;0,ISNUMBER('Vendor COIs'!H339)),'Vendor COIs'!H339+836/100000,"")</f>
        <v/>
      </c>
      <c r="B839">
        <f>IF(AND(LEN('Vendor COIs'!A339)&gt;0,ISNUMBER('Vendor COIs'!H339)),MAX($B$3:B838)+1,"")</f>
        <v/>
      </c>
      <c r="E839">
        <f>IFERROR(MATCH(836,$B$4:$B$1003,0),"")</f>
        <v/>
      </c>
    </row>
    <row r="840">
      <c r="A840">
        <f>IF(AND(LEN('Vendor COIs'!A340)&gt;0,ISNUMBER('Vendor COIs'!H340)),'Vendor COIs'!H340+837/100000,"")</f>
        <v/>
      </c>
      <c r="B840">
        <f>IF(AND(LEN('Vendor COIs'!A340)&gt;0,ISNUMBER('Vendor COIs'!H340)),MAX($B$3:B839)+1,"")</f>
        <v/>
      </c>
      <c r="E840">
        <f>IFERROR(MATCH(837,$B$4:$B$1003,0),"")</f>
        <v/>
      </c>
    </row>
    <row r="841">
      <c r="A841">
        <f>IF(AND(LEN('Vendor COIs'!A341)&gt;0,ISNUMBER('Vendor COIs'!H341)),'Vendor COIs'!H341+838/100000,"")</f>
        <v/>
      </c>
      <c r="B841">
        <f>IF(AND(LEN('Vendor COIs'!A341)&gt;0,ISNUMBER('Vendor COIs'!H341)),MAX($B$3:B840)+1,"")</f>
        <v/>
      </c>
      <c r="E841">
        <f>IFERROR(MATCH(838,$B$4:$B$1003,0),"")</f>
        <v/>
      </c>
    </row>
    <row r="842">
      <c r="A842">
        <f>IF(AND(LEN('Vendor COIs'!A342)&gt;0,ISNUMBER('Vendor COIs'!H342)),'Vendor COIs'!H342+839/100000,"")</f>
        <v/>
      </c>
      <c r="B842">
        <f>IF(AND(LEN('Vendor COIs'!A342)&gt;0,ISNUMBER('Vendor COIs'!H342)),MAX($B$3:B841)+1,"")</f>
        <v/>
      </c>
      <c r="E842">
        <f>IFERROR(MATCH(839,$B$4:$B$1003,0),"")</f>
        <v/>
      </c>
    </row>
    <row r="843">
      <c r="A843">
        <f>IF(AND(LEN('Vendor COIs'!A343)&gt;0,ISNUMBER('Vendor COIs'!H343)),'Vendor COIs'!H343+840/100000,"")</f>
        <v/>
      </c>
      <c r="B843">
        <f>IF(AND(LEN('Vendor COIs'!A343)&gt;0,ISNUMBER('Vendor COIs'!H343)),MAX($B$3:B842)+1,"")</f>
        <v/>
      </c>
      <c r="E843">
        <f>IFERROR(MATCH(840,$B$4:$B$1003,0),"")</f>
        <v/>
      </c>
    </row>
    <row r="844">
      <c r="A844">
        <f>IF(AND(LEN('Vendor COIs'!A344)&gt;0,ISNUMBER('Vendor COIs'!H344)),'Vendor COIs'!H344+841/100000,"")</f>
        <v/>
      </c>
      <c r="B844">
        <f>IF(AND(LEN('Vendor COIs'!A344)&gt;0,ISNUMBER('Vendor COIs'!H344)),MAX($B$3:B843)+1,"")</f>
        <v/>
      </c>
      <c r="E844">
        <f>IFERROR(MATCH(841,$B$4:$B$1003,0),"")</f>
        <v/>
      </c>
    </row>
    <row r="845">
      <c r="A845">
        <f>IF(AND(LEN('Vendor COIs'!A345)&gt;0,ISNUMBER('Vendor COIs'!H345)),'Vendor COIs'!H345+842/100000,"")</f>
        <v/>
      </c>
      <c r="B845">
        <f>IF(AND(LEN('Vendor COIs'!A345)&gt;0,ISNUMBER('Vendor COIs'!H345)),MAX($B$3:B844)+1,"")</f>
        <v/>
      </c>
      <c r="E845">
        <f>IFERROR(MATCH(842,$B$4:$B$1003,0),"")</f>
        <v/>
      </c>
    </row>
    <row r="846">
      <c r="A846">
        <f>IF(AND(LEN('Vendor COIs'!A346)&gt;0,ISNUMBER('Vendor COIs'!H346)),'Vendor COIs'!H346+843/100000,"")</f>
        <v/>
      </c>
      <c r="B846">
        <f>IF(AND(LEN('Vendor COIs'!A346)&gt;0,ISNUMBER('Vendor COIs'!H346)),MAX($B$3:B845)+1,"")</f>
        <v/>
      </c>
      <c r="E846">
        <f>IFERROR(MATCH(843,$B$4:$B$1003,0),"")</f>
        <v/>
      </c>
    </row>
    <row r="847">
      <c r="A847">
        <f>IF(AND(LEN('Vendor COIs'!A347)&gt;0,ISNUMBER('Vendor COIs'!H347)),'Vendor COIs'!H347+844/100000,"")</f>
        <v/>
      </c>
      <c r="B847">
        <f>IF(AND(LEN('Vendor COIs'!A347)&gt;0,ISNUMBER('Vendor COIs'!H347)),MAX($B$3:B846)+1,"")</f>
        <v/>
      </c>
      <c r="E847">
        <f>IFERROR(MATCH(844,$B$4:$B$1003,0),"")</f>
        <v/>
      </c>
    </row>
    <row r="848">
      <c r="A848">
        <f>IF(AND(LEN('Vendor COIs'!A348)&gt;0,ISNUMBER('Vendor COIs'!H348)),'Vendor COIs'!H348+845/100000,"")</f>
        <v/>
      </c>
      <c r="B848">
        <f>IF(AND(LEN('Vendor COIs'!A348)&gt;0,ISNUMBER('Vendor COIs'!H348)),MAX($B$3:B847)+1,"")</f>
        <v/>
      </c>
      <c r="E848">
        <f>IFERROR(MATCH(845,$B$4:$B$1003,0),"")</f>
        <v/>
      </c>
    </row>
    <row r="849">
      <c r="A849">
        <f>IF(AND(LEN('Vendor COIs'!A349)&gt;0,ISNUMBER('Vendor COIs'!H349)),'Vendor COIs'!H349+846/100000,"")</f>
        <v/>
      </c>
      <c r="B849">
        <f>IF(AND(LEN('Vendor COIs'!A349)&gt;0,ISNUMBER('Vendor COIs'!H349)),MAX($B$3:B848)+1,"")</f>
        <v/>
      </c>
      <c r="E849">
        <f>IFERROR(MATCH(846,$B$4:$B$1003,0),"")</f>
        <v/>
      </c>
    </row>
    <row r="850">
      <c r="A850">
        <f>IF(AND(LEN('Vendor COIs'!A350)&gt;0,ISNUMBER('Vendor COIs'!H350)),'Vendor COIs'!H350+847/100000,"")</f>
        <v/>
      </c>
      <c r="B850">
        <f>IF(AND(LEN('Vendor COIs'!A350)&gt;0,ISNUMBER('Vendor COIs'!H350)),MAX($B$3:B849)+1,"")</f>
        <v/>
      </c>
      <c r="E850">
        <f>IFERROR(MATCH(847,$B$4:$B$1003,0),"")</f>
        <v/>
      </c>
    </row>
    <row r="851">
      <c r="A851">
        <f>IF(AND(LEN('Vendor COIs'!A351)&gt;0,ISNUMBER('Vendor COIs'!H351)),'Vendor COIs'!H351+848/100000,"")</f>
        <v/>
      </c>
      <c r="B851">
        <f>IF(AND(LEN('Vendor COIs'!A351)&gt;0,ISNUMBER('Vendor COIs'!H351)),MAX($B$3:B850)+1,"")</f>
        <v/>
      </c>
      <c r="E851">
        <f>IFERROR(MATCH(848,$B$4:$B$1003,0),"")</f>
        <v/>
      </c>
    </row>
    <row r="852">
      <c r="A852">
        <f>IF(AND(LEN('Vendor COIs'!A352)&gt;0,ISNUMBER('Vendor COIs'!H352)),'Vendor COIs'!H352+849/100000,"")</f>
        <v/>
      </c>
      <c r="B852">
        <f>IF(AND(LEN('Vendor COIs'!A352)&gt;0,ISNUMBER('Vendor COIs'!H352)),MAX($B$3:B851)+1,"")</f>
        <v/>
      </c>
      <c r="E852">
        <f>IFERROR(MATCH(849,$B$4:$B$1003,0),"")</f>
        <v/>
      </c>
    </row>
    <row r="853">
      <c r="A853">
        <f>IF(AND(LEN('Vendor COIs'!A353)&gt;0,ISNUMBER('Vendor COIs'!H353)),'Vendor COIs'!H353+850/100000,"")</f>
        <v/>
      </c>
      <c r="B853">
        <f>IF(AND(LEN('Vendor COIs'!A353)&gt;0,ISNUMBER('Vendor COIs'!H353)),MAX($B$3:B852)+1,"")</f>
        <v/>
      </c>
      <c r="E853">
        <f>IFERROR(MATCH(850,$B$4:$B$1003,0),"")</f>
        <v/>
      </c>
    </row>
    <row r="854">
      <c r="A854">
        <f>IF(AND(LEN('Vendor COIs'!A354)&gt;0,ISNUMBER('Vendor COIs'!H354)),'Vendor COIs'!H354+851/100000,"")</f>
        <v/>
      </c>
      <c r="B854">
        <f>IF(AND(LEN('Vendor COIs'!A354)&gt;0,ISNUMBER('Vendor COIs'!H354)),MAX($B$3:B853)+1,"")</f>
        <v/>
      </c>
      <c r="E854">
        <f>IFERROR(MATCH(851,$B$4:$B$1003,0),"")</f>
        <v/>
      </c>
    </row>
    <row r="855">
      <c r="A855">
        <f>IF(AND(LEN('Vendor COIs'!A355)&gt;0,ISNUMBER('Vendor COIs'!H355)),'Vendor COIs'!H355+852/100000,"")</f>
        <v/>
      </c>
      <c r="B855">
        <f>IF(AND(LEN('Vendor COIs'!A355)&gt;0,ISNUMBER('Vendor COIs'!H355)),MAX($B$3:B854)+1,"")</f>
        <v/>
      </c>
      <c r="E855">
        <f>IFERROR(MATCH(852,$B$4:$B$1003,0),"")</f>
        <v/>
      </c>
    </row>
    <row r="856">
      <c r="A856">
        <f>IF(AND(LEN('Vendor COIs'!A356)&gt;0,ISNUMBER('Vendor COIs'!H356)),'Vendor COIs'!H356+853/100000,"")</f>
        <v/>
      </c>
      <c r="B856">
        <f>IF(AND(LEN('Vendor COIs'!A356)&gt;0,ISNUMBER('Vendor COIs'!H356)),MAX($B$3:B855)+1,"")</f>
        <v/>
      </c>
      <c r="E856">
        <f>IFERROR(MATCH(853,$B$4:$B$1003,0),"")</f>
        <v/>
      </c>
    </row>
    <row r="857">
      <c r="A857">
        <f>IF(AND(LEN('Vendor COIs'!A357)&gt;0,ISNUMBER('Vendor COIs'!H357)),'Vendor COIs'!H357+854/100000,"")</f>
        <v/>
      </c>
      <c r="B857">
        <f>IF(AND(LEN('Vendor COIs'!A357)&gt;0,ISNUMBER('Vendor COIs'!H357)),MAX($B$3:B856)+1,"")</f>
        <v/>
      </c>
      <c r="E857">
        <f>IFERROR(MATCH(854,$B$4:$B$1003,0),"")</f>
        <v/>
      </c>
    </row>
    <row r="858">
      <c r="A858">
        <f>IF(AND(LEN('Vendor COIs'!A358)&gt;0,ISNUMBER('Vendor COIs'!H358)),'Vendor COIs'!H358+855/100000,"")</f>
        <v/>
      </c>
      <c r="B858">
        <f>IF(AND(LEN('Vendor COIs'!A358)&gt;0,ISNUMBER('Vendor COIs'!H358)),MAX($B$3:B857)+1,"")</f>
        <v/>
      </c>
      <c r="E858">
        <f>IFERROR(MATCH(855,$B$4:$B$1003,0),"")</f>
        <v/>
      </c>
    </row>
    <row r="859">
      <c r="A859">
        <f>IF(AND(LEN('Vendor COIs'!A359)&gt;0,ISNUMBER('Vendor COIs'!H359)),'Vendor COIs'!H359+856/100000,"")</f>
        <v/>
      </c>
      <c r="B859">
        <f>IF(AND(LEN('Vendor COIs'!A359)&gt;0,ISNUMBER('Vendor COIs'!H359)),MAX($B$3:B858)+1,"")</f>
        <v/>
      </c>
      <c r="E859">
        <f>IFERROR(MATCH(856,$B$4:$B$1003,0),"")</f>
        <v/>
      </c>
    </row>
    <row r="860">
      <c r="A860">
        <f>IF(AND(LEN('Vendor COIs'!A360)&gt;0,ISNUMBER('Vendor COIs'!H360)),'Vendor COIs'!H360+857/100000,"")</f>
        <v/>
      </c>
      <c r="B860">
        <f>IF(AND(LEN('Vendor COIs'!A360)&gt;0,ISNUMBER('Vendor COIs'!H360)),MAX($B$3:B859)+1,"")</f>
        <v/>
      </c>
      <c r="E860">
        <f>IFERROR(MATCH(857,$B$4:$B$1003,0),"")</f>
        <v/>
      </c>
    </row>
    <row r="861">
      <c r="A861">
        <f>IF(AND(LEN('Vendor COIs'!A361)&gt;0,ISNUMBER('Vendor COIs'!H361)),'Vendor COIs'!H361+858/100000,"")</f>
        <v/>
      </c>
      <c r="B861">
        <f>IF(AND(LEN('Vendor COIs'!A361)&gt;0,ISNUMBER('Vendor COIs'!H361)),MAX($B$3:B860)+1,"")</f>
        <v/>
      </c>
      <c r="E861">
        <f>IFERROR(MATCH(858,$B$4:$B$1003,0),"")</f>
        <v/>
      </c>
    </row>
    <row r="862">
      <c r="A862">
        <f>IF(AND(LEN('Vendor COIs'!A362)&gt;0,ISNUMBER('Vendor COIs'!H362)),'Vendor COIs'!H362+859/100000,"")</f>
        <v/>
      </c>
      <c r="B862">
        <f>IF(AND(LEN('Vendor COIs'!A362)&gt;0,ISNUMBER('Vendor COIs'!H362)),MAX($B$3:B861)+1,"")</f>
        <v/>
      </c>
      <c r="E862">
        <f>IFERROR(MATCH(859,$B$4:$B$1003,0),"")</f>
        <v/>
      </c>
    </row>
    <row r="863">
      <c r="A863">
        <f>IF(AND(LEN('Vendor COIs'!A363)&gt;0,ISNUMBER('Vendor COIs'!H363)),'Vendor COIs'!H363+860/100000,"")</f>
        <v/>
      </c>
      <c r="B863">
        <f>IF(AND(LEN('Vendor COIs'!A363)&gt;0,ISNUMBER('Vendor COIs'!H363)),MAX($B$3:B862)+1,"")</f>
        <v/>
      </c>
      <c r="E863">
        <f>IFERROR(MATCH(860,$B$4:$B$1003,0),"")</f>
        <v/>
      </c>
    </row>
    <row r="864">
      <c r="A864">
        <f>IF(AND(LEN('Vendor COIs'!A364)&gt;0,ISNUMBER('Vendor COIs'!H364)),'Vendor COIs'!H364+861/100000,"")</f>
        <v/>
      </c>
      <c r="B864">
        <f>IF(AND(LEN('Vendor COIs'!A364)&gt;0,ISNUMBER('Vendor COIs'!H364)),MAX($B$3:B863)+1,"")</f>
        <v/>
      </c>
      <c r="E864">
        <f>IFERROR(MATCH(861,$B$4:$B$1003,0),"")</f>
        <v/>
      </c>
    </row>
    <row r="865">
      <c r="A865">
        <f>IF(AND(LEN('Vendor COIs'!A365)&gt;0,ISNUMBER('Vendor COIs'!H365)),'Vendor COIs'!H365+862/100000,"")</f>
        <v/>
      </c>
      <c r="B865">
        <f>IF(AND(LEN('Vendor COIs'!A365)&gt;0,ISNUMBER('Vendor COIs'!H365)),MAX($B$3:B864)+1,"")</f>
        <v/>
      </c>
      <c r="E865">
        <f>IFERROR(MATCH(862,$B$4:$B$1003,0),"")</f>
        <v/>
      </c>
    </row>
    <row r="866">
      <c r="A866">
        <f>IF(AND(LEN('Vendor COIs'!A366)&gt;0,ISNUMBER('Vendor COIs'!H366)),'Vendor COIs'!H366+863/100000,"")</f>
        <v/>
      </c>
      <c r="B866">
        <f>IF(AND(LEN('Vendor COIs'!A366)&gt;0,ISNUMBER('Vendor COIs'!H366)),MAX($B$3:B865)+1,"")</f>
        <v/>
      </c>
      <c r="E866">
        <f>IFERROR(MATCH(863,$B$4:$B$1003,0),"")</f>
        <v/>
      </c>
    </row>
    <row r="867">
      <c r="A867">
        <f>IF(AND(LEN('Vendor COIs'!A367)&gt;0,ISNUMBER('Vendor COIs'!H367)),'Vendor COIs'!H367+864/100000,"")</f>
        <v/>
      </c>
      <c r="B867">
        <f>IF(AND(LEN('Vendor COIs'!A367)&gt;0,ISNUMBER('Vendor COIs'!H367)),MAX($B$3:B866)+1,"")</f>
        <v/>
      </c>
      <c r="E867">
        <f>IFERROR(MATCH(864,$B$4:$B$1003,0),"")</f>
        <v/>
      </c>
    </row>
    <row r="868">
      <c r="A868">
        <f>IF(AND(LEN('Vendor COIs'!A368)&gt;0,ISNUMBER('Vendor COIs'!H368)),'Vendor COIs'!H368+865/100000,"")</f>
        <v/>
      </c>
      <c r="B868">
        <f>IF(AND(LEN('Vendor COIs'!A368)&gt;0,ISNUMBER('Vendor COIs'!H368)),MAX($B$3:B867)+1,"")</f>
        <v/>
      </c>
      <c r="E868">
        <f>IFERROR(MATCH(865,$B$4:$B$1003,0),"")</f>
        <v/>
      </c>
    </row>
    <row r="869">
      <c r="A869">
        <f>IF(AND(LEN('Vendor COIs'!A369)&gt;0,ISNUMBER('Vendor COIs'!H369)),'Vendor COIs'!H369+866/100000,"")</f>
        <v/>
      </c>
      <c r="B869">
        <f>IF(AND(LEN('Vendor COIs'!A369)&gt;0,ISNUMBER('Vendor COIs'!H369)),MAX($B$3:B868)+1,"")</f>
        <v/>
      </c>
      <c r="E869">
        <f>IFERROR(MATCH(866,$B$4:$B$1003,0),"")</f>
        <v/>
      </c>
    </row>
    <row r="870">
      <c r="A870">
        <f>IF(AND(LEN('Vendor COIs'!A370)&gt;0,ISNUMBER('Vendor COIs'!H370)),'Vendor COIs'!H370+867/100000,"")</f>
        <v/>
      </c>
      <c r="B870">
        <f>IF(AND(LEN('Vendor COIs'!A370)&gt;0,ISNUMBER('Vendor COIs'!H370)),MAX($B$3:B869)+1,"")</f>
        <v/>
      </c>
      <c r="E870">
        <f>IFERROR(MATCH(867,$B$4:$B$1003,0),"")</f>
        <v/>
      </c>
    </row>
    <row r="871">
      <c r="A871">
        <f>IF(AND(LEN('Vendor COIs'!A371)&gt;0,ISNUMBER('Vendor COIs'!H371)),'Vendor COIs'!H371+868/100000,"")</f>
        <v/>
      </c>
      <c r="B871">
        <f>IF(AND(LEN('Vendor COIs'!A371)&gt;0,ISNUMBER('Vendor COIs'!H371)),MAX($B$3:B870)+1,"")</f>
        <v/>
      </c>
      <c r="E871">
        <f>IFERROR(MATCH(868,$B$4:$B$1003,0),"")</f>
        <v/>
      </c>
    </row>
    <row r="872">
      <c r="A872">
        <f>IF(AND(LEN('Vendor COIs'!A372)&gt;0,ISNUMBER('Vendor COIs'!H372)),'Vendor COIs'!H372+869/100000,"")</f>
        <v/>
      </c>
      <c r="B872">
        <f>IF(AND(LEN('Vendor COIs'!A372)&gt;0,ISNUMBER('Vendor COIs'!H372)),MAX($B$3:B871)+1,"")</f>
        <v/>
      </c>
      <c r="E872">
        <f>IFERROR(MATCH(869,$B$4:$B$1003,0),"")</f>
        <v/>
      </c>
    </row>
    <row r="873">
      <c r="A873">
        <f>IF(AND(LEN('Vendor COIs'!A373)&gt;0,ISNUMBER('Vendor COIs'!H373)),'Vendor COIs'!H373+870/100000,"")</f>
        <v/>
      </c>
      <c r="B873">
        <f>IF(AND(LEN('Vendor COIs'!A373)&gt;0,ISNUMBER('Vendor COIs'!H373)),MAX($B$3:B872)+1,"")</f>
        <v/>
      </c>
      <c r="E873">
        <f>IFERROR(MATCH(870,$B$4:$B$1003,0),"")</f>
        <v/>
      </c>
    </row>
    <row r="874">
      <c r="A874">
        <f>IF(AND(LEN('Vendor COIs'!A374)&gt;0,ISNUMBER('Vendor COIs'!H374)),'Vendor COIs'!H374+871/100000,"")</f>
        <v/>
      </c>
      <c r="B874">
        <f>IF(AND(LEN('Vendor COIs'!A374)&gt;0,ISNUMBER('Vendor COIs'!H374)),MAX($B$3:B873)+1,"")</f>
        <v/>
      </c>
      <c r="E874">
        <f>IFERROR(MATCH(871,$B$4:$B$1003,0),"")</f>
        <v/>
      </c>
    </row>
    <row r="875">
      <c r="A875">
        <f>IF(AND(LEN('Vendor COIs'!A375)&gt;0,ISNUMBER('Vendor COIs'!H375)),'Vendor COIs'!H375+872/100000,"")</f>
        <v/>
      </c>
      <c r="B875">
        <f>IF(AND(LEN('Vendor COIs'!A375)&gt;0,ISNUMBER('Vendor COIs'!H375)),MAX($B$3:B874)+1,"")</f>
        <v/>
      </c>
      <c r="E875">
        <f>IFERROR(MATCH(872,$B$4:$B$1003,0),"")</f>
        <v/>
      </c>
    </row>
    <row r="876">
      <c r="A876">
        <f>IF(AND(LEN('Vendor COIs'!A376)&gt;0,ISNUMBER('Vendor COIs'!H376)),'Vendor COIs'!H376+873/100000,"")</f>
        <v/>
      </c>
      <c r="B876">
        <f>IF(AND(LEN('Vendor COIs'!A376)&gt;0,ISNUMBER('Vendor COIs'!H376)),MAX($B$3:B875)+1,"")</f>
        <v/>
      </c>
      <c r="E876">
        <f>IFERROR(MATCH(873,$B$4:$B$1003,0),"")</f>
        <v/>
      </c>
    </row>
    <row r="877">
      <c r="A877">
        <f>IF(AND(LEN('Vendor COIs'!A377)&gt;0,ISNUMBER('Vendor COIs'!H377)),'Vendor COIs'!H377+874/100000,"")</f>
        <v/>
      </c>
      <c r="B877">
        <f>IF(AND(LEN('Vendor COIs'!A377)&gt;0,ISNUMBER('Vendor COIs'!H377)),MAX($B$3:B876)+1,"")</f>
        <v/>
      </c>
      <c r="E877">
        <f>IFERROR(MATCH(874,$B$4:$B$1003,0),"")</f>
        <v/>
      </c>
    </row>
    <row r="878">
      <c r="A878">
        <f>IF(AND(LEN('Vendor COIs'!A378)&gt;0,ISNUMBER('Vendor COIs'!H378)),'Vendor COIs'!H378+875/100000,"")</f>
        <v/>
      </c>
      <c r="B878">
        <f>IF(AND(LEN('Vendor COIs'!A378)&gt;0,ISNUMBER('Vendor COIs'!H378)),MAX($B$3:B877)+1,"")</f>
        <v/>
      </c>
      <c r="E878">
        <f>IFERROR(MATCH(875,$B$4:$B$1003,0),"")</f>
        <v/>
      </c>
    </row>
    <row r="879">
      <c r="A879">
        <f>IF(AND(LEN('Vendor COIs'!A379)&gt;0,ISNUMBER('Vendor COIs'!H379)),'Vendor COIs'!H379+876/100000,"")</f>
        <v/>
      </c>
      <c r="B879">
        <f>IF(AND(LEN('Vendor COIs'!A379)&gt;0,ISNUMBER('Vendor COIs'!H379)),MAX($B$3:B878)+1,"")</f>
        <v/>
      </c>
      <c r="E879">
        <f>IFERROR(MATCH(876,$B$4:$B$1003,0),"")</f>
        <v/>
      </c>
    </row>
    <row r="880">
      <c r="A880">
        <f>IF(AND(LEN('Vendor COIs'!A380)&gt;0,ISNUMBER('Vendor COIs'!H380)),'Vendor COIs'!H380+877/100000,"")</f>
        <v/>
      </c>
      <c r="B880">
        <f>IF(AND(LEN('Vendor COIs'!A380)&gt;0,ISNUMBER('Vendor COIs'!H380)),MAX($B$3:B879)+1,"")</f>
        <v/>
      </c>
      <c r="E880">
        <f>IFERROR(MATCH(877,$B$4:$B$1003,0),"")</f>
        <v/>
      </c>
    </row>
    <row r="881">
      <c r="A881">
        <f>IF(AND(LEN('Vendor COIs'!A381)&gt;0,ISNUMBER('Vendor COIs'!H381)),'Vendor COIs'!H381+878/100000,"")</f>
        <v/>
      </c>
      <c r="B881">
        <f>IF(AND(LEN('Vendor COIs'!A381)&gt;0,ISNUMBER('Vendor COIs'!H381)),MAX($B$3:B880)+1,"")</f>
        <v/>
      </c>
      <c r="E881">
        <f>IFERROR(MATCH(878,$B$4:$B$1003,0),"")</f>
        <v/>
      </c>
    </row>
    <row r="882">
      <c r="A882">
        <f>IF(AND(LEN('Vendor COIs'!A382)&gt;0,ISNUMBER('Vendor COIs'!H382)),'Vendor COIs'!H382+879/100000,"")</f>
        <v/>
      </c>
      <c r="B882">
        <f>IF(AND(LEN('Vendor COIs'!A382)&gt;0,ISNUMBER('Vendor COIs'!H382)),MAX($B$3:B881)+1,"")</f>
        <v/>
      </c>
      <c r="E882">
        <f>IFERROR(MATCH(879,$B$4:$B$1003,0),"")</f>
        <v/>
      </c>
    </row>
    <row r="883">
      <c r="A883">
        <f>IF(AND(LEN('Vendor COIs'!A383)&gt;0,ISNUMBER('Vendor COIs'!H383)),'Vendor COIs'!H383+880/100000,"")</f>
        <v/>
      </c>
      <c r="B883">
        <f>IF(AND(LEN('Vendor COIs'!A383)&gt;0,ISNUMBER('Vendor COIs'!H383)),MAX($B$3:B882)+1,"")</f>
        <v/>
      </c>
      <c r="E883">
        <f>IFERROR(MATCH(880,$B$4:$B$1003,0),"")</f>
        <v/>
      </c>
    </row>
    <row r="884">
      <c r="A884">
        <f>IF(AND(LEN('Vendor COIs'!A384)&gt;0,ISNUMBER('Vendor COIs'!H384)),'Vendor COIs'!H384+881/100000,"")</f>
        <v/>
      </c>
      <c r="B884">
        <f>IF(AND(LEN('Vendor COIs'!A384)&gt;0,ISNUMBER('Vendor COIs'!H384)),MAX($B$3:B883)+1,"")</f>
        <v/>
      </c>
      <c r="E884">
        <f>IFERROR(MATCH(881,$B$4:$B$1003,0),"")</f>
        <v/>
      </c>
    </row>
    <row r="885">
      <c r="A885">
        <f>IF(AND(LEN('Vendor COIs'!A385)&gt;0,ISNUMBER('Vendor COIs'!H385)),'Vendor COIs'!H385+882/100000,"")</f>
        <v/>
      </c>
      <c r="B885">
        <f>IF(AND(LEN('Vendor COIs'!A385)&gt;0,ISNUMBER('Vendor COIs'!H385)),MAX($B$3:B884)+1,"")</f>
        <v/>
      </c>
      <c r="E885">
        <f>IFERROR(MATCH(882,$B$4:$B$1003,0),"")</f>
        <v/>
      </c>
    </row>
    <row r="886">
      <c r="A886">
        <f>IF(AND(LEN('Vendor COIs'!A386)&gt;0,ISNUMBER('Vendor COIs'!H386)),'Vendor COIs'!H386+883/100000,"")</f>
        <v/>
      </c>
      <c r="B886">
        <f>IF(AND(LEN('Vendor COIs'!A386)&gt;0,ISNUMBER('Vendor COIs'!H386)),MAX($B$3:B885)+1,"")</f>
        <v/>
      </c>
      <c r="E886">
        <f>IFERROR(MATCH(883,$B$4:$B$1003,0),"")</f>
        <v/>
      </c>
    </row>
    <row r="887">
      <c r="A887">
        <f>IF(AND(LEN('Vendor COIs'!A387)&gt;0,ISNUMBER('Vendor COIs'!H387)),'Vendor COIs'!H387+884/100000,"")</f>
        <v/>
      </c>
      <c r="B887">
        <f>IF(AND(LEN('Vendor COIs'!A387)&gt;0,ISNUMBER('Vendor COIs'!H387)),MAX($B$3:B886)+1,"")</f>
        <v/>
      </c>
      <c r="E887">
        <f>IFERROR(MATCH(884,$B$4:$B$1003,0),"")</f>
        <v/>
      </c>
    </row>
    <row r="888">
      <c r="A888">
        <f>IF(AND(LEN('Vendor COIs'!A388)&gt;0,ISNUMBER('Vendor COIs'!H388)),'Vendor COIs'!H388+885/100000,"")</f>
        <v/>
      </c>
      <c r="B888">
        <f>IF(AND(LEN('Vendor COIs'!A388)&gt;0,ISNUMBER('Vendor COIs'!H388)),MAX($B$3:B887)+1,"")</f>
        <v/>
      </c>
      <c r="E888">
        <f>IFERROR(MATCH(885,$B$4:$B$1003,0),"")</f>
        <v/>
      </c>
    </row>
    <row r="889">
      <c r="A889">
        <f>IF(AND(LEN('Vendor COIs'!A389)&gt;0,ISNUMBER('Vendor COIs'!H389)),'Vendor COIs'!H389+886/100000,"")</f>
        <v/>
      </c>
      <c r="B889">
        <f>IF(AND(LEN('Vendor COIs'!A389)&gt;0,ISNUMBER('Vendor COIs'!H389)),MAX($B$3:B888)+1,"")</f>
        <v/>
      </c>
      <c r="E889">
        <f>IFERROR(MATCH(886,$B$4:$B$1003,0),"")</f>
        <v/>
      </c>
    </row>
    <row r="890">
      <c r="A890">
        <f>IF(AND(LEN('Vendor COIs'!A390)&gt;0,ISNUMBER('Vendor COIs'!H390)),'Vendor COIs'!H390+887/100000,"")</f>
        <v/>
      </c>
      <c r="B890">
        <f>IF(AND(LEN('Vendor COIs'!A390)&gt;0,ISNUMBER('Vendor COIs'!H390)),MAX($B$3:B889)+1,"")</f>
        <v/>
      </c>
      <c r="E890">
        <f>IFERROR(MATCH(887,$B$4:$B$1003,0),"")</f>
        <v/>
      </c>
    </row>
    <row r="891">
      <c r="A891">
        <f>IF(AND(LEN('Vendor COIs'!A391)&gt;0,ISNUMBER('Vendor COIs'!H391)),'Vendor COIs'!H391+888/100000,"")</f>
        <v/>
      </c>
      <c r="B891">
        <f>IF(AND(LEN('Vendor COIs'!A391)&gt;0,ISNUMBER('Vendor COIs'!H391)),MAX($B$3:B890)+1,"")</f>
        <v/>
      </c>
      <c r="E891">
        <f>IFERROR(MATCH(888,$B$4:$B$1003,0),"")</f>
        <v/>
      </c>
    </row>
    <row r="892">
      <c r="A892">
        <f>IF(AND(LEN('Vendor COIs'!A392)&gt;0,ISNUMBER('Vendor COIs'!H392)),'Vendor COIs'!H392+889/100000,"")</f>
        <v/>
      </c>
      <c r="B892">
        <f>IF(AND(LEN('Vendor COIs'!A392)&gt;0,ISNUMBER('Vendor COIs'!H392)),MAX($B$3:B891)+1,"")</f>
        <v/>
      </c>
      <c r="E892">
        <f>IFERROR(MATCH(889,$B$4:$B$1003,0),"")</f>
        <v/>
      </c>
    </row>
    <row r="893">
      <c r="A893">
        <f>IF(AND(LEN('Vendor COIs'!A393)&gt;0,ISNUMBER('Vendor COIs'!H393)),'Vendor COIs'!H393+890/100000,"")</f>
        <v/>
      </c>
      <c r="B893">
        <f>IF(AND(LEN('Vendor COIs'!A393)&gt;0,ISNUMBER('Vendor COIs'!H393)),MAX($B$3:B892)+1,"")</f>
        <v/>
      </c>
      <c r="E893">
        <f>IFERROR(MATCH(890,$B$4:$B$1003,0),"")</f>
        <v/>
      </c>
    </row>
    <row r="894">
      <c r="A894">
        <f>IF(AND(LEN('Vendor COIs'!A394)&gt;0,ISNUMBER('Vendor COIs'!H394)),'Vendor COIs'!H394+891/100000,"")</f>
        <v/>
      </c>
      <c r="B894">
        <f>IF(AND(LEN('Vendor COIs'!A394)&gt;0,ISNUMBER('Vendor COIs'!H394)),MAX($B$3:B893)+1,"")</f>
        <v/>
      </c>
      <c r="E894">
        <f>IFERROR(MATCH(891,$B$4:$B$1003,0),"")</f>
        <v/>
      </c>
    </row>
    <row r="895">
      <c r="A895">
        <f>IF(AND(LEN('Vendor COIs'!A395)&gt;0,ISNUMBER('Vendor COIs'!H395)),'Vendor COIs'!H395+892/100000,"")</f>
        <v/>
      </c>
      <c r="B895">
        <f>IF(AND(LEN('Vendor COIs'!A395)&gt;0,ISNUMBER('Vendor COIs'!H395)),MAX($B$3:B894)+1,"")</f>
        <v/>
      </c>
      <c r="E895">
        <f>IFERROR(MATCH(892,$B$4:$B$1003,0),"")</f>
        <v/>
      </c>
    </row>
    <row r="896">
      <c r="A896">
        <f>IF(AND(LEN('Vendor COIs'!A396)&gt;0,ISNUMBER('Vendor COIs'!H396)),'Vendor COIs'!H396+893/100000,"")</f>
        <v/>
      </c>
      <c r="B896">
        <f>IF(AND(LEN('Vendor COIs'!A396)&gt;0,ISNUMBER('Vendor COIs'!H396)),MAX($B$3:B895)+1,"")</f>
        <v/>
      </c>
      <c r="E896">
        <f>IFERROR(MATCH(893,$B$4:$B$1003,0),"")</f>
        <v/>
      </c>
    </row>
    <row r="897">
      <c r="A897">
        <f>IF(AND(LEN('Vendor COIs'!A397)&gt;0,ISNUMBER('Vendor COIs'!H397)),'Vendor COIs'!H397+894/100000,"")</f>
        <v/>
      </c>
      <c r="B897">
        <f>IF(AND(LEN('Vendor COIs'!A397)&gt;0,ISNUMBER('Vendor COIs'!H397)),MAX($B$3:B896)+1,"")</f>
        <v/>
      </c>
      <c r="E897">
        <f>IFERROR(MATCH(894,$B$4:$B$1003,0),"")</f>
        <v/>
      </c>
    </row>
    <row r="898">
      <c r="A898">
        <f>IF(AND(LEN('Vendor COIs'!A398)&gt;0,ISNUMBER('Vendor COIs'!H398)),'Vendor COIs'!H398+895/100000,"")</f>
        <v/>
      </c>
      <c r="B898">
        <f>IF(AND(LEN('Vendor COIs'!A398)&gt;0,ISNUMBER('Vendor COIs'!H398)),MAX($B$3:B897)+1,"")</f>
        <v/>
      </c>
      <c r="E898">
        <f>IFERROR(MATCH(895,$B$4:$B$1003,0),"")</f>
        <v/>
      </c>
    </row>
    <row r="899">
      <c r="A899">
        <f>IF(AND(LEN('Vendor COIs'!A399)&gt;0,ISNUMBER('Vendor COIs'!H399)),'Vendor COIs'!H399+896/100000,"")</f>
        <v/>
      </c>
      <c r="B899">
        <f>IF(AND(LEN('Vendor COIs'!A399)&gt;0,ISNUMBER('Vendor COIs'!H399)),MAX($B$3:B898)+1,"")</f>
        <v/>
      </c>
      <c r="E899">
        <f>IFERROR(MATCH(896,$B$4:$B$1003,0),"")</f>
        <v/>
      </c>
    </row>
    <row r="900">
      <c r="A900">
        <f>IF(AND(LEN('Vendor COIs'!A400)&gt;0,ISNUMBER('Vendor COIs'!H400)),'Vendor COIs'!H400+897/100000,"")</f>
        <v/>
      </c>
      <c r="B900">
        <f>IF(AND(LEN('Vendor COIs'!A400)&gt;0,ISNUMBER('Vendor COIs'!H400)),MAX($B$3:B899)+1,"")</f>
        <v/>
      </c>
      <c r="E900">
        <f>IFERROR(MATCH(897,$B$4:$B$1003,0),"")</f>
        <v/>
      </c>
    </row>
    <row r="901">
      <c r="A901">
        <f>IF(AND(LEN('Vendor COIs'!A401)&gt;0,ISNUMBER('Vendor COIs'!H401)),'Vendor COIs'!H401+898/100000,"")</f>
        <v/>
      </c>
      <c r="B901">
        <f>IF(AND(LEN('Vendor COIs'!A401)&gt;0,ISNUMBER('Vendor COIs'!H401)),MAX($B$3:B900)+1,"")</f>
        <v/>
      </c>
      <c r="E901">
        <f>IFERROR(MATCH(898,$B$4:$B$1003,0),"")</f>
        <v/>
      </c>
    </row>
    <row r="902">
      <c r="A902">
        <f>IF(AND(LEN('Vendor COIs'!A402)&gt;0,ISNUMBER('Vendor COIs'!H402)),'Vendor COIs'!H402+899/100000,"")</f>
        <v/>
      </c>
      <c r="B902">
        <f>IF(AND(LEN('Vendor COIs'!A402)&gt;0,ISNUMBER('Vendor COIs'!H402)),MAX($B$3:B901)+1,"")</f>
        <v/>
      </c>
      <c r="E902">
        <f>IFERROR(MATCH(899,$B$4:$B$1003,0),"")</f>
        <v/>
      </c>
    </row>
    <row r="903">
      <c r="A903">
        <f>IF(AND(LEN('Vendor COIs'!A403)&gt;0,ISNUMBER('Vendor COIs'!H403)),'Vendor COIs'!H403+900/100000,"")</f>
        <v/>
      </c>
      <c r="B903">
        <f>IF(AND(LEN('Vendor COIs'!A403)&gt;0,ISNUMBER('Vendor COIs'!H403)),MAX($B$3:B902)+1,"")</f>
        <v/>
      </c>
      <c r="E903">
        <f>IFERROR(MATCH(900,$B$4:$B$1003,0),"")</f>
        <v/>
      </c>
    </row>
    <row r="904">
      <c r="A904">
        <f>IF(AND(LEN('Vendor COIs'!A404)&gt;0,ISNUMBER('Vendor COIs'!H404)),'Vendor COIs'!H404+901/100000,"")</f>
        <v/>
      </c>
      <c r="B904">
        <f>IF(AND(LEN('Vendor COIs'!A404)&gt;0,ISNUMBER('Vendor COIs'!H404)),MAX($B$3:B903)+1,"")</f>
        <v/>
      </c>
      <c r="E904">
        <f>IFERROR(MATCH(901,$B$4:$B$1003,0),"")</f>
        <v/>
      </c>
    </row>
    <row r="905">
      <c r="A905">
        <f>IF(AND(LEN('Vendor COIs'!A405)&gt;0,ISNUMBER('Vendor COIs'!H405)),'Vendor COIs'!H405+902/100000,"")</f>
        <v/>
      </c>
      <c r="B905">
        <f>IF(AND(LEN('Vendor COIs'!A405)&gt;0,ISNUMBER('Vendor COIs'!H405)),MAX($B$3:B904)+1,"")</f>
        <v/>
      </c>
      <c r="E905">
        <f>IFERROR(MATCH(902,$B$4:$B$1003,0),"")</f>
        <v/>
      </c>
    </row>
    <row r="906">
      <c r="A906">
        <f>IF(AND(LEN('Vendor COIs'!A406)&gt;0,ISNUMBER('Vendor COIs'!H406)),'Vendor COIs'!H406+903/100000,"")</f>
        <v/>
      </c>
      <c r="B906">
        <f>IF(AND(LEN('Vendor COIs'!A406)&gt;0,ISNUMBER('Vendor COIs'!H406)),MAX($B$3:B905)+1,"")</f>
        <v/>
      </c>
      <c r="E906">
        <f>IFERROR(MATCH(903,$B$4:$B$1003,0),"")</f>
        <v/>
      </c>
    </row>
    <row r="907">
      <c r="A907">
        <f>IF(AND(LEN('Vendor COIs'!A407)&gt;0,ISNUMBER('Vendor COIs'!H407)),'Vendor COIs'!H407+904/100000,"")</f>
        <v/>
      </c>
      <c r="B907">
        <f>IF(AND(LEN('Vendor COIs'!A407)&gt;0,ISNUMBER('Vendor COIs'!H407)),MAX($B$3:B906)+1,"")</f>
        <v/>
      </c>
      <c r="E907">
        <f>IFERROR(MATCH(904,$B$4:$B$1003,0),"")</f>
        <v/>
      </c>
    </row>
    <row r="908">
      <c r="A908">
        <f>IF(AND(LEN('Vendor COIs'!A408)&gt;0,ISNUMBER('Vendor COIs'!H408)),'Vendor COIs'!H408+905/100000,"")</f>
        <v/>
      </c>
      <c r="B908">
        <f>IF(AND(LEN('Vendor COIs'!A408)&gt;0,ISNUMBER('Vendor COIs'!H408)),MAX($B$3:B907)+1,"")</f>
        <v/>
      </c>
      <c r="E908">
        <f>IFERROR(MATCH(905,$B$4:$B$1003,0),"")</f>
        <v/>
      </c>
    </row>
    <row r="909">
      <c r="A909">
        <f>IF(AND(LEN('Vendor COIs'!A409)&gt;0,ISNUMBER('Vendor COIs'!H409)),'Vendor COIs'!H409+906/100000,"")</f>
        <v/>
      </c>
      <c r="B909">
        <f>IF(AND(LEN('Vendor COIs'!A409)&gt;0,ISNUMBER('Vendor COIs'!H409)),MAX($B$3:B908)+1,"")</f>
        <v/>
      </c>
      <c r="E909">
        <f>IFERROR(MATCH(906,$B$4:$B$1003,0),"")</f>
        <v/>
      </c>
    </row>
    <row r="910">
      <c r="A910">
        <f>IF(AND(LEN('Vendor COIs'!A410)&gt;0,ISNUMBER('Vendor COIs'!H410)),'Vendor COIs'!H410+907/100000,"")</f>
        <v/>
      </c>
      <c r="B910">
        <f>IF(AND(LEN('Vendor COIs'!A410)&gt;0,ISNUMBER('Vendor COIs'!H410)),MAX($B$3:B909)+1,"")</f>
        <v/>
      </c>
      <c r="E910">
        <f>IFERROR(MATCH(907,$B$4:$B$1003,0),"")</f>
        <v/>
      </c>
    </row>
    <row r="911">
      <c r="A911">
        <f>IF(AND(LEN('Vendor COIs'!A411)&gt;0,ISNUMBER('Vendor COIs'!H411)),'Vendor COIs'!H411+908/100000,"")</f>
        <v/>
      </c>
      <c r="B911">
        <f>IF(AND(LEN('Vendor COIs'!A411)&gt;0,ISNUMBER('Vendor COIs'!H411)),MAX($B$3:B910)+1,"")</f>
        <v/>
      </c>
      <c r="E911">
        <f>IFERROR(MATCH(908,$B$4:$B$1003,0),"")</f>
        <v/>
      </c>
    </row>
    <row r="912">
      <c r="A912">
        <f>IF(AND(LEN('Vendor COIs'!A412)&gt;0,ISNUMBER('Vendor COIs'!H412)),'Vendor COIs'!H412+909/100000,"")</f>
        <v/>
      </c>
      <c r="B912">
        <f>IF(AND(LEN('Vendor COIs'!A412)&gt;0,ISNUMBER('Vendor COIs'!H412)),MAX($B$3:B911)+1,"")</f>
        <v/>
      </c>
      <c r="E912">
        <f>IFERROR(MATCH(909,$B$4:$B$1003,0),"")</f>
        <v/>
      </c>
    </row>
    <row r="913">
      <c r="A913">
        <f>IF(AND(LEN('Vendor COIs'!A413)&gt;0,ISNUMBER('Vendor COIs'!H413)),'Vendor COIs'!H413+910/100000,"")</f>
        <v/>
      </c>
      <c r="B913">
        <f>IF(AND(LEN('Vendor COIs'!A413)&gt;0,ISNUMBER('Vendor COIs'!H413)),MAX($B$3:B912)+1,"")</f>
        <v/>
      </c>
      <c r="E913">
        <f>IFERROR(MATCH(910,$B$4:$B$1003,0),"")</f>
        <v/>
      </c>
    </row>
    <row r="914">
      <c r="A914">
        <f>IF(AND(LEN('Vendor COIs'!A414)&gt;0,ISNUMBER('Vendor COIs'!H414)),'Vendor COIs'!H414+911/100000,"")</f>
        <v/>
      </c>
      <c r="B914">
        <f>IF(AND(LEN('Vendor COIs'!A414)&gt;0,ISNUMBER('Vendor COIs'!H414)),MAX($B$3:B913)+1,"")</f>
        <v/>
      </c>
      <c r="E914">
        <f>IFERROR(MATCH(911,$B$4:$B$1003,0),"")</f>
        <v/>
      </c>
    </row>
    <row r="915">
      <c r="A915">
        <f>IF(AND(LEN('Vendor COIs'!A415)&gt;0,ISNUMBER('Vendor COIs'!H415)),'Vendor COIs'!H415+912/100000,"")</f>
        <v/>
      </c>
      <c r="B915">
        <f>IF(AND(LEN('Vendor COIs'!A415)&gt;0,ISNUMBER('Vendor COIs'!H415)),MAX($B$3:B914)+1,"")</f>
        <v/>
      </c>
      <c r="E915">
        <f>IFERROR(MATCH(912,$B$4:$B$1003,0),"")</f>
        <v/>
      </c>
    </row>
    <row r="916">
      <c r="A916">
        <f>IF(AND(LEN('Vendor COIs'!A416)&gt;0,ISNUMBER('Vendor COIs'!H416)),'Vendor COIs'!H416+913/100000,"")</f>
        <v/>
      </c>
      <c r="B916">
        <f>IF(AND(LEN('Vendor COIs'!A416)&gt;0,ISNUMBER('Vendor COIs'!H416)),MAX($B$3:B915)+1,"")</f>
        <v/>
      </c>
      <c r="E916">
        <f>IFERROR(MATCH(913,$B$4:$B$1003,0),"")</f>
        <v/>
      </c>
    </row>
    <row r="917">
      <c r="A917">
        <f>IF(AND(LEN('Vendor COIs'!A417)&gt;0,ISNUMBER('Vendor COIs'!H417)),'Vendor COIs'!H417+914/100000,"")</f>
        <v/>
      </c>
      <c r="B917">
        <f>IF(AND(LEN('Vendor COIs'!A417)&gt;0,ISNUMBER('Vendor COIs'!H417)),MAX($B$3:B916)+1,"")</f>
        <v/>
      </c>
      <c r="E917">
        <f>IFERROR(MATCH(914,$B$4:$B$1003,0),"")</f>
        <v/>
      </c>
    </row>
    <row r="918">
      <c r="A918">
        <f>IF(AND(LEN('Vendor COIs'!A418)&gt;0,ISNUMBER('Vendor COIs'!H418)),'Vendor COIs'!H418+915/100000,"")</f>
        <v/>
      </c>
      <c r="B918">
        <f>IF(AND(LEN('Vendor COIs'!A418)&gt;0,ISNUMBER('Vendor COIs'!H418)),MAX($B$3:B917)+1,"")</f>
        <v/>
      </c>
      <c r="E918">
        <f>IFERROR(MATCH(915,$B$4:$B$1003,0),"")</f>
        <v/>
      </c>
    </row>
    <row r="919">
      <c r="A919">
        <f>IF(AND(LEN('Vendor COIs'!A419)&gt;0,ISNUMBER('Vendor COIs'!H419)),'Vendor COIs'!H419+916/100000,"")</f>
        <v/>
      </c>
      <c r="B919">
        <f>IF(AND(LEN('Vendor COIs'!A419)&gt;0,ISNUMBER('Vendor COIs'!H419)),MAX($B$3:B918)+1,"")</f>
        <v/>
      </c>
      <c r="E919">
        <f>IFERROR(MATCH(916,$B$4:$B$1003,0),"")</f>
        <v/>
      </c>
    </row>
    <row r="920">
      <c r="A920">
        <f>IF(AND(LEN('Vendor COIs'!A420)&gt;0,ISNUMBER('Vendor COIs'!H420)),'Vendor COIs'!H420+917/100000,"")</f>
        <v/>
      </c>
      <c r="B920">
        <f>IF(AND(LEN('Vendor COIs'!A420)&gt;0,ISNUMBER('Vendor COIs'!H420)),MAX($B$3:B919)+1,"")</f>
        <v/>
      </c>
      <c r="E920">
        <f>IFERROR(MATCH(917,$B$4:$B$1003,0),"")</f>
        <v/>
      </c>
    </row>
    <row r="921">
      <c r="A921">
        <f>IF(AND(LEN('Vendor COIs'!A421)&gt;0,ISNUMBER('Vendor COIs'!H421)),'Vendor COIs'!H421+918/100000,"")</f>
        <v/>
      </c>
      <c r="B921">
        <f>IF(AND(LEN('Vendor COIs'!A421)&gt;0,ISNUMBER('Vendor COIs'!H421)),MAX($B$3:B920)+1,"")</f>
        <v/>
      </c>
      <c r="E921">
        <f>IFERROR(MATCH(918,$B$4:$B$1003,0),"")</f>
        <v/>
      </c>
    </row>
    <row r="922">
      <c r="A922">
        <f>IF(AND(LEN('Vendor COIs'!A422)&gt;0,ISNUMBER('Vendor COIs'!H422)),'Vendor COIs'!H422+919/100000,"")</f>
        <v/>
      </c>
      <c r="B922">
        <f>IF(AND(LEN('Vendor COIs'!A422)&gt;0,ISNUMBER('Vendor COIs'!H422)),MAX($B$3:B921)+1,"")</f>
        <v/>
      </c>
      <c r="E922">
        <f>IFERROR(MATCH(919,$B$4:$B$1003,0),"")</f>
        <v/>
      </c>
    </row>
    <row r="923">
      <c r="A923">
        <f>IF(AND(LEN('Vendor COIs'!A423)&gt;0,ISNUMBER('Vendor COIs'!H423)),'Vendor COIs'!H423+920/100000,"")</f>
        <v/>
      </c>
      <c r="B923">
        <f>IF(AND(LEN('Vendor COIs'!A423)&gt;0,ISNUMBER('Vendor COIs'!H423)),MAX($B$3:B922)+1,"")</f>
        <v/>
      </c>
      <c r="E923">
        <f>IFERROR(MATCH(920,$B$4:$B$1003,0),"")</f>
        <v/>
      </c>
    </row>
    <row r="924">
      <c r="A924">
        <f>IF(AND(LEN('Vendor COIs'!A424)&gt;0,ISNUMBER('Vendor COIs'!H424)),'Vendor COIs'!H424+921/100000,"")</f>
        <v/>
      </c>
      <c r="B924">
        <f>IF(AND(LEN('Vendor COIs'!A424)&gt;0,ISNUMBER('Vendor COIs'!H424)),MAX($B$3:B923)+1,"")</f>
        <v/>
      </c>
      <c r="E924">
        <f>IFERROR(MATCH(921,$B$4:$B$1003,0),"")</f>
        <v/>
      </c>
    </row>
    <row r="925">
      <c r="A925">
        <f>IF(AND(LEN('Vendor COIs'!A425)&gt;0,ISNUMBER('Vendor COIs'!H425)),'Vendor COIs'!H425+922/100000,"")</f>
        <v/>
      </c>
      <c r="B925">
        <f>IF(AND(LEN('Vendor COIs'!A425)&gt;0,ISNUMBER('Vendor COIs'!H425)),MAX($B$3:B924)+1,"")</f>
        <v/>
      </c>
      <c r="E925">
        <f>IFERROR(MATCH(922,$B$4:$B$1003,0),"")</f>
        <v/>
      </c>
    </row>
    <row r="926">
      <c r="A926">
        <f>IF(AND(LEN('Vendor COIs'!A426)&gt;0,ISNUMBER('Vendor COIs'!H426)),'Vendor COIs'!H426+923/100000,"")</f>
        <v/>
      </c>
      <c r="B926">
        <f>IF(AND(LEN('Vendor COIs'!A426)&gt;0,ISNUMBER('Vendor COIs'!H426)),MAX($B$3:B925)+1,"")</f>
        <v/>
      </c>
      <c r="E926">
        <f>IFERROR(MATCH(923,$B$4:$B$1003,0),"")</f>
        <v/>
      </c>
    </row>
    <row r="927">
      <c r="A927">
        <f>IF(AND(LEN('Vendor COIs'!A427)&gt;0,ISNUMBER('Vendor COIs'!H427)),'Vendor COIs'!H427+924/100000,"")</f>
        <v/>
      </c>
      <c r="B927">
        <f>IF(AND(LEN('Vendor COIs'!A427)&gt;0,ISNUMBER('Vendor COIs'!H427)),MAX($B$3:B926)+1,"")</f>
        <v/>
      </c>
      <c r="E927">
        <f>IFERROR(MATCH(924,$B$4:$B$1003,0),"")</f>
        <v/>
      </c>
    </row>
    <row r="928">
      <c r="A928">
        <f>IF(AND(LEN('Vendor COIs'!A428)&gt;0,ISNUMBER('Vendor COIs'!H428)),'Vendor COIs'!H428+925/100000,"")</f>
        <v/>
      </c>
      <c r="B928">
        <f>IF(AND(LEN('Vendor COIs'!A428)&gt;0,ISNUMBER('Vendor COIs'!H428)),MAX($B$3:B927)+1,"")</f>
        <v/>
      </c>
      <c r="E928">
        <f>IFERROR(MATCH(925,$B$4:$B$1003,0),"")</f>
        <v/>
      </c>
    </row>
    <row r="929">
      <c r="A929">
        <f>IF(AND(LEN('Vendor COIs'!A429)&gt;0,ISNUMBER('Vendor COIs'!H429)),'Vendor COIs'!H429+926/100000,"")</f>
        <v/>
      </c>
      <c r="B929">
        <f>IF(AND(LEN('Vendor COIs'!A429)&gt;0,ISNUMBER('Vendor COIs'!H429)),MAX($B$3:B928)+1,"")</f>
        <v/>
      </c>
      <c r="E929">
        <f>IFERROR(MATCH(926,$B$4:$B$1003,0),"")</f>
        <v/>
      </c>
    </row>
    <row r="930">
      <c r="A930">
        <f>IF(AND(LEN('Vendor COIs'!A430)&gt;0,ISNUMBER('Vendor COIs'!H430)),'Vendor COIs'!H430+927/100000,"")</f>
        <v/>
      </c>
      <c r="B930">
        <f>IF(AND(LEN('Vendor COIs'!A430)&gt;0,ISNUMBER('Vendor COIs'!H430)),MAX($B$3:B929)+1,"")</f>
        <v/>
      </c>
      <c r="E930">
        <f>IFERROR(MATCH(927,$B$4:$B$1003,0),"")</f>
        <v/>
      </c>
    </row>
    <row r="931">
      <c r="A931">
        <f>IF(AND(LEN('Vendor COIs'!A431)&gt;0,ISNUMBER('Vendor COIs'!H431)),'Vendor COIs'!H431+928/100000,"")</f>
        <v/>
      </c>
      <c r="B931">
        <f>IF(AND(LEN('Vendor COIs'!A431)&gt;0,ISNUMBER('Vendor COIs'!H431)),MAX($B$3:B930)+1,"")</f>
        <v/>
      </c>
      <c r="E931">
        <f>IFERROR(MATCH(928,$B$4:$B$1003,0),"")</f>
        <v/>
      </c>
    </row>
    <row r="932">
      <c r="A932">
        <f>IF(AND(LEN('Vendor COIs'!A432)&gt;0,ISNUMBER('Vendor COIs'!H432)),'Vendor COIs'!H432+929/100000,"")</f>
        <v/>
      </c>
      <c r="B932">
        <f>IF(AND(LEN('Vendor COIs'!A432)&gt;0,ISNUMBER('Vendor COIs'!H432)),MAX($B$3:B931)+1,"")</f>
        <v/>
      </c>
      <c r="E932">
        <f>IFERROR(MATCH(929,$B$4:$B$1003,0),"")</f>
        <v/>
      </c>
    </row>
    <row r="933">
      <c r="A933">
        <f>IF(AND(LEN('Vendor COIs'!A433)&gt;0,ISNUMBER('Vendor COIs'!H433)),'Vendor COIs'!H433+930/100000,"")</f>
        <v/>
      </c>
      <c r="B933">
        <f>IF(AND(LEN('Vendor COIs'!A433)&gt;0,ISNUMBER('Vendor COIs'!H433)),MAX($B$3:B932)+1,"")</f>
        <v/>
      </c>
      <c r="E933">
        <f>IFERROR(MATCH(930,$B$4:$B$1003,0),"")</f>
        <v/>
      </c>
    </row>
    <row r="934">
      <c r="A934">
        <f>IF(AND(LEN('Vendor COIs'!A434)&gt;0,ISNUMBER('Vendor COIs'!H434)),'Vendor COIs'!H434+931/100000,"")</f>
        <v/>
      </c>
      <c r="B934">
        <f>IF(AND(LEN('Vendor COIs'!A434)&gt;0,ISNUMBER('Vendor COIs'!H434)),MAX($B$3:B933)+1,"")</f>
        <v/>
      </c>
      <c r="E934">
        <f>IFERROR(MATCH(931,$B$4:$B$1003,0),"")</f>
        <v/>
      </c>
    </row>
    <row r="935">
      <c r="A935">
        <f>IF(AND(LEN('Vendor COIs'!A435)&gt;0,ISNUMBER('Vendor COIs'!H435)),'Vendor COIs'!H435+932/100000,"")</f>
        <v/>
      </c>
      <c r="B935">
        <f>IF(AND(LEN('Vendor COIs'!A435)&gt;0,ISNUMBER('Vendor COIs'!H435)),MAX($B$3:B934)+1,"")</f>
        <v/>
      </c>
      <c r="E935">
        <f>IFERROR(MATCH(932,$B$4:$B$1003,0),"")</f>
        <v/>
      </c>
    </row>
    <row r="936">
      <c r="A936">
        <f>IF(AND(LEN('Vendor COIs'!A436)&gt;0,ISNUMBER('Vendor COIs'!H436)),'Vendor COIs'!H436+933/100000,"")</f>
        <v/>
      </c>
      <c r="B936">
        <f>IF(AND(LEN('Vendor COIs'!A436)&gt;0,ISNUMBER('Vendor COIs'!H436)),MAX($B$3:B935)+1,"")</f>
        <v/>
      </c>
      <c r="E936">
        <f>IFERROR(MATCH(933,$B$4:$B$1003,0),"")</f>
        <v/>
      </c>
    </row>
    <row r="937">
      <c r="A937">
        <f>IF(AND(LEN('Vendor COIs'!A437)&gt;0,ISNUMBER('Vendor COIs'!H437)),'Vendor COIs'!H437+934/100000,"")</f>
        <v/>
      </c>
      <c r="B937">
        <f>IF(AND(LEN('Vendor COIs'!A437)&gt;0,ISNUMBER('Vendor COIs'!H437)),MAX($B$3:B936)+1,"")</f>
        <v/>
      </c>
      <c r="E937">
        <f>IFERROR(MATCH(934,$B$4:$B$1003,0),"")</f>
        <v/>
      </c>
    </row>
    <row r="938">
      <c r="A938">
        <f>IF(AND(LEN('Vendor COIs'!A438)&gt;0,ISNUMBER('Vendor COIs'!H438)),'Vendor COIs'!H438+935/100000,"")</f>
        <v/>
      </c>
      <c r="B938">
        <f>IF(AND(LEN('Vendor COIs'!A438)&gt;0,ISNUMBER('Vendor COIs'!H438)),MAX($B$3:B937)+1,"")</f>
        <v/>
      </c>
      <c r="E938">
        <f>IFERROR(MATCH(935,$B$4:$B$1003,0),"")</f>
        <v/>
      </c>
    </row>
    <row r="939">
      <c r="A939">
        <f>IF(AND(LEN('Vendor COIs'!A439)&gt;0,ISNUMBER('Vendor COIs'!H439)),'Vendor COIs'!H439+936/100000,"")</f>
        <v/>
      </c>
      <c r="B939">
        <f>IF(AND(LEN('Vendor COIs'!A439)&gt;0,ISNUMBER('Vendor COIs'!H439)),MAX($B$3:B938)+1,"")</f>
        <v/>
      </c>
      <c r="E939">
        <f>IFERROR(MATCH(936,$B$4:$B$1003,0),"")</f>
        <v/>
      </c>
    </row>
    <row r="940">
      <c r="A940">
        <f>IF(AND(LEN('Vendor COIs'!A440)&gt;0,ISNUMBER('Vendor COIs'!H440)),'Vendor COIs'!H440+937/100000,"")</f>
        <v/>
      </c>
      <c r="B940">
        <f>IF(AND(LEN('Vendor COIs'!A440)&gt;0,ISNUMBER('Vendor COIs'!H440)),MAX($B$3:B939)+1,"")</f>
        <v/>
      </c>
      <c r="E940">
        <f>IFERROR(MATCH(937,$B$4:$B$1003,0),"")</f>
        <v/>
      </c>
    </row>
    <row r="941">
      <c r="A941">
        <f>IF(AND(LEN('Vendor COIs'!A441)&gt;0,ISNUMBER('Vendor COIs'!H441)),'Vendor COIs'!H441+938/100000,"")</f>
        <v/>
      </c>
      <c r="B941">
        <f>IF(AND(LEN('Vendor COIs'!A441)&gt;0,ISNUMBER('Vendor COIs'!H441)),MAX($B$3:B940)+1,"")</f>
        <v/>
      </c>
      <c r="E941">
        <f>IFERROR(MATCH(938,$B$4:$B$1003,0),"")</f>
        <v/>
      </c>
    </row>
    <row r="942">
      <c r="A942">
        <f>IF(AND(LEN('Vendor COIs'!A442)&gt;0,ISNUMBER('Vendor COIs'!H442)),'Vendor COIs'!H442+939/100000,"")</f>
        <v/>
      </c>
      <c r="B942">
        <f>IF(AND(LEN('Vendor COIs'!A442)&gt;0,ISNUMBER('Vendor COIs'!H442)),MAX($B$3:B941)+1,"")</f>
        <v/>
      </c>
      <c r="E942">
        <f>IFERROR(MATCH(939,$B$4:$B$1003,0),"")</f>
        <v/>
      </c>
    </row>
    <row r="943">
      <c r="A943">
        <f>IF(AND(LEN('Vendor COIs'!A443)&gt;0,ISNUMBER('Vendor COIs'!H443)),'Vendor COIs'!H443+940/100000,"")</f>
        <v/>
      </c>
      <c r="B943">
        <f>IF(AND(LEN('Vendor COIs'!A443)&gt;0,ISNUMBER('Vendor COIs'!H443)),MAX($B$3:B942)+1,"")</f>
        <v/>
      </c>
      <c r="E943">
        <f>IFERROR(MATCH(940,$B$4:$B$1003,0),"")</f>
        <v/>
      </c>
    </row>
    <row r="944">
      <c r="A944">
        <f>IF(AND(LEN('Vendor COIs'!A444)&gt;0,ISNUMBER('Vendor COIs'!H444)),'Vendor COIs'!H444+941/100000,"")</f>
        <v/>
      </c>
      <c r="B944">
        <f>IF(AND(LEN('Vendor COIs'!A444)&gt;0,ISNUMBER('Vendor COIs'!H444)),MAX($B$3:B943)+1,"")</f>
        <v/>
      </c>
      <c r="E944">
        <f>IFERROR(MATCH(941,$B$4:$B$1003,0),"")</f>
        <v/>
      </c>
    </row>
    <row r="945">
      <c r="A945">
        <f>IF(AND(LEN('Vendor COIs'!A445)&gt;0,ISNUMBER('Vendor COIs'!H445)),'Vendor COIs'!H445+942/100000,"")</f>
        <v/>
      </c>
      <c r="B945">
        <f>IF(AND(LEN('Vendor COIs'!A445)&gt;0,ISNUMBER('Vendor COIs'!H445)),MAX($B$3:B944)+1,"")</f>
        <v/>
      </c>
      <c r="E945">
        <f>IFERROR(MATCH(942,$B$4:$B$1003,0),"")</f>
        <v/>
      </c>
    </row>
    <row r="946">
      <c r="A946">
        <f>IF(AND(LEN('Vendor COIs'!A446)&gt;0,ISNUMBER('Vendor COIs'!H446)),'Vendor COIs'!H446+943/100000,"")</f>
        <v/>
      </c>
      <c r="B946">
        <f>IF(AND(LEN('Vendor COIs'!A446)&gt;0,ISNUMBER('Vendor COIs'!H446)),MAX($B$3:B945)+1,"")</f>
        <v/>
      </c>
      <c r="E946">
        <f>IFERROR(MATCH(943,$B$4:$B$1003,0),"")</f>
        <v/>
      </c>
    </row>
    <row r="947">
      <c r="A947">
        <f>IF(AND(LEN('Vendor COIs'!A447)&gt;0,ISNUMBER('Vendor COIs'!H447)),'Vendor COIs'!H447+944/100000,"")</f>
        <v/>
      </c>
      <c r="B947">
        <f>IF(AND(LEN('Vendor COIs'!A447)&gt;0,ISNUMBER('Vendor COIs'!H447)),MAX($B$3:B946)+1,"")</f>
        <v/>
      </c>
      <c r="E947">
        <f>IFERROR(MATCH(944,$B$4:$B$1003,0),"")</f>
        <v/>
      </c>
    </row>
    <row r="948">
      <c r="A948">
        <f>IF(AND(LEN('Vendor COIs'!A448)&gt;0,ISNUMBER('Vendor COIs'!H448)),'Vendor COIs'!H448+945/100000,"")</f>
        <v/>
      </c>
      <c r="B948">
        <f>IF(AND(LEN('Vendor COIs'!A448)&gt;0,ISNUMBER('Vendor COIs'!H448)),MAX($B$3:B947)+1,"")</f>
        <v/>
      </c>
      <c r="E948">
        <f>IFERROR(MATCH(945,$B$4:$B$1003,0),"")</f>
        <v/>
      </c>
    </row>
    <row r="949">
      <c r="A949">
        <f>IF(AND(LEN('Vendor COIs'!A449)&gt;0,ISNUMBER('Vendor COIs'!H449)),'Vendor COIs'!H449+946/100000,"")</f>
        <v/>
      </c>
      <c r="B949">
        <f>IF(AND(LEN('Vendor COIs'!A449)&gt;0,ISNUMBER('Vendor COIs'!H449)),MAX($B$3:B948)+1,"")</f>
        <v/>
      </c>
      <c r="E949">
        <f>IFERROR(MATCH(946,$B$4:$B$1003,0),"")</f>
        <v/>
      </c>
    </row>
    <row r="950">
      <c r="A950">
        <f>IF(AND(LEN('Vendor COIs'!A450)&gt;0,ISNUMBER('Vendor COIs'!H450)),'Vendor COIs'!H450+947/100000,"")</f>
        <v/>
      </c>
      <c r="B950">
        <f>IF(AND(LEN('Vendor COIs'!A450)&gt;0,ISNUMBER('Vendor COIs'!H450)),MAX($B$3:B949)+1,"")</f>
        <v/>
      </c>
      <c r="E950">
        <f>IFERROR(MATCH(947,$B$4:$B$1003,0),"")</f>
        <v/>
      </c>
    </row>
    <row r="951">
      <c r="A951">
        <f>IF(AND(LEN('Vendor COIs'!A451)&gt;0,ISNUMBER('Vendor COIs'!H451)),'Vendor COIs'!H451+948/100000,"")</f>
        <v/>
      </c>
      <c r="B951">
        <f>IF(AND(LEN('Vendor COIs'!A451)&gt;0,ISNUMBER('Vendor COIs'!H451)),MAX($B$3:B950)+1,"")</f>
        <v/>
      </c>
      <c r="E951">
        <f>IFERROR(MATCH(948,$B$4:$B$1003,0),"")</f>
        <v/>
      </c>
    </row>
    <row r="952">
      <c r="A952">
        <f>IF(AND(LEN('Vendor COIs'!A452)&gt;0,ISNUMBER('Vendor COIs'!H452)),'Vendor COIs'!H452+949/100000,"")</f>
        <v/>
      </c>
      <c r="B952">
        <f>IF(AND(LEN('Vendor COIs'!A452)&gt;0,ISNUMBER('Vendor COIs'!H452)),MAX($B$3:B951)+1,"")</f>
        <v/>
      </c>
      <c r="E952">
        <f>IFERROR(MATCH(949,$B$4:$B$1003,0),"")</f>
        <v/>
      </c>
    </row>
    <row r="953">
      <c r="A953">
        <f>IF(AND(LEN('Vendor COIs'!A453)&gt;0,ISNUMBER('Vendor COIs'!H453)),'Vendor COIs'!H453+950/100000,"")</f>
        <v/>
      </c>
      <c r="B953">
        <f>IF(AND(LEN('Vendor COIs'!A453)&gt;0,ISNUMBER('Vendor COIs'!H453)),MAX($B$3:B952)+1,"")</f>
        <v/>
      </c>
      <c r="E953">
        <f>IFERROR(MATCH(950,$B$4:$B$1003,0),"")</f>
        <v/>
      </c>
    </row>
    <row r="954">
      <c r="A954">
        <f>IF(AND(LEN('Vendor COIs'!A454)&gt;0,ISNUMBER('Vendor COIs'!H454)),'Vendor COIs'!H454+951/100000,"")</f>
        <v/>
      </c>
      <c r="B954">
        <f>IF(AND(LEN('Vendor COIs'!A454)&gt;0,ISNUMBER('Vendor COIs'!H454)),MAX($B$3:B953)+1,"")</f>
        <v/>
      </c>
      <c r="E954">
        <f>IFERROR(MATCH(951,$B$4:$B$1003,0),"")</f>
        <v/>
      </c>
    </row>
    <row r="955">
      <c r="A955">
        <f>IF(AND(LEN('Vendor COIs'!A455)&gt;0,ISNUMBER('Vendor COIs'!H455)),'Vendor COIs'!H455+952/100000,"")</f>
        <v/>
      </c>
      <c r="B955">
        <f>IF(AND(LEN('Vendor COIs'!A455)&gt;0,ISNUMBER('Vendor COIs'!H455)),MAX($B$3:B954)+1,"")</f>
        <v/>
      </c>
      <c r="E955">
        <f>IFERROR(MATCH(952,$B$4:$B$1003,0),"")</f>
        <v/>
      </c>
    </row>
    <row r="956">
      <c r="A956">
        <f>IF(AND(LEN('Vendor COIs'!A456)&gt;0,ISNUMBER('Vendor COIs'!H456)),'Vendor COIs'!H456+953/100000,"")</f>
        <v/>
      </c>
      <c r="B956">
        <f>IF(AND(LEN('Vendor COIs'!A456)&gt;0,ISNUMBER('Vendor COIs'!H456)),MAX($B$3:B955)+1,"")</f>
        <v/>
      </c>
      <c r="E956">
        <f>IFERROR(MATCH(953,$B$4:$B$1003,0),"")</f>
        <v/>
      </c>
    </row>
    <row r="957">
      <c r="A957">
        <f>IF(AND(LEN('Vendor COIs'!A457)&gt;0,ISNUMBER('Vendor COIs'!H457)),'Vendor COIs'!H457+954/100000,"")</f>
        <v/>
      </c>
      <c r="B957">
        <f>IF(AND(LEN('Vendor COIs'!A457)&gt;0,ISNUMBER('Vendor COIs'!H457)),MAX($B$3:B956)+1,"")</f>
        <v/>
      </c>
      <c r="E957">
        <f>IFERROR(MATCH(954,$B$4:$B$1003,0),"")</f>
        <v/>
      </c>
    </row>
    <row r="958">
      <c r="A958">
        <f>IF(AND(LEN('Vendor COIs'!A458)&gt;0,ISNUMBER('Vendor COIs'!H458)),'Vendor COIs'!H458+955/100000,"")</f>
        <v/>
      </c>
      <c r="B958">
        <f>IF(AND(LEN('Vendor COIs'!A458)&gt;0,ISNUMBER('Vendor COIs'!H458)),MAX($B$3:B957)+1,"")</f>
        <v/>
      </c>
      <c r="E958">
        <f>IFERROR(MATCH(955,$B$4:$B$1003,0),"")</f>
        <v/>
      </c>
    </row>
    <row r="959">
      <c r="A959">
        <f>IF(AND(LEN('Vendor COIs'!A459)&gt;0,ISNUMBER('Vendor COIs'!H459)),'Vendor COIs'!H459+956/100000,"")</f>
        <v/>
      </c>
      <c r="B959">
        <f>IF(AND(LEN('Vendor COIs'!A459)&gt;0,ISNUMBER('Vendor COIs'!H459)),MAX($B$3:B958)+1,"")</f>
        <v/>
      </c>
      <c r="E959">
        <f>IFERROR(MATCH(956,$B$4:$B$1003,0),"")</f>
        <v/>
      </c>
    </row>
    <row r="960">
      <c r="A960">
        <f>IF(AND(LEN('Vendor COIs'!A460)&gt;0,ISNUMBER('Vendor COIs'!H460)),'Vendor COIs'!H460+957/100000,"")</f>
        <v/>
      </c>
      <c r="B960">
        <f>IF(AND(LEN('Vendor COIs'!A460)&gt;0,ISNUMBER('Vendor COIs'!H460)),MAX($B$3:B959)+1,"")</f>
        <v/>
      </c>
      <c r="E960">
        <f>IFERROR(MATCH(957,$B$4:$B$1003,0),"")</f>
        <v/>
      </c>
    </row>
    <row r="961">
      <c r="A961">
        <f>IF(AND(LEN('Vendor COIs'!A461)&gt;0,ISNUMBER('Vendor COIs'!H461)),'Vendor COIs'!H461+958/100000,"")</f>
        <v/>
      </c>
      <c r="B961">
        <f>IF(AND(LEN('Vendor COIs'!A461)&gt;0,ISNUMBER('Vendor COIs'!H461)),MAX($B$3:B960)+1,"")</f>
        <v/>
      </c>
      <c r="E961">
        <f>IFERROR(MATCH(958,$B$4:$B$1003,0),"")</f>
        <v/>
      </c>
    </row>
    <row r="962">
      <c r="A962">
        <f>IF(AND(LEN('Vendor COIs'!A462)&gt;0,ISNUMBER('Vendor COIs'!H462)),'Vendor COIs'!H462+959/100000,"")</f>
        <v/>
      </c>
      <c r="B962">
        <f>IF(AND(LEN('Vendor COIs'!A462)&gt;0,ISNUMBER('Vendor COIs'!H462)),MAX($B$3:B961)+1,"")</f>
        <v/>
      </c>
      <c r="E962">
        <f>IFERROR(MATCH(959,$B$4:$B$1003,0),"")</f>
        <v/>
      </c>
    </row>
    <row r="963">
      <c r="A963">
        <f>IF(AND(LEN('Vendor COIs'!A463)&gt;0,ISNUMBER('Vendor COIs'!H463)),'Vendor COIs'!H463+960/100000,"")</f>
        <v/>
      </c>
      <c r="B963">
        <f>IF(AND(LEN('Vendor COIs'!A463)&gt;0,ISNUMBER('Vendor COIs'!H463)),MAX($B$3:B962)+1,"")</f>
        <v/>
      </c>
      <c r="E963">
        <f>IFERROR(MATCH(960,$B$4:$B$1003,0),"")</f>
        <v/>
      </c>
    </row>
    <row r="964">
      <c r="A964">
        <f>IF(AND(LEN('Vendor COIs'!A464)&gt;0,ISNUMBER('Vendor COIs'!H464)),'Vendor COIs'!H464+961/100000,"")</f>
        <v/>
      </c>
      <c r="B964">
        <f>IF(AND(LEN('Vendor COIs'!A464)&gt;0,ISNUMBER('Vendor COIs'!H464)),MAX($B$3:B963)+1,"")</f>
        <v/>
      </c>
      <c r="E964">
        <f>IFERROR(MATCH(961,$B$4:$B$1003,0),"")</f>
        <v/>
      </c>
    </row>
    <row r="965">
      <c r="A965">
        <f>IF(AND(LEN('Vendor COIs'!A465)&gt;0,ISNUMBER('Vendor COIs'!H465)),'Vendor COIs'!H465+962/100000,"")</f>
        <v/>
      </c>
      <c r="B965">
        <f>IF(AND(LEN('Vendor COIs'!A465)&gt;0,ISNUMBER('Vendor COIs'!H465)),MAX($B$3:B964)+1,"")</f>
        <v/>
      </c>
      <c r="E965">
        <f>IFERROR(MATCH(962,$B$4:$B$1003,0),"")</f>
        <v/>
      </c>
    </row>
    <row r="966">
      <c r="A966">
        <f>IF(AND(LEN('Vendor COIs'!A466)&gt;0,ISNUMBER('Vendor COIs'!H466)),'Vendor COIs'!H466+963/100000,"")</f>
        <v/>
      </c>
      <c r="B966">
        <f>IF(AND(LEN('Vendor COIs'!A466)&gt;0,ISNUMBER('Vendor COIs'!H466)),MAX($B$3:B965)+1,"")</f>
        <v/>
      </c>
      <c r="E966">
        <f>IFERROR(MATCH(963,$B$4:$B$1003,0),"")</f>
        <v/>
      </c>
    </row>
    <row r="967">
      <c r="A967">
        <f>IF(AND(LEN('Vendor COIs'!A467)&gt;0,ISNUMBER('Vendor COIs'!H467)),'Vendor COIs'!H467+964/100000,"")</f>
        <v/>
      </c>
      <c r="B967">
        <f>IF(AND(LEN('Vendor COIs'!A467)&gt;0,ISNUMBER('Vendor COIs'!H467)),MAX($B$3:B966)+1,"")</f>
        <v/>
      </c>
      <c r="E967">
        <f>IFERROR(MATCH(964,$B$4:$B$1003,0),"")</f>
        <v/>
      </c>
    </row>
    <row r="968">
      <c r="A968">
        <f>IF(AND(LEN('Vendor COIs'!A468)&gt;0,ISNUMBER('Vendor COIs'!H468)),'Vendor COIs'!H468+965/100000,"")</f>
        <v/>
      </c>
      <c r="B968">
        <f>IF(AND(LEN('Vendor COIs'!A468)&gt;0,ISNUMBER('Vendor COIs'!H468)),MAX($B$3:B967)+1,"")</f>
        <v/>
      </c>
      <c r="E968">
        <f>IFERROR(MATCH(965,$B$4:$B$1003,0),"")</f>
        <v/>
      </c>
    </row>
    <row r="969">
      <c r="A969">
        <f>IF(AND(LEN('Vendor COIs'!A469)&gt;0,ISNUMBER('Vendor COIs'!H469)),'Vendor COIs'!H469+966/100000,"")</f>
        <v/>
      </c>
      <c r="B969">
        <f>IF(AND(LEN('Vendor COIs'!A469)&gt;0,ISNUMBER('Vendor COIs'!H469)),MAX($B$3:B968)+1,"")</f>
        <v/>
      </c>
      <c r="E969">
        <f>IFERROR(MATCH(966,$B$4:$B$1003,0),"")</f>
        <v/>
      </c>
    </row>
    <row r="970">
      <c r="A970">
        <f>IF(AND(LEN('Vendor COIs'!A470)&gt;0,ISNUMBER('Vendor COIs'!H470)),'Vendor COIs'!H470+967/100000,"")</f>
        <v/>
      </c>
      <c r="B970">
        <f>IF(AND(LEN('Vendor COIs'!A470)&gt;0,ISNUMBER('Vendor COIs'!H470)),MAX($B$3:B969)+1,"")</f>
        <v/>
      </c>
      <c r="E970">
        <f>IFERROR(MATCH(967,$B$4:$B$1003,0),"")</f>
        <v/>
      </c>
    </row>
    <row r="971">
      <c r="A971">
        <f>IF(AND(LEN('Vendor COIs'!A471)&gt;0,ISNUMBER('Vendor COIs'!H471)),'Vendor COIs'!H471+968/100000,"")</f>
        <v/>
      </c>
      <c r="B971">
        <f>IF(AND(LEN('Vendor COIs'!A471)&gt;0,ISNUMBER('Vendor COIs'!H471)),MAX($B$3:B970)+1,"")</f>
        <v/>
      </c>
      <c r="E971">
        <f>IFERROR(MATCH(968,$B$4:$B$1003,0),"")</f>
        <v/>
      </c>
    </row>
    <row r="972">
      <c r="A972">
        <f>IF(AND(LEN('Vendor COIs'!A472)&gt;0,ISNUMBER('Vendor COIs'!H472)),'Vendor COIs'!H472+969/100000,"")</f>
        <v/>
      </c>
      <c r="B972">
        <f>IF(AND(LEN('Vendor COIs'!A472)&gt;0,ISNUMBER('Vendor COIs'!H472)),MAX($B$3:B971)+1,"")</f>
        <v/>
      </c>
      <c r="E972">
        <f>IFERROR(MATCH(969,$B$4:$B$1003,0),"")</f>
        <v/>
      </c>
    </row>
    <row r="973">
      <c r="A973">
        <f>IF(AND(LEN('Vendor COIs'!A473)&gt;0,ISNUMBER('Vendor COIs'!H473)),'Vendor COIs'!H473+970/100000,"")</f>
        <v/>
      </c>
      <c r="B973">
        <f>IF(AND(LEN('Vendor COIs'!A473)&gt;0,ISNUMBER('Vendor COIs'!H473)),MAX($B$3:B972)+1,"")</f>
        <v/>
      </c>
      <c r="E973">
        <f>IFERROR(MATCH(970,$B$4:$B$1003,0),"")</f>
        <v/>
      </c>
    </row>
    <row r="974">
      <c r="A974">
        <f>IF(AND(LEN('Vendor COIs'!A474)&gt;0,ISNUMBER('Vendor COIs'!H474)),'Vendor COIs'!H474+971/100000,"")</f>
        <v/>
      </c>
      <c r="B974">
        <f>IF(AND(LEN('Vendor COIs'!A474)&gt;0,ISNUMBER('Vendor COIs'!H474)),MAX($B$3:B973)+1,"")</f>
        <v/>
      </c>
      <c r="E974">
        <f>IFERROR(MATCH(971,$B$4:$B$1003,0),"")</f>
        <v/>
      </c>
    </row>
    <row r="975">
      <c r="A975">
        <f>IF(AND(LEN('Vendor COIs'!A475)&gt;0,ISNUMBER('Vendor COIs'!H475)),'Vendor COIs'!H475+972/100000,"")</f>
        <v/>
      </c>
      <c r="B975">
        <f>IF(AND(LEN('Vendor COIs'!A475)&gt;0,ISNUMBER('Vendor COIs'!H475)),MAX($B$3:B974)+1,"")</f>
        <v/>
      </c>
      <c r="E975">
        <f>IFERROR(MATCH(972,$B$4:$B$1003,0),"")</f>
        <v/>
      </c>
    </row>
    <row r="976">
      <c r="A976">
        <f>IF(AND(LEN('Vendor COIs'!A476)&gt;0,ISNUMBER('Vendor COIs'!H476)),'Vendor COIs'!H476+973/100000,"")</f>
        <v/>
      </c>
      <c r="B976">
        <f>IF(AND(LEN('Vendor COIs'!A476)&gt;0,ISNUMBER('Vendor COIs'!H476)),MAX($B$3:B975)+1,"")</f>
        <v/>
      </c>
      <c r="E976">
        <f>IFERROR(MATCH(973,$B$4:$B$1003,0),"")</f>
        <v/>
      </c>
    </row>
    <row r="977">
      <c r="A977">
        <f>IF(AND(LEN('Vendor COIs'!A477)&gt;0,ISNUMBER('Vendor COIs'!H477)),'Vendor COIs'!H477+974/100000,"")</f>
        <v/>
      </c>
      <c r="B977">
        <f>IF(AND(LEN('Vendor COIs'!A477)&gt;0,ISNUMBER('Vendor COIs'!H477)),MAX($B$3:B976)+1,"")</f>
        <v/>
      </c>
      <c r="E977">
        <f>IFERROR(MATCH(974,$B$4:$B$1003,0),"")</f>
        <v/>
      </c>
    </row>
    <row r="978">
      <c r="A978">
        <f>IF(AND(LEN('Vendor COIs'!A478)&gt;0,ISNUMBER('Vendor COIs'!H478)),'Vendor COIs'!H478+975/100000,"")</f>
        <v/>
      </c>
      <c r="B978">
        <f>IF(AND(LEN('Vendor COIs'!A478)&gt;0,ISNUMBER('Vendor COIs'!H478)),MAX($B$3:B977)+1,"")</f>
        <v/>
      </c>
      <c r="E978">
        <f>IFERROR(MATCH(975,$B$4:$B$1003,0),"")</f>
        <v/>
      </c>
    </row>
    <row r="979">
      <c r="A979">
        <f>IF(AND(LEN('Vendor COIs'!A479)&gt;0,ISNUMBER('Vendor COIs'!H479)),'Vendor COIs'!H479+976/100000,"")</f>
        <v/>
      </c>
      <c r="B979">
        <f>IF(AND(LEN('Vendor COIs'!A479)&gt;0,ISNUMBER('Vendor COIs'!H479)),MAX($B$3:B978)+1,"")</f>
        <v/>
      </c>
      <c r="E979">
        <f>IFERROR(MATCH(976,$B$4:$B$1003,0),"")</f>
        <v/>
      </c>
    </row>
    <row r="980">
      <c r="A980">
        <f>IF(AND(LEN('Vendor COIs'!A480)&gt;0,ISNUMBER('Vendor COIs'!H480)),'Vendor COIs'!H480+977/100000,"")</f>
        <v/>
      </c>
      <c r="B980">
        <f>IF(AND(LEN('Vendor COIs'!A480)&gt;0,ISNUMBER('Vendor COIs'!H480)),MAX($B$3:B979)+1,"")</f>
        <v/>
      </c>
      <c r="E980">
        <f>IFERROR(MATCH(977,$B$4:$B$1003,0),"")</f>
        <v/>
      </c>
    </row>
    <row r="981">
      <c r="A981">
        <f>IF(AND(LEN('Vendor COIs'!A481)&gt;0,ISNUMBER('Vendor COIs'!H481)),'Vendor COIs'!H481+978/100000,"")</f>
        <v/>
      </c>
      <c r="B981">
        <f>IF(AND(LEN('Vendor COIs'!A481)&gt;0,ISNUMBER('Vendor COIs'!H481)),MAX($B$3:B980)+1,"")</f>
        <v/>
      </c>
      <c r="E981">
        <f>IFERROR(MATCH(978,$B$4:$B$1003,0),"")</f>
        <v/>
      </c>
    </row>
    <row r="982">
      <c r="A982">
        <f>IF(AND(LEN('Vendor COIs'!A482)&gt;0,ISNUMBER('Vendor COIs'!H482)),'Vendor COIs'!H482+979/100000,"")</f>
        <v/>
      </c>
      <c r="B982">
        <f>IF(AND(LEN('Vendor COIs'!A482)&gt;0,ISNUMBER('Vendor COIs'!H482)),MAX($B$3:B981)+1,"")</f>
        <v/>
      </c>
      <c r="E982">
        <f>IFERROR(MATCH(979,$B$4:$B$1003,0),"")</f>
        <v/>
      </c>
    </row>
    <row r="983">
      <c r="A983">
        <f>IF(AND(LEN('Vendor COIs'!A483)&gt;0,ISNUMBER('Vendor COIs'!H483)),'Vendor COIs'!H483+980/100000,"")</f>
        <v/>
      </c>
      <c r="B983">
        <f>IF(AND(LEN('Vendor COIs'!A483)&gt;0,ISNUMBER('Vendor COIs'!H483)),MAX($B$3:B982)+1,"")</f>
        <v/>
      </c>
      <c r="E983">
        <f>IFERROR(MATCH(980,$B$4:$B$1003,0),"")</f>
        <v/>
      </c>
    </row>
    <row r="984">
      <c r="A984">
        <f>IF(AND(LEN('Vendor COIs'!A484)&gt;0,ISNUMBER('Vendor COIs'!H484)),'Vendor COIs'!H484+981/100000,"")</f>
        <v/>
      </c>
      <c r="B984">
        <f>IF(AND(LEN('Vendor COIs'!A484)&gt;0,ISNUMBER('Vendor COIs'!H484)),MAX($B$3:B983)+1,"")</f>
        <v/>
      </c>
      <c r="E984">
        <f>IFERROR(MATCH(981,$B$4:$B$1003,0),"")</f>
        <v/>
      </c>
    </row>
    <row r="985">
      <c r="A985">
        <f>IF(AND(LEN('Vendor COIs'!A485)&gt;0,ISNUMBER('Vendor COIs'!H485)),'Vendor COIs'!H485+982/100000,"")</f>
        <v/>
      </c>
      <c r="B985">
        <f>IF(AND(LEN('Vendor COIs'!A485)&gt;0,ISNUMBER('Vendor COIs'!H485)),MAX($B$3:B984)+1,"")</f>
        <v/>
      </c>
      <c r="E985">
        <f>IFERROR(MATCH(982,$B$4:$B$1003,0),"")</f>
        <v/>
      </c>
    </row>
    <row r="986">
      <c r="A986">
        <f>IF(AND(LEN('Vendor COIs'!A486)&gt;0,ISNUMBER('Vendor COIs'!H486)),'Vendor COIs'!H486+983/100000,"")</f>
        <v/>
      </c>
      <c r="B986">
        <f>IF(AND(LEN('Vendor COIs'!A486)&gt;0,ISNUMBER('Vendor COIs'!H486)),MAX($B$3:B985)+1,"")</f>
        <v/>
      </c>
      <c r="E986">
        <f>IFERROR(MATCH(983,$B$4:$B$1003,0),"")</f>
        <v/>
      </c>
    </row>
    <row r="987">
      <c r="A987">
        <f>IF(AND(LEN('Vendor COIs'!A487)&gt;0,ISNUMBER('Vendor COIs'!H487)),'Vendor COIs'!H487+984/100000,"")</f>
        <v/>
      </c>
      <c r="B987">
        <f>IF(AND(LEN('Vendor COIs'!A487)&gt;0,ISNUMBER('Vendor COIs'!H487)),MAX($B$3:B986)+1,"")</f>
        <v/>
      </c>
      <c r="E987">
        <f>IFERROR(MATCH(984,$B$4:$B$1003,0),"")</f>
        <v/>
      </c>
    </row>
    <row r="988">
      <c r="A988">
        <f>IF(AND(LEN('Vendor COIs'!A488)&gt;0,ISNUMBER('Vendor COIs'!H488)),'Vendor COIs'!H488+985/100000,"")</f>
        <v/>
      </c>
      <c r="B988">
        <f>IF(AND(LEN('Vendor COIs'!A488)&gt;0,ISNUMBER('Vendor COIs'!H488)),MAX($B$3:B987)+1,"")</f>
        <v/>
      </c>
      <c r="E988">
        <f>IFERROR(MATCH(985,$B$4:$B$1003,0),"")</f>
        <v/>
      </c>
    </row>
    <row r="989">
      <c r="A989">
        <f>IF(AND(LEN('Vendor COIs'!A489)&gt;0,ISNUMBER('Vendor COIs'!H489)),'Vendor COIs'!H489+986/100000,"")</f>
        <v/>
      </c>
      <c r="B989">
        <f>IF(AND(LEN('Vendor COIs'!A489)&gt;0,ISNUMBER('Vendor COIs'!H489)),MAX($B$3:B988)+1,"")</f>
        <v/>
      </c>
      <c r="E989">
        <f>IFERROR(MATCH(986,$B$4:$B$1003,0),"")</f>
        <v/>
      </c>
    </row>
    <row r="990">
      <c r="A990">
        <f>IF(AND(LEN('Vendor COIs'!A490)&gt;0,ISNUMBER('Vendor COIs'!H490)),'Vendor COIs'!H490+987/100000,"")</f>
        <v/>
      </c>
      <c r="B990">
        <f>IF(AND(LEN('Vendor COIs'!A490)&gt;0,ISNUMBER('Vendor COIs'!H490)),MAX($B$3:B989)+1,"")</f>
        <v/>
      </c>
      <c r="E990">
        <f>IFERROR(MATCH(987,$B$4:$B$1003,0),"")</f>
        <v/>
      </c>
    </row>
    <row r="991">
      <c r="A991">
        <f>IF(AND(LEN('Vendor COIs'!A491)&gt;0,ISNUMBER('Vendor COIs'!H491)),'Vendor COIs'!H491+988/100000,"")</f>
        <v/>
      </c>
      <c r="B991">
        <f>IF(AND(LEN('Vendor COIs'!A491)&gt;0,ISNUMBER('Vendor COIs'!H491)),MAX($B$3:B990)+1,"")</f>
        <v/>
      </c>
      <c r="E991">
        <f>IFERROR(MATCH(988,$B$4:$B$1003,0),"")</f>
        <v/>
      </c>
    </row>
    <row r="992">
      <c r="A992">
        <f>IF(AND(LEN('Vendor COIs'!A492)&gt;0,ISNUMBER('Vendor COIs'!H492)),'Vendor COIs'!H492+989/100000,"")</f>
        <v/>
      </c>
      <c r="B992">
        <f>IF(AND(LEN('Vendor COIs'!A492)&gt;0,ISNUMBER('Vendor COIs'!H492)),MAX($B$3:B991)+1,"")</f>
        <v/>
      </c>
      <c r="E992">
        <f>IFERROR(MATCH(989,$B$4:$B$1003,0),"")</f>
        <v/>
      </c>
    </row>
    <row r="993">
      <c r="A993">
        <f>IF(AND(LEN('Vendor COIs'!A493)&gt;0,ISNUMBER('Vendor COIs'!H493)),'Vendor COIs'!H493+990/100000,"")</f>
        <v/>
      </c>
      <c r="B993">
        <f>IF(AND(LEN('Vendor COIs'!A493)&gt;0,ISNUMBER('Vendor COIs'!H493)),MAX($B$3:B992)+1,"")</f>
        <v/>
      </c>
      <c r="E993">
        <f>IFERROR(MATCH(990,$B$4:$B$1003,0),"")</f>
        <v/>
      </c>
    </row>
    <row r="994">
      <c r="A994">
        <f>IF(AND(LEN('Vendor COIs'!A494)&gt;0,ISNUMBER('Vendor COIs'!H494)),'Vendor COIs'!H494+991/100000,"")</f>
        <v/>
      </c>
      <c r="B994">
        <f>IF(AND(LEN('Vendor COIs'!A494)&gt;0,ISNUMBER('Vendor COIs'!H494)),MAX($B$3:B993)+1,"")</f>
        <v/>
      </c>
      <c r="E994">
        <f>IFERROR(MATCH(991,$B$4:$B$1003,0),"")</f>
        <v/>
      </c>
    </row>
    <row r="995">
      <c r="A995">
        <f>IF(AND(LEN('Vendor COIs'!A495)&gt;0,ISNUMBER('Vendor COIs'!H495)),'Vendor COIs'!H495+992/100000,"")</f>
        <v/>
      </c>
      <c r="B995">
        <f>IF(AND(LEN('Vendor COIs'!A495)&gt;0,ISNUMBER('Vendor COIs'!H495)),MAX($B$3:B994)+1,"")</f>
        <v/>
      </c>
      <c r="E995">
        <f>IFERROR(MATCH(992,$B$4:$B$1003,0),"")</f>
        <v/>
      </c>
    </row>
    <row r="996">
      <c r="A996">
        <f>IF(AND(LEN('Vendor COIs'!A496)&gt;0,ISNUMBER('Vendor COIs'!H496)),'Vendor COIs'!H496+993/100000,"")</f>
        <v/>
      </c>
      <c r="B996">
        <f>IF(AND(LEN('Vendor COIs'!A496)&gt;0,ISNUMBER('Vendor COIs'!H496)),MAX($B$3:B995)+1,"")</f>
        <v/>
      </c>
      <c r="E996">
        <f>IFERROR(MATCH(993,$B$4:$B$1003,0),"")</f>
        <v/>
      </c>
    </row>
    <row r="997">
      <c r="A997">
        <f>IF(AND(LEN('Vendor COIs'!A497)&gt;0,ISNUMBER('Vendor COIs'!H497)),'Vendor COIs'!H497+994/100000,"")</f>
        <v/>
      </c>
      <c r="B997">
        <f>IF(AND(LEN('Vendor COIs'!A497)&gt;0,ISNUMBER('Vendor COIs'!H497)),MAX($B$3:B996)+1,"")</f>
        <v/>
      </c>
      <c r="E997">
        <f>IFERROR(MATCH(994,$B$4:$B$1003,0),"")</f>
        <v/>
      </c>
    </row>
    <row r="998">
      <c r="A998">
        <f>IF(AND(LEN('Vendor COIs'!A498)&gt;0,ISNUMBER('Vendor COIs'!H498)),'Vendor COIs'!H498+995/100000,"")</f>
        <v/>
      </c>
      <c r="B998">
        <f>IF(AND(LEN('Vendor COIs'!A498)&gt;0,ISNUMBER('Vendor COIs'!H498)),MAX($B$3:B997)+1,"")</f>
        <v/>
      </c>
      <c r="E998">
        <f>IFERROR(MATCH(995,$B$4:$B$1003,0),"")</f>
        <v/>
      </c>
    </row>
    <row r="999">
      <c r="A999">
        <f>IF(AND(LEN('Vendor COIs'!A499)&gt;0,ISNUMBER('Vendor COIs'!H499)),'Vendor COIs'!H499+996/100000,"")</f>
        <v/>
      </c>
      <c r="B999">
        <f>IF(AND(LEN('Vendor COIs'!A499)&gt;0,ISNUMBER('Vendor COIs'!H499)),MAX($B$3:B998)+1,"")</f>
        <v/>
      </c>
      <c r="E999">
        <f>IFERROR(MATCH(996,$B$4:$B$1003,0),"")</f>
        <v/>
      </c>
    </row>
    <row r="1000">
      <c r="A1000">
        <f>IF(AND(LEN('Vendor COIs'!A500)&gt;0,ISNUMBER('Vendor COIs'!H500)),'Vendor COIs'!H500+997/100000,"")</f>
        <v/>
      </c>
      <c r="B1000">
        <f>IF(AND(LEN('Vendor COIs'!A500)&gt;0,ISNUMBER('Vendor COIs'!H500)),MAX($B$3:B999)+1,"")</f>
        <v/>
      </c>
      <c r="E1000">
        <f>IFERROR(MATCH(997,$B$4:$B$1003,0),"")</f>
        <v/>
      </c>
    </row>
    <row r="1001">
      <c r="A1001">
        <f>IF(AND(LEN('Vendor COIs'!A501)&gt;0,ISNUMBER('Vendor COIs'!H501)),'Vendor COIs'!H501+998/100000,"")</f>
        <v/>
      </c>
      <c r="B1001">
        <f>IF(AND(LEN('Vendor COIs'!A501)&gt;0,ISNUMBER('Vendor COIs'!H501)),MAX($B$3:B1000)+1,"")</f>
        <v/>
      </c>
      <c r="E1001">
        <f>IFERROR(MATCH(998,$B$4:$B$1003,0),"")</f>
        <v/>
      </c>
    </row>
    <row r="1002">
      <c r="A1002">
        <f>IF(AND(LEN('Vendor COIs'!A502)&gt;0,ISNUMBER('Vendor COIs'!H502)),'Vendor COIs'!H502+999/100000,"")</f>
        <v/>
      </c>
      <c r="B1002">
        <f>IF(AND(LEN('Vendor COIs'!A502)&gt;0,ISNUMBER('Vendor COIs'!H502)),MAX($B$3:B1001)+1,"")</f>
        <v/>
      </c>
      <c r="E1002">
        <f>IFERROR(MATCH(999,$B$4:$B$1003,0),"")</f>
        <v/>
      </c>
    </row>
    <row r="1003">
      <c r="A1003">
        <f>IF(AND(LEN('Vendor COIs'!A503)&gt;0,ISNUMBER('Vendor COIs'!H503)),'Vendor COIs'!H503+1000/100000,"")</f>
        <v/>
      </c>
      <c r="B1003">
        <f>IF(AND(LEN('Vendor COIs'!A503)&gt;0,ISNUMBER('Vendor COIs'!H503)),MAX($B$3:B1002)+1,"")</f>
        <v/>
      </c>
      <c r="E1003">
        <f>IFERROR(MATCH(1000,$B$4:$B$1003,0),"")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Insurance policy &amp; COI tracker (free template)</dc:title>
  <dc:description xmlns:dc="http://purl.org/dc/elements/1.1/">Free template from expiryedge.com/templates/. September 2026 edition.</dc:description>
  <dc:subject xmlns:dc="http://purl.org/dc/elements/1.1/">The policies you hold and the certificates of insurance you collect from vendors, each with its own renewal date.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